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tupenengoj\Documents\SSRSC\Programa Fortalecer OSC\Documentos definitivos\"/>
    </mc:Choice>
  </mc:AlternateContent>
  <bookViews>
    <workbookView xWindow="0" yWindow="0" windowWidth="15530" windowHeight="7050"/>
  </bookViews>
  <sheets>
    <sheet name="Línea 1" sheetId="2" r:id="rId1"/>
    <sheet name="Línea 2" sheetId="3" r:id="rId2"/>
    <sheet name="Línea 3" sheetId="4" r:id="rId3"/>
    <sheet name="aux_validacion_datos" sheetId="5" state="hidden" r:id="rId4"/>
    <sheet name="aux_universo_t011" sheetId="6" state="hidden" r:id="rId5"/>
  </sheets>
  <definedNames>
    <definedName name="Buenos_Aires">#REF!</definedName>
    <definedName name="Catamarca">#REF!</definedName>
    <definedName name="Chaco">#REF!</definedName>
    <definedName name="Chubut">#REF!</definedName>
    <definedName name="Córdoba">#REF!</definedName>
    <definedName name="Corrientes">#REF!</definedName>
    <definedName name="Entre_Ríos">#REF!</definedName>
    <definedName name="Formosa">#REF!</definedName>
    <definedName name="Jujuy">#REF!</definedName>
    <definedName name="La_Pampa">#REF!</definedName>
    <definedName name="La_Rioja">#REF!</definedName>
    <definedName name="Mendoza">#REF!</definedName>
    <definedName name="Misiones">#REF!</definedName>
    <definedName name="Neuquén">#REF!</definedName>
    <definedName name="Río_Negro">#REF!</definedName>
    <definedName name="Salta">#REF!</definedName>
    <definedName name="San_Juan">#REF!</definedName>
    <definedName name="San_Luis">#REF!</definedName>
    <definedName name="Santa_Fe">#REF!</definedName>
    <definedName name="Santiago_del_Estero">#REF!</definedName>
    <definedName name="Tierra_del_Fuego">#REF!</definedName>
    <definedName name="Tucumán">#REF!</definedName>
  </definedNames>
  <calcPr calcId="162913"/>
  <extLst>
    <ext uri="GoogleSheetsCustomDataVersion1">
      <go:sheetsCustomData xmlns:go="http://customooxmlschemas.google.com/" r:id="rId10" roundtripDataSignature="AMtx7mjLTw8NgMR9JbwfBpwv0KZ2ne0X6A=="/>
    </ext>
  </extLst>
</workbook>
</file>

<file path=xl/calcChain.xml><?xml version="1.0" encoding="utf-8"?>
<calcChain xmlns="http://schemas.openxmlformats.org/spreadsheetml/2006/main">
  <c r="F15" i="2" l="1"/>
  <c r="F14" i="2"/>
  <c r="F13" i="2"/>
  <c r="F12" i="2"/>
  <c r="F11" i="2"/>
  <c r="F10" i="2"/>
  <c r="F9" i="2"/>
  <c r="F8" i="2"/>
  <c r="F7" i="2"/>
  <c r="F6" i="2"/>
  <c r="R2051" i="6"/>
  <c r="E2051" i="6"/>
  <c r="O2050" i="6"/>
  <c r="B2050" i="6"/>
  <c r="I2049" i="6"/>
  <c r="Q2048" i="6"/>
  <c r="D2048" i="6"/>
  <c r="N2047" i="6"/>
  <c r="A2047" i="6"/>
  <c r="H2046" i="6"/>
  <c r="P2045" i="6"/>
  <c r="C2045" i="6"/>
  <c r="M2044" i="6"/>
  <c r="R2043" i="6"/>
  <c r="E2043" i="6"/>
  <c r="O2042" i="6"/>
  <c r="B2042" i="6"/>
  <c r="H2041" i="6"/>
  <c r="Q2040" i="6"/>
  <c r="D2040" i="6"/>
  <c r="O2039" i="6"/>
  <c r="B2039" i="6"/>
  <c r="M2038" i="6"/>
  <c r="S2037" i="6"/>
  <c r="H2037" i="6"/>
  <c r="Q2036" i="6"/>
  <c r="D2036" i="6"/>
  <c r="O2035" i="6"/>
  <c r="B2035" i="6"/>
  <c r="M2034" i="6"/>
  <c r="S2033" i="6"/>
  <c r="H2033" i="6"/>
  <c r="Q2032" i="6"/>
  <c r="D2032" i="6"/>
  <c r="O2031" i="6"/>
  <c r="B2031" i="6"/>
  <c r="M2030" i="6"/>
  <c r="S2029" i="6"/>
  <c r="H2029" i="6"/>
  <c r="Q2028" i="6"/>
  <c r="D2028" i="6"/>
  <c r="O2027" i="6"/>
  <c r="B2027" i="6"/>
  <c r="H2026" i="6"/>
  <c r="R2025" i="6"/>
  <c r="E2025" i="6"/>
  <c r="Q2024" i="6"/>
  <c r="D2024" i="6"/>
  <c r="O2023" i="6"/>
  <c r="A2023" i="6"/>
  <c r="H2022" i="6"/>
  <c r="P2021" i="6"/>
  <c r="C2021" i="6"/>
  <c r="M2020" i="6"/>
  <c r="T2019" i="6"/>
  <c r="E2019" i="6"/>
  <c r="O2018" i="6"/>
  <c r="B2018" i="6"/>
  <c r="I2017" i="6"/>
  <c r="R2016" i="6"/>
  <c r="F2016" i="6"/>
  <c r="Q2015" i="6"/>
  <c r="E2015" i="6"/>
  <c r="P2014" i="6"/>
  <c r="D2014" i="6"/>
  <c r="O2013" i="6"/>
  <c r="C2013" i="6"/>
  <c r="N2012" i="6"/>
  <c r="A2012" i="6"/>
  <c r="H2011" i="6"/>
  <c r="R2010" i="6"/>
  <c r="E2010" i="6"/>
  <c r="Q2009" i="6"/>
  <c r="D2009" i="6"/>
  <c r="P2008" i="6"/>
  <c r="C2008" i="6"/>
  <c r="O2007" i="6"/>
  <c r="B2007" i="6"/>
  <c r="N2006" i="6"/>
  <c r="A2006" i="6"/>
  <c r="M2005" i="6"/>
  <c r="T2004" i="6"/>
  <c r="I2004" i="6"/>
  <c r="S2003" i="6"/>
  <c r="H2003" i="6"/>
  <c r="R2002" i="6"/>
  <c r="E2002" i="6"/>
  <c r="Q2001" i="6"/>
  <c r="D2001" i="6"/>
  <c r="P2000" i="6"/>
  <c r="C2000" i="6"/>
  <c r="O1999" i="6"/>
  <c r="B1999" i="6"/>
  <c r="N1998" i="6"/>
  <c r="A1998" i="6"/>
  <c r="M1997" i="6"/>
  <c r="T1996" i="6"/>
  <c r="E1996" i="6"/>
  <c r="Q1995" i="6"/>
  <c r="D1995" i="6"/>
  <c r="P1994" i="6"/>
  <c r="C1994" i="6"/>
  <c r="O1993" i="6"/>
  <c r="B1993" i="6"/>
  <c r="N1992" i="6"/>
  <c r="A1992" i="6"/>
  <c r="M1991" i="6"/>
  <c r="S1990" i="6"/>
  <c r="I1990" i="6"/>
  <c r="S1989" i="6"/>
  <c r="I1989" i="6"/>
  <c r="S1988" i="6"/>
  <c r="I1988" i="6"/>
  <c r="S1987" i="6"/>
  <c r="I1987" i="6"/>
  <c r="S1986" i="6"/>
  <c r="I1986" i="6"/>
  <c r="S1985" i="6"/>
  <c r="I1985" i="6"/>
  <c r="S1984" i="6"/>
  <c r="I1984" i="6"/>
  <c r="S1983" i="6"/>
  <c r="I1983" i="6"/>
  <c r="S1982" i="6"/>
  <c r="I1982" i="6"/>
  <c r="R1981" i="6"/>
  <c r="H1981" i="6"/>
  <c r="Q2051" i="6"/>
  <c r="D2051" i="6"/>
  <c r="N2050" i="6"/>
  <c r="A2050" i="6"/>
  <c r="H2049" i="6"/>
  <c r="P2048" i="6"/>
  <c r="C2048" i="6"/>
  <c r="M2047" i="6"/>
  <c r="R2046" i="6"/>
  <c r="E2046" i="6"/>
  <c r="O2045" i="6"/>
  <c r="B2045" i="6"/>
  <c r="I2044" i="6"/>
  <c r="Q2043" i="6"/>
  <c r="D2043" i="6"/>
  <c r="N2042" i="6"/>
  <c r="A2042" i="6"/>
  <c r="E2041" i="6"/>
  <c r="P2040" i="6"/>
  <c r="C2040" i="6"/>
  <c r="N2039" i="6"/>
  <c r="A2039" i="6"/>
  <c r="I2038" i="6"/>
  <c r="R2037" i="6"/>
  <c r="E2037" i="6"/>
  <c r="P2036" i="6"/>
  <c r="C2036" i="6"/>
  <c r="N2035" i="6"/>
  <c r="A2035" i="6"/>
  <c r="I2034" i="6"/>
  <c r="R2033" i="6"/>
  <c r="E2033" i="6"/>
  <c r="P2032" i="6"/>
  <c r="C2032" i="6"/>
  <c r="N2031" i="6"/>
  <c r="A2031" i="6"/>
  <c r="I2030" i="6"/>
  <c r="R2029" i="6"/>
  <c r="E2029" i="6"/>
  <c r="P2028" i="6"/>
  <c r="C2028" i="6"/>
  <c r="N2027" i="6"/>
  <c r="A2027" i="6"/>
  <c r="E2026" i="6"/>
  <c r="Q2025" i="6"/>
  <c r="D2025" i="6"/>
  <c r="P2024" i="6"/>
  <c r="C2024" i="6"/>
  <c r="N2023" i="6"/>
  <c r="S2022" i="6"/>
  <c r="E2022" i="6"/>
  <c r="O2021" i="6"/>
  <c r="B2021" i="6"/>
  <c r="I2020" i="6"/>
  <c r="S2019" i="6"/>
  <c r="D2019" i="6"/>
  <c r="N2018" i="6"/>
  <c r="A2018" i="6"/>
  <c r="H2017" i="6"/>
  <c r="Q2016" i="6"/>
  <c r="E2016" i="6"/>
  <c r="P2015" i="6"/>
  <c r="D2015" i="6"/>
  <c r="O2014" i="6"/>
  <c r="C2014" i="6"/>
  <c r="N2013" i="6"/>
  <c r="B2013" i="6"/>
  <c r="M2012" i="6"/>
  <c r="T2011" i="6"/>
  <c r="E2011" i="6"/>
  <c r="Q2010" i="6"/>
  <c r="D2010" i="6"/>
  <c r="P2009" i="6"/>
  <c r="C2009" i="6"/>
  <c r="O2008" i="6"/>
  <c r="B2008" i="6"/>
  <c r="N2007" i="6"/>
  <c r="A2007" i="6"/>
  <c r="M2006" i="6"/>
  <c r="T2005" i="6"/>
  <c r="I2005" i="6"/>
  <c r="S2004" i="6"/>
  <c r="H2004" i="6"/>
  <c r="R2003" i="6"/>
  <c r="E2003" i="6"/>
  <c r="Q2002" i="6"/>
  <c r="D2002" i="6"/>
  <c r="P2001" i="6"/>
  <c r="C2001" i="6"/>
  <c r="O2000" i="6"/>
  <c r="B2000" i="6"/>
  <c r="N1999" i="6"/>
  <c r="A1999" i="6"/>
  <c r="M1998" i="6"/>
  <c r="T1997" i="6"/>
  <c r="I1997" i="6"/>
  <c r="S1996" i="6"/>
  <c r="D1996" i="6"/>
  <c r="P1995" i="6"/>
  <c r="C1995" i="6"/>
  <c r="O1994" i="6"/>
  <c r="B1994" i="6"/>
  <c r="N1993" i="6"/>
  <c r="A1993" i="6"/>
  <c r="M1992" i="6"/>
  <c r="T1991" i="6"/>
  <c r="I1991" i="6"/>
  <c r="R1990" i="6"/>
  <c r="H1990" i="6"/>
  <c r="R1989" i="6"/>
  <c r="H1989" i="6"/>
  <c r="R1988" i="6"/>
  <c r="H1988" i="6"/>
  <c r="R1987" i="6"/>
  <c r="H1987" i="6"/>
  <c r="R1986" i="6"/>
  <c r="H1986" i="6"/>
  <c r="R1985" i="6"/>
  <c r="H1985" i="6"/>
  <c r="R1984" i="6"/>
  <c r="H1984" i="6"/>
  <c r="R1983" i="6"/>
  <c r="H1983" i="6"/>
  <c r="R1982" i="6"/>
  <c r="H1982" i="6"/>
  <c r="Q1981" i="6"/>
  <c r="D1981" i="6"/>
  <c r="P2051" i="6"/>
  <c r="C2051" i="6"/>
  <c r="M2050" i="6"/>
  <c r="R2049" i="6"/>
  <c r="E2049" i="6"/>
  <c r="O2048" i="6"/>
  <c r="B2048" i="6"/>
  <c r="I2047" i="6"/>
  <c r="Q2046" i="6"/>
  <c r="D2046" i="6"/>
  <c r="N2045" i="6"/>
  <c r="A2045" i="6"/>
  <c r="H2044" i="6"/>
  <c r="P2043" i="6"/>
  <c r="C2043" i="6"/>
  <c r="M2042" i="6"/>
  <c r="S2041" i="6"/>
  <c r="D2041" i="6"/>
  <c r="O2040" i="6"/>
  <c r="B2040" i="6"/>
  <c r="M2039" i="6"/>
  <c r="S2038" i="6"/>
  <c r="H2038" i="6"/>
  <c r="Q2037" i="6"/>
  <c r="D2037" i="6"/>
  <c r="O2036" i="6"/>
  <c r="B2036" i="6"/>
  <c r="M2035" i="6"/>
  <c r="S2034" i="6"/>
  <c r="H2034" i="6"/>
  <c r="Q2033" i="6"/>
  <c r="D2033" i="6"/>
  <c r="O2032" i="6"/>
  <c r="B2032" i="6"/>
  <c r="M2031" i="6"/>
  <c r="S2030" i="6"/>
  <c r="H2030" i="6"/>
  <c r="Q2029" i="6"/>
  <c r="D2029" i="6"/>
  <c r="O2028" i="6"/>
  <c r="B2028" i="6"/>
  <c r="M2027" i="6"/>
  <c r="S2026" i="6"/>
  <c r="D2026" i="6"/>
  <c r="P2025" i="6"/>
  <c r="C2025" i="6"/>
  <c r="O2024" i="6"/>
  <c r="B2024" i="6"/>
  <c r="M2023" i="6"/>
  <c r="R2022" i="6"/>
  <c r="D2022" i="6"/>
  <c r="N2021" i="6"/>
  <c r="A2021" i="6"/>
  <c r="H2020" i="6"/>
  <c r="P2019" i="6"/>
  <c r="C2019" i="6"/>
  <c r="M2018" i="6"/>
  <c r="T2017" i="6"/>
  <c r="E2017" i="6"/>
  <c r="P2016" i="6"/>
  <c r="D2016" i="6"/>
  <c r="O2015" i="6"/>
  <c r="C2015" i="6"/>
  <c r="N2014" i="6"/>
  <c r="B2014" i="6"/>
  <c r="M2013" i="6"/>
  <c r="A2013" i="6"/>
  <c r="I2012" i="6"/>
  <c r="S2011" i="6"/>
  <c r="D2011" i="6"/>
  <c r="P2010" i="6"/>
  <c r="C2010" i="6"/>
  <c r="O2009" i="6"/>
  <c r="B2009" i="6"/>
  <c r="N2008" i="6"/>
  <c r="A2008" i="6"/>
  <c r="M2007" i="6"/>
  <c r="T2006" i="6"/>
  <c r="I2006" i="6"/>
  <c r="S2005" i="6"/>
  <c r="H2005" i="6"/>
  <c r="R2004" i="6"/>
  <c r="E2004" i="6"/>
  <c r="Q2003" i="6"/>
  <c r="D2003" i="6"/>
  <c r="P2002" i="6"/>
  <c r="C2002" i="6"/>
  <c r="O2001" i="6"/>
  <c r="B2001" i="6"/>
  <c r="N2000" i="6"/>
  <c r="A2000" i="6"/>
  <c r="M1999" i="6"/>
  <c r="T1998" i="6"/>
  <c r="I1998" i="6"/>
  <c r="S1997" i="6"/>
  <c r="H1997" i="6"/>
  <c r="P1996" i="6"/>
  <c r="C1996" i="6"/>
  <c r="O1995" i="6"/>
  <c r="B1995" i="6"/>
  <c r="N1994" i="6"/>
  <c r="A1994" i="6"/>
  <c r="M1993" i="6"/>
  <c r="T1992" i="6"/>
  <c r="I1992" i="6"/>
  <c r="S1991" i="6"/>
  <c r="H1991" i="6"/>
  <c r="Q1990" i="6"/>
  <c r="E1990" i="6"/>
  <c r="Q1989" i="6"/>
  <c r="E1989" i="6"/>
  <c r="Q1988" i="6"/>
  <c r="E1988" i="6"/>
  <c r="Q1987" i="6"/>
  <c r="E1987" i="6"/>
  <c r="Q1986" i="6"/>
  <c r="E1986" i="6"/>
  <c r="Q1985" i="6"/>
  <c r="E1985" i="6"/>
  <c r="Q1984" i="6"/>
  <c r="E1984" i="6"/>
  <c r="Q1983" i="6"/>
  <c r="E1983" i="6"/>
  <c r="Q1982" i="6"/>
  <c r="D1982" i="6"/>
  <c r="O2051" i="6"/>
  <c r="B2051" i="6"/>
  <c r="I2050" i="6"/>
  <c r="Q2049" i="6"/>
  <c r="D2049" i="6"/>
  <c r="N2048" i="6"/>
  <c r="A2048" i="6"/>
  <c r="H2047" i="6"/>
  <c r="P2046" i="6"/>
  <c r="C2046" i="6"/>
  <c r="M2045" i="6"/>
  <c r="R2044" i="6"/>
  <c r="E2044" i="6"/>
  <c r="O2043" i="6"/>
  <c r="B2043" i="6"/>
  <c r="I2042" i="6"/>
  <c r="P2041" i="6"/>
  <c r="C2041" i="6"/>
  <c r="N2040" i="6"/>
  <c r="A2040" i="6"/>
  <c r="I2039" i="6"/>
  <c r="R2038" i="6"/>
  <c r="E2038" i="6"/>
  <c r="P2037" i="6"/>
  <c r="C2037" i="6"/>
  <c r="N2036" i="6"/>
  <c r="A2036" i="6"/>
  <c r="I2035" i="6"/>
  <c r="R2034" i="6"/>
  <c r="E2034" i="6"/>
  <c r="P2033" i="6"/>
  <c r="C2033" i="6"/>
  <c r="N2032" i="6"/>
  <c r="A2032" i="6"/>
  <c r="I2031" i="6"/>
  <c r="R2030" i="6"/>
  <c r="E2030" i="6"/>
  <c r="P2029" i="6"/>
  <c r="C2029" i="6"/>
  <c r="N2028" i="6"/>
  <c r="A2028" i="6"/>
  <c r="I2027" i="6"/>
  <c r="P2026" i="6"/>
  <c r="C2026" i="6"/>
  <c r="O2025" i="6"/>
  <c r="B2025" i="6"/>
  <c r="N2024" i="6"/>
  <c r="A2024" i="6"/>
  <c r="H2023" i="6"/>
  <c r="Q2022" i="6"/>
  <c r="C2022" i="6"/>
  <c r="M2021" i="6"/>
  <c r="T2020" i="6"/>
  <c r="E2020" i="6"/>
  <c r="O2019" i="6"/>
  <c r="B2019" i="6"/>
  <c r="I2018" i="6"/>
  <c r="S2017" i="6"/>
  <c r="D2017" i="6"/>
  <c r="O2016" i="6"/>
  <c r="C2016" i="6"/>
  <c r="N2015" i="6"/>
  <c r="B2015" i="6"/>
  <c r="M2014" i="6"/>
  <c r="A2014" i="6"/>
  <c r="I2013" i="6"/>
  <c r="S2012" i="6"/>
  <c r="H2012" i="6"/>
  <c r="P2011" i="6"/>
  <c r="C2011" i="6"/>
  <c r="O2010" i="6"/>
  <c r="B2010" i="6"/>
  <c r="N2009" i="6"/>
  <c r="A2009" i="6"/>
  <c r="M2008" i="6"/>
  <c r="T2007" i="6"/>
  <c r="I2007" i="6"/>
  <c r="S2006" i="6"/>
  <c r="H2006" i="6"/>
  <c r="R2005" i="6"/>
  <c r="E2005" i="6"/>
  <c r="Q2004" i="6"/>
  <c r="D2004" i="6"/>
  <c r="P2003" i="6"/>
  <c r="C2003" i="6"/>
  <c r="O2002" i="6"/>
  <c r="B2002" i="6"/>
  <c r="N2001" i="6"/>
  <c r="A2001" i="6"/>
  <c r="M2000" i="6"/>
  <c r="T1999" i="6"/>
  <c r="I1999" i="6"/>
  <c r="S1998" i="6"/>
  <c r="H1998" i="6"/>
  <c r="R1997" i="6"/>
  <c r="E1997" i="6"/>
  <c r="O1996" i="6"/>
  <c r="B1996" i="6"/>
  <c r="N1995" i="6"/>
  <c r="A1995" i="6"/>
  <c r="M1994" i="6"/>
  <c r="T1993" i="6"/>
  <c r="I1993" i="6"/>
  <c r="S1992" i="6"/>
  <c r="H1992" i="6"/>
  <c r="R1991" i="6"/>
  <c r="E1991" i="6"/>
  <c r="P1990" i="6"/>
  <c r="D1990" i="6"/>
  <c r="P1989" i="6"/>
  <c r="D1989" i="6"/>
  <c r="P1988" i="6"/>
  <c r="D1988" i="6"/>
  <c r="P1987" i="6"/>
  <c r="D1987" i="6"/>
  <c r="P1986" i="6"/>
  <c r="D1986" i="6"/>
  <c r="P1985" i="6"/>
  <c r="D1985" i="6"/>
  <c r="P1984" i="6"/>
  <c r="D1984" i="6"/>
  <c r="P1983" i="6"/>
  <c r="D1983" i="6"/>
  <c r="P1982" i="6"/>
  <c r="C1982" i="6"/>
  <c r="N2051" i="6"/>
  <c r="A2051" i="6"/>
  <c r="H2050" i="6"/>
  <c r="P2049" i="6"/>
  <c r="C2049" i="6"/>
  <c r="M2048" i="6"/>
  <c r="R2047" i="6"/>
  <c r="E2047" i="6"/>
  <c r="O2046" i="6"/>
  <c r="B2046" i="6"/>
  <c r="I2045" i="6"/>
  <c r="Q2044" i="6"/>
  <c r="D2044" i="6"/>
  <c r="N2043" i="6"/>
  <c r="A2043" i="6"/>
  <c r="H2042" i="6"/>
  <c r="O2041" i="6"/>
  <c r="B2041" i="6"/>
  <c r="M2040" i="6"/>
  <c r="S2039" i="6"/>
  <c r="H2039" i="6"/>
  <c r="Q2038" i="6"/>
  <c r="D2038" i="6"/>
  <c r="O2037" i="6"/>
  <c r="B2037" i="6"/>
  <c r="M2036" i="6"/>
  <c r="S2035" i="6"/>
  <c r="H2035" i="6"/>
  <c r="Q2034" i="6"/>
  <c r="D2034" i="6"/>
  <c r="O2033" i="6"/>
  <c r="B2033" i="6"/>
  <c r="M2032" i="6"/>
  <c r="S2031" i="6"/>
  <c r="H2031" i="6"/>
  <c r="Q2030" i="6"/>
  <c r="D2030" i="6"/>
  <c r="O2029" i="6"/>
  <c r="B2029" i="6"/>
  <c r="M2028" i="6"/>
  <c r="S2027" i="6"/>
  <c r="H2027" i="6"/>
  <c r="O2026" i="6"/>
  <c r="B2026" i="6"/>
  <c r="N2025" i="6"/>
  <c r="A2025" i="6"/>
  <c r="M2024" i="6"/>
  <c r="S2023" i="6"/>
  <c r="E2023" i="6"/>
  <c r="P2022" i="6"/>
  <c r="B2022" i="6"/>
  <c r="I2021" i="6"/>
  <c r="S2020" i="6"/>
  <c r="D2020" i="6"/>
  <c r="N2019" i="6"/>
  <c r="A2019" i="6"/>
  <c r="H2018" i="6"/>
  <c r="P2017" i="6"/>
  <c r="C2017" i="6"/>
  <c r="N2016" i="6"/>
  <c r="B2016" i="6"/>
  <c r="M2015" i="6"/>
  <c r="A2015" i="6"/>
  <c r="I2014" i="6"/>
  <c r="S2013" i="6"/>
  <c r="H2013" i="6"/>
  <c r="R2012" i="6"/>
  <c r="E2012" i="6"/>
  <c r="O2011" i="6"/>
  <c r="B2011" i="6"/>
  <c r="N2010" i="6"/>
  <c r="A2010" i="6"/>
  <c r="M2009" i="6"/>
  <c r="T2008" i="6"/>
  <c r="I2008" i="6"/>
  <c r="S2007" i="6"/>
  <c r="H2007" i="6"/>
  <c r="R2006" i="6"/>
  <c r="E2006" i="6"/>
  <c r="Q2005" i="6"/>
  <c r="D2005" i="6"/>
  <c r="P2004" i="6"/>
  <c r="C2004" i="6"/>
  <c r="O2003" i="6"/>
  <c r="B2003" i="6"/>
  <c r="N2002" i="6"/>
  <c r="A2002" i="6"/>
  <c r="M2001" i="6"/>
  <c r="T2000" i="6"/>
  <c r="I2000" i="6"/>
  <c r="S1999" i="6"/>
  <c r="H1999" i="6"/>
  <c r="R1998" i="6"/>
  <c r="E1998" i="6"/>
  <c r="Q1997" i="6"/>
  <c r="D1997" i="6"/>
  <c r="N1996" i="6"/>
  <c r="A1996" i="6"/>
  <c r="M1995" i="6"/>
  <c r="T1994" i="6"/>
  <c r="I1994" i="6"/>
  <c r="S1993" i="6"/>
  <c r="H1993" i="6"/>
  <c r="R1992" i="6"/>
  <c r="E1992" i="6"/>
  <c r="Q1991" i="6"/>
  <c r="D1991" i="6"/>
  <c r="O1990" i="6"/>
  <c r="C1990" i="6"/>
  <c r="O1989" i="6"/>
  <c r="C1989" i="6"/>
  <c r="O1988" i="6"/>
  <c r="C1988" i="6"/>
  <c r="O1987" i="6"/>
  <c r="C1987" i="6"/>
  <c r="O1986" i="6"/>
  <c r="C1986" i="6"/>
  <c r="O1985" i="6"/>
  <c r="C1985" i="6"/>
  <c r="O1984" i="6"/>
  <c r="C1984" i="6"/>
  <c r="O1983" i="6"/>
  <c r="C1983" i="6"/>
  <c r="O1982" i="6"/>
  <c r="M2051" i="6"/>
  <c r="R2050" i="6"/>
  <c r="E2050" i="6"/>
  <c r="O2049" i="6"/>
  <c r="B2049" i="6"/>
  <c r="I2048" i="6"/>
  <c r="Q2047" i="6"/>
  <c r="D2047" i="6"/>
  <c r="N2046" i="6"/>
  <c r="A2046" i="6"/>
  <c r="H2045" i="6"/>
  <c r="P2044" i="6"/>
  <c r="C2044" i="6"/>
  <c r="M2043" i="6"/>
  <c r="R2042" i="6"/>
  <c r="E2042" i="6"/>
  <c r="N2041" i="6"/>
  <c r="A2041" i="6"/>
  <c r="I2040" i="6"/>
  <c r="R2039" i="6"/>
  <c r="E2039" i="6"/>
  <c r="P2038" i="6"/>
  <c r="C2038" i="6"/>
  <c r="N2037" i="6"/>
  <c r="A2037" i="6"/>
  <c r="I2036" i="6"/>
  <c r="R2035" i="6"/>
  <c r="E2035" i="6"/>
  <c r="P2034" i="6"/>
  <c r="C2034" i="6"/>
  <c r="N2033" i="6"/>
  <c r="A2033" i="6"/>
  <c r="I2032" i="6"/>
  <c r="R2031" i="6"/>
  <c r="E2031" i="6"/>
  <c r="P2030" i="6"/>
  <c r="C2030" i="6"/>
  <c r="N2029" i="6"/>
  <c r="A2029" i="6"/>
  <c r="I2028" i="6"/>
  <c r="R2027" i="6"/>
  <c r="E2027" i="6"/>
  <c r="N2026" i="6"/>
  <c r="A2026" i="6"/>
  <c r="M2025" i="6"/>
  <c r="T2024" i="6"/>
  <c r="I2024" i="6"/>
  <c r="R2023" i="6"/>
  <c r="D2023" i="6"/>
  <c r="O2022" i="6"/>
  <c r="A2022" i="6"/>
  <c r="H2021" i="6"/>
  <c r="P2020" i="6"/>
  <c r="C2020" i="6"/>
  <c r="M2019" i="6"/>
  <c r="T2018" i="6"/>
  <c r="E2018" i="6"/>
  <c r="O2017" i="6"/>
  <c r="B2017" i="6"/>
  <c r="M2016" i="6"/>
  <c r="A2016" i="6"/>
  <c r="I2015" i="6"/>
  <c r="S2014" i="6"/>
  <c r="H2014" i="6"/>
  <c r="R2013" i="6"/>
  <c r="F2013" i="6"/>
  <c r="Q2012" i="6"/>
  <c r="D2012" i="6"/>
  <c r="N2011" i="6"/>
  <c r="A2011" i="6"/>
  <c r="M2010" i="6"/>
  <c r="T2009" i="6"/>
  <c r="I2009" i="6"/>
  <c r="S2008" i="6"/>
  <c r="H2008" i="6"/>
  <c r="R2007" i="6"/>
  <c r="E2007" i="6"/>
  <c r="Q2006" i="6"/>
  <c r="D2006" i="6"/>
  <c r="P2005" i="6"/>
  <c r="C2005" i="6"/>
  <c r="O2004" i="6"/>
  <c r="B2004" i="6"/>
  <c r="N2003" i="6"/>
  <c r="A2003" i="6"/>
  <c r="M2002" i="6"/>
  <c r="T2001" i="6"/>
  <c r="I2001" i="6"/>
  <c r="S2000" i="6"/>
  <c r="H2000" i="6"/>
  <c r="R1999" i="6"/>
  <c r="E1999" i="6"/>
  <c r="Q1998" i="6"/>
  <c r="D1998" i="6"/>
  <c r="P1997" i="6"/>
  <c r="C1997" i="6"/>
  <c r="M1996" i="6"/>
  <c r="T1995" i="6"/>
  <c r="I1995" i="6"/>
  <c r="S1994" i="6"/>
  <c r="H1994" i="6"/>
  <c r="R1993" i="6"/>
  <c r="E1993" i="6"/>
  <c r="Q1992" i="6"/>
  <c r="D1992" i="6"/>
  <c r="P1991" i="6"/>
  <c r="C1991" i="6"/>
  <c r="N1990" i="6"/>
  <c r="B1990" i="6"/>
  <c r="N1989" i="6"/>
  <c r="B1989" i="6"/>
  <c r="N1988" i="6"/>
  <c r="B1988" i="6"/>
  <c r="N1987" i="6"/>
  <c r="B1987" i="6"/>
  <c r="N1986" i="6"/>
  <c r="B1986" i="6"/>
  <c r="N1985" i="6"/>
  <c r="B1985" i="6"/>
  <c r="N1984" i="6"/>
  <c r="B1984" i="6"/>
  <c r="N1983" i="6"/>
  <c r="B1983" i="6"/>
  <c r="N1982" i="6"/>
  <c r="A1982" i="6"/>
  <c r="M1981" i="6"/>
  <c r="T1980" i="6"/>
  <c r="H2051" i="6"/>
  <c r="P2050" i="6"/>
  <c r="C2050" i="6"/>
  <c r="M2049" i="6"/>
  <c r="R2048" i="6"/>
  <c r="E2048" i="6"/>
  <c r="O2047" i="6"/>
  <c r="B2047" i="6"/>
  <c r="I2046" i="6"/>
  <c r="Q2045" i="6"/>
  <c r="D2045" i="6"/>
  <c r="N2044" i="6"/>
  <c r="A2044" i="6"/>
  <c r="H2043" i="6"/>
  <c r="P2042" i="6"/>
  <c r="C2042" i="6"/>
  <c r="I2041" i="6"/>
  <c r="R2040" i="6"/>
  <c r="E2040" i="6"/>
  <c r="P2039" i="6"/>
  <c r="C2039" i="6"/>
  <c r="N2038" i="6"/>
  <c r="A2038" i="6"/>
  <c r="I2037" i="6"/>
  <c r="R2036" i="6"/>
  <c r="E2036" i="6"/>
  <c r="P2035" i="6"/>
  <c r="C2035" i="6"/>
  <c r="N2034" i="6"/>
  <c r="A2034" i="6"/>
  <c r="I2033" i="6"/>
  <c r="R2032" i="6"/>
  <c r="E2032" i="6"/>
  <c r="P2031" i="6"/>
  <c r="C2031" i="6"/>
  <c r="N2030" i="6"/>
  <c r="A2030" i="6"/>
  <c r="I2029" i="6"/>
  <c r="R2028" i="6"/>
  <c r="E2028" i="6"/>
  <c r="P2027" i="6"/>
  <c r="C2027" i="6"/>
  <c r="I2026" i="6"/>
  <c r="S2025" i="6"/>
  <c r="H2025" i="6"/>
  <c r="R2024" i="6"/>
  <c r="E2024" i="6"/>
  <c r="P2023" i="6"/>
  <c r="B2023" i="6"/>
  <c r="M2022" i="6"/>
  <c r="S2021" i="6"/>
  <c r="D2021" i="6"/>
  <c r="N2020" i="6"/>
  <c r="A2020" i="6"/>
  <c r="H2019" i="6"/>
  <c r="P2018" i="6"/>
  <c r="C2018" i="6"/>
  <c r="M2017" i="6"/>
  <c r="S2016" i="6"/>
  <c r="H2016" i="6"/>
  <c r="R2015" i="6"/>
  <c r="F2015" i="6"/>
  <c r="Q2014" i="6"/>
  <c r="E2014" i="6"/>
  <c r="P2013" i="6"/>
  <c r="D2013" i="6"/>
  <c r="O2012" i="6"/>
  <c r="B2012" i="6"/>
  <c r="I2011" i="6"/>
  <c r="S2010" i="6"/>
  <c r="H2010" i="6"/>
  <c r="R2009" i="6"/>
  <c r="E2009" i="6"/>
  <c r="Q2008" i="6"/>
  <c r="D2008" i="6"/>
  <c r="P2007" i="6"/>
  <c r="C2007" i="6"/>
  <c r="O2006" i="6"/>
  <c r="B2006" i="6"/>
  <c r="N2005" i="6"/>
  <c r="A2005" i="6"/>
  <c r="M2004" i="6"/>
  <c r="T2003" i="6"/>
  <c r="I2003" i="6"/>
  <c r="S2002" i="6"/>
  <c r="H2002" i="6"/>
  <c r="R2001" i="6"/>
  <c r="E2001" i="6"/>
  <c r="Q2000" i="6"/>
  <c r="D2000" i="6"/>
  <c r="P1999" i="6"/>
  <c r="C1999" i="6"/>
  <c r="O1998" i="6"/>
  <c r="B1998" i="6"/>
  <c r="N1997" i="6"/>
  <c r="A1997" i="6"/>
  <c r="H1996" i="6"/>
  <c r="R1995" i="6"/>
  <c r="E1995" i="6"/>
  <c r="Q1994" i="6"/>
  <c r="D1994" i="6"/>
  <c r="P1993" i="6"/>
  <c r="C1993" i="6"/>
  <c r="O1992" i="6"/>
  <c r="B1992" i="6"/>
  <c r="N1991" i="6"/>
  <c r="A1991" i="6"/>
  <c r="L1990" i="6"/>
  <c r="T1989" i="6"/>
  <c r="L1989" i="6"/>
  <c r="T1988" i="6"/>
  <c r="L1988" i="6"/>
  <c r="T1987" i="6"/>
  <c r="L1987" i="6"/>
  <c r="T1986" i="6"/>
  <c r="L1986" i="6"/>
  <c r="T1985" i="6"/>
  <c r="L1985" i="6"/>
  <c r="T1984" i="6"/>
  <c r="L1984" i="6"/>
  <c r="T1983" i="6"/>
  <c r="L1983" i="6"/>
  <c r="T1982" i="6"/>
  <c r="L1982" i="6"/>
  <c r="S1981" i="6"/>
  <c r="I1981" i="6"/>
  <c r="R1980" i="6"/>
  <c r="I2051" i="6"/>
  <c r="M2046" i="6"/>
  <c r="M2041" i="6"/>
  <c r="S2036" i="6"/>
  <c r="H2032" i="6"/>
  <c r="Q2027" i="6"/>
  <c r="C2023" i="6"/>
  <c r="D2018" i="6"/>
  <c r="Q2013" i="6"/>
  <c r="H2009" i="6"/>
  <c r="B2005" i="6"/>
  <c r="R2000" i="6"/>
  <c r="I1996" i="6"/>
  <c r="C1992" i="6"/>
  <c r="A1988" i="6"/>
  <c r="A1984" i="6"/>
  <c r="N1981" i="6"/>
  <c r="O1980" i="6"/>
  <c r="C1980" i="6"/>
  <c r="O1979" i="6"/>
  <c r="C1979" i="6"/>
  <c r="O1978" i="6"/>
  <c r="C1978" i="6"/>
  <c r="O1977" i="6"/>
  <c r="C1977" i="6"/>
  <c r="O1976" i="6"/>
  <c r="B1976" i="6"/>
  <c r="N1975" i="6"/>
  <c r="B1975" i="6"/>
  <c r="N1974" i="6"/>
  <c r="A1974" i="6"/>
  <c r="M1973" i="6"/>
  <c r="T1972" i="6"/>
  <c r="L1972" i="6"/>
  <c r="S1971" i="6"/>
  <c r="H1971" i="6"/>
  <c r="R1970" i="6"/>
  <c r="E1970" i="6"/>
  <c r="Q1969" i="6"/>
  <c r="E1969" i="6"/>
  <c r="Q1968" i="6"/>
  <c r="D1968" i="6"/>
  <c r="P1967" i="6"/>
  <c r="D1967" i="6"/>
  <c r="P1966" i="6"/>
  <c r="D1966" i="6"/>
  <c r="P1965" i="6"/>
  <c r="D1965" i="6"/>
  <c r="N1964" i="6"/>
  <c r="A1964" i="6"/>
  <c r="M1963" i="6"/>
  <c r="T1962" i="6"/>
  <c r="L1962" i="6"/>
  <c r="T1961" i="6"/>
  <c r="L1961" i="6"/>
  <c r="T1960" i="6"/>
  <c r="L1960" i="6"/>
  <c r="T1959" i="6"/>
  <c r="L1959" i="6"/>
  <c r="S1958" i="6"/>
  <c r="H1958" i="6"/>
  <c r="R1957" i="6"/>
  <c r="E1957" i="6"/>
  <c r="Q1956" i="6"/>
  <c r="D1956" i="6"/>
  <c r="P1955" i="6"/>
  <c r="C1955" i="6"/>
  <c r="O1954" i="6"/>
  <c r="B1954" i="6"/>
  <c r="N1953" i="6"/>
  <c r="A1953" i="6"/>
  <c r="M1952" i="6"/>
  <c r="T1951" i="6"/>
  <c r="L1951" i="6"/>
  <c r="S1950" i="6"/>
  <c r="H1950" i="6"/>
  <c r="R1949" i="6"/>
  <c r="F1949" i="6"/>
  <c r="R1948" i="6"/>
  <c r="G1948" i="6"/>
  <c r="R1947" i="6"/>
  <c r="E1947" i="6"/>
  <c r="Q1946" i="6"/>
  <c r="D1946" i="6"/>
  <c r="P1945" i="6"/>
  <c r="D1945" i="6"/>
  <c r="P1944" i="6"/>
  <c r="D1944" i="6"/>
  <c r="P1943" i="6"/>
  <c r="C1943" i="6"/>
  <c r="O1942" i="6"/>
  <c r="B1942" i="6"/>
  <c r="M1941" i="6"/>
  <c r="T1940" i="6"/>
  <c r="L1940" i="6"/>
  <c r="R1939" i="6"/>
  <c r="E1939" i="6"/>
  <c r="Q1938" i="6"/>
  <c r="D1938" i="6"/>
  <c r="P1937" i="6"/>
  <c r="C1937" i="6"/>
  <c r="O1936" i="6"/>
  <c r="B1936" i="6"/>
  <c r="N1935" i="6"/>
  <c r="B1935" i="6"/>
  <c r="N1934" i="6"/>
  <c r="B1934" i="6"/>
  <c r="N1933" i="6"/>
  <c r="A1933" i="6"/>
  <c r="M1932" i="6"/>
  <c r="T1931" i="6"/>
  <c r="L1931" i="6"/>
  <c r="S1930" i="6"/>
  <c r="H1930" i="6"/>
  <c r="R1929" i="6"/>
  <c r="E1929" i="6"/>
  <c r="Q1928" i="6"/>
  <c r="D1928" i="6"/>
  <c r="P1927" i="6"/>
  <c r="C1927" i="6"/>
  <c r="O1926" i="6"/>
  <c r="B1926" i="6"/>
  <c r="N1925" i="6"/>
  <c r="Q2050" i="6"/>
  <c r="R2045" i="6"/>
  <c r="S2040" i="6"/>
  <c r="H2036" i="6"/>
  <c r="Q2031" i="6"/>
  <c r="D2027" i="6"/>
  <c r="N2022" i="6"/>
  <c r="N2017" i="6"/>
  <c r="E2013" i="6"/>
  <c r="R2008" i="6"/>
  <c r="N2004" i="6"/>
  <c r="E2000" i="6"/>
  <c r="S1995" i="6"/>
  <c r="O1991" i="6"/>
  <c r="M1987" i="6"/>
  <c r="M1983" i="6"/>
  <c r="L1981" i="6"/>
  <c r="N1980" i="6"/>
  <c r="B1980" i="6"/>
  <c r="N1979" i="6"/>
  <c r="B1979" i="6"/>
  <c r="N1978" i="6"/>
  <c r="B1978" i="6"/>
  <c r="N1977" i="6"/>
  <c r="B1977" i="6"/>
  <c r="N1976" i="6"/>
  <c r="A1976" i="6"/>
  <c r="M1975" i="6"/>
  <c r="A1975" i="6"/>
  <c r="M1974" i="6"/>
  <c r="T1973" i="6"/>
  <c r="L1973" i="6"/>
  <c r="S1972" i="6"/>
  <c r="H1972" i="6"/>
  <c r="R1971" i="6"/>
  <c r="E1971" i="6"/>
  <c r="Q1970" i="6"/>
  <c r="D1970" i="6"/>
  <c r="P1969" i="6"/>
  <c r="D1969" i="6"/>
  <c r="P1968" i="6"/>
  <c r="C1968" i="6"/>
  <c r="O1967" i="6"/>
  <c r="C1967" i="6"/>
  <c r="O1966" i="6"/>
  <c r="C1966" i="6"/>
  <c r="O1965" i="6"/>
  <c r="C1965" i="6"/>
  <c r="M1964" i="6"/>
  <c r="T1963" i="6"/>
  <c r="L1963" i="6"/>
  <c r="S1962" i="6"/>
  <c r="I1962" i="6"/>
  <c r="S1961" i="6"/>
  <c r="I1961" i="6"/>
  <c r="S1960" i="6"/>
  <c r="I1960" i="6"/>
  <c r="S1959" i="6"/>
  <c r="H1959" i="6"/>
  <c r="R1958" i="6"/>
  <c r="E1958" i="6"/>
  <c r="Q1957" i="6"/>
  <c r="D1957" i="6"/>
  <c r="P1956" i="6"/>
  <c r="C1956" i="6"/>
  <c r="O1955" i="6"/>
  <c r="B1955" i="6"/>
  <c r="N1954" i="6"/>
  <c r="A1954" i="6"/>
  <c r="M1953" i="6"/>
  <c r="T1952" i="6"/>
  <c r="L1952" i="6"/>
  <c r="S1951" i="6"/>
  <c r="H1951" i="6"/>
  <c r="R1950" i="6"/>
  <c r="E1950" i="6"/>
  <c r="Q1949" i="6"/>
  <c r="E1949" i="6"/>
  <c r="Q1948" i="6"/>
  <c r="E1948" i="6"/>
  <c r="Q1947" i="6"/>
  <c r="D1947" i="6"/>
  <c r="P1946" i="6"/>
  <c r="C1946" i="6"/>
  <c r="O1945" i="6"/>
  <c r="C1945" i="6"/>
  <c r="O1944" i="6"/>
  <c r="C1944" i="6"/>
  <c r="O1943" i="6"/>
  <c r="B1943" i="6"/>
  <c r="N1942" i="6"/>
  <c r="A1942" i="6"/>
  <c r="L1941" i="6"/>
  <c r="S1940" i="6"/>
  <c r="H1940" i="6"/>
  <c r="Q1939" i="6"/>
  <c r="D1939" i="6"/>
  <c r="P1938" i="6"/>
  <c r="C1938" i="6"/>
  <c r="O1937" i="6"/>
  <c r="B1937" i="6"/>
  <c r="N1936" i="6"/>
  <c r="A1936" i="6"/>
  <c r="M1935" i="6"/>
  <c r="A1935" i="6"/>
  <c r="M1934" i="6"/>
  <c r="A1934" i="6"/>
  <c r="M1933" i="6"/>
  <c r="T1932" i="6"/>
  <c r="L1932" i="6"/>
  <c r="S1931" i="6"/>
  <c r="H1931" i="6"/>
  <c r="R1930" i="6"/>
  <c r="E1930" i="6"/>
  <c r="Q1929" i="6"/>
  <c r="D1929" i="6"/>
  <c r="P1928" i="6"/>
  <c r="C1928" i="6"/>
  <c r="O1927" i="6"/>
  <c r="B1927" i="6"/>
  <c r="N1926" i="6"/>
  <c r="A1926" i="6"/>
  <c r="M1925" i="6"/>
  <c r="T1924" i="6"/>
  <c r="L1924" i="6"/>
  <c r="D2050" i="6"/>
  <c r="E2045" i="6"/>
  <c r="H2040" i="6"/>
  <c r="Q2035" i="6"/>
  <c r="D2031" i="6"/>
  <c r="M2026" i="6"/>
  <c r="T2021" i="6"/>
  <c r="A2017" i="6"/>
  <c r="P2012" i="6"/>
  <c r="E2008" i="6"/>
  <c r="A2004" i="6"/>
  <c r="Q1999" i="6"/>
  <c r="H1995" i="6"/>
  <c r="B1991" i="6"/>
  <c r="A1987" i="6"/>
  <c r="A1983" i="6"/>
  <c r="C1981" i="6"/>
  <c r="M1980" i="6"/>
  <c r="A1980" i="6"/>
  <c r="M1979" i="6"/>
  <c r="A1979" i="6"/>
  <c r="M1978" i="6"/>
  <c r="A1978" i="6"/>
  <c r="M1977" i="6"/>
  <c r="A1977" i="6"/>
  <c r="M1976" i="6"/>
  <c r="T1975" i="6"/>
  <c r="L1975" i="6"/>
  <c r="T1974" i="6"/>
  <c r="L1974" i="6"/>
  <c r="S1973" i="6"/>
  <c r="H1973" i="6"/>
  <c r="R1972" i="6"/>
  <c r="E1972" i="6"/>
  <c r="Q1971" i="6"/>
  <c r="D1971" i="6"/>
  <c r="P1970" i="6"/>
  <c r="C1970" i="6"/>
  <c r="O1969" i="6"/>
  <c r="C1969" i="6"/>
  <c r="O1968" i="6"/>
  <c r="B1968" i="6"/>
  <c r="N1967" i="6"/>
  <c r="B1967" i="6"/>
  <c r="N1966" i="6"/>
  <c r="B1966" i="6"/>
  <c r="N1965" i="6"/>
  <c r="B1965" i="6"/>
  <c r="L1964" i="6"/>
  <c r="S1963" i="6"/>
  <c r="H1963" i="6"/>
  <c r="R1962" i="6"/>
  <c r="H1962" i="6"/>
  <c r="R1961" i="6"/>
  <c r="H1961" i="6"/>
  <c r="R1960" i="6"/>
  <c r="H1960" i="6"/>
  <c r="R1959" i="6"/>
  <c r="E1959" i="6"/>
  <c r="Q1958" i="6"/>
  <c r="D1958" i="6"/>
  <c r="P1957" i="6"/>
  <c r="C1957" i="6"/>
  <c r="O1956" i="6"/>
  <c r="B1956" i="6"/>
  <c r="N1955" i="6"/>
  <c r="A1955" i="6"/>
  <c r="M1954" i="6"/>
  <c r="T1953" i="6"/>
  <c r="L1953" i="6"/>
  <c r="S1952" i="6"/>
  <c r="H1952" i="6"/>
  <c r="R1951" i="6"/>
  <c r="E1951" i="6"/>
  <c r="Q1950" i="6"/>
  <c r="D1950" i="6"/>
  <c r="P1949" i="6"/>
  <c r="D1949" i="6"/>
  <c r="P1948" i="6"/>
  <c r="D1948" i="6"/>
  <c r="P1947" i="6"/>
  <c r="C1947" i="6"/>
  <c r="O1946" i="6"/>
  <c r="B1946" i="6"/>
  <c r="N1945" i="6"/>
  <c r="B1945" i="6"/>
  <c r="N1944" i="6"/>
  <c r="B1944" i="6"/>
  <c r="N1943" i="6"/>
  <c r="A1943" i="6"/>
  <c r="M1942" i="6"/>
  <c r="S1941" i="6"/>
  <c r="H1941" i="6"/>
  <c r="R1940" i="6"/>
  <c r="E1940" i="6"/>
  <c r="P1939" i="6"/>
  <c r="C1939" i="6"/>
  <c r="O1938" i="6"/>
  <c r="B1938" i="6"/>
  <c r="N1937" i="6"/>
  <c r="A1937" i="6"/>
  <c r="M1936" i="6"/>
  <c r="T1935" i="6"/>
  <c r="L1935" i="6"/>
  <c r="T1934" i="6"/>
  <c r="L1934" i="6"/>
  <c r="T1933" i="6"/>
  <c r="L1933" i="6"/>
  <c r="S1932" i="6"/>
  <c r="H1932" i="6"/>
  <c r="R1931" i="6"/>
  <c r="E1931" i="6"/>
  <c r="Q1930" i="6"/>
  <c r="D1930" i="6"/>
  <c r="P1929" i="6"/>
  <c r="C1929" i="6"/>
  <c r="O1928" i="6"/>
  <c r="B1928" i="6"/>
  <c r="N1927" i="6"/>
  <c r="A1927" i="6"/>
  <c r="M1926" i="6"/>
  <c r="T1925" i="6"/>
  <c r="L1925" i="6"/>
  <c r="S1924" i="6"/>
  <c r="H1924" i="6"/>
  <c r="R1923" i="6"/>
  <c r="E1923" i="6"/>
  <c r="N2049" i="6"/>
  <c r="O2044" i="6"/>
  <c r="Q2039" i="6"/>
  <c r="D2035" i="6"/>
  <c r="O2030" i="6"/>
  <c r="T2025" i="6"/>
  <c r="E2021" i="6"/>
  <c r="I2016" i="6"/>
  <c r="C2012" i="6"/>
  <c r="Q2007" i="6"/>
  <c r="M2003" i="6"/>
  <c r="D1999" i="6"/>
  <c r="R1994" i="6"/>
  <c r="M1990" i="6"/>
  <c r="M1986" i="6"/>
  <c r="M1982" i="6"/>
  <c r="B1981" i="6"/>
  <c r="L1980" i="6"/>
  <c r="T1979" i="6"/>
  <c r="L1979" i="6"/>
  <c r="T1978" i="6"/>
  <c r="L1978" i="6"/>
  <c r="T1977" i="6"/>
  <c r="L1977" i="6"/>
  <c r="T1976" i="6"/>
  <c r="L1976" i="6"/>
  <c r="S1975" i="6"/>
  <c r="I1975" i="6"/>
  <c r="S1974" i="6"/>
  <c r="H1974" i="6"/>
  <c r="R1973" i="6"/>
  <c r="E1973" i="6"/>
  <c r="Q1972" i="6"/>
  <c r="D1972" i="6"/>
  <c r="P1971" i="6"/>
  <c r="C1971" i="6"/>
  <c r="O1970" i="6"/>
  <c r="B1970" i="6"/>
  <c r="N1969" i="6"/>
  <c r="B1969" i="6"/>
  <c r="N1968" i="6"/>
  <c r="A1968" i="6"/>
  <c r="M1967" i="6"/>
  <c r="A1967" i="6"/>
  <c r="M1966" i="6"/>
  <c r="A1966" i="6"/>
  <c r="M1965" i="6"/>
  <c r="A1965" i="6"/>
  <c r="H1964" i="6"/>
  <c r="R1963" i="6"/>
  <c r="E1963" i="6"/>
  <c r="Q1962" i="6"/>
  <c r="E1962" i="6"/>
  <c r="Q1961" i="6"/>
  <c r="E1961" i="6"/>
  <c r="Q1960" i="6"/>
  <c r="E1960" i="6"/>
  <c r="Q1959" i="6"/>
  <c r="D1959" i="6"/>
  <c r="P1958" i="6"/>
  <c r="C1958" i="6"/>
  <c r="O1957" i="6"/>
  <c r="B1957" i="6"/>
  <c r="N1956" i="6"/>
  <c r="A1956" i="6"/>
  <c r="M1955" i="6"/>
  <c r="T1954" i="6"/>
  <c r="L1954" i="6"/>
  <c r="S1953" i="6"/>
  <c r="H1953" i="6"/>
  <c r="R1952" i="6"/>
  <c r="E1952" i="6"/>
  <c r="Q1951" i="6"/>
  <c r="D1951" i="6"/>
  <c r="P1950" i="6"/>
  <c r="C1950" i="6"/>
  <c r="O1949" i="6"/>
  <c r="C1949" i="6"/>
  <c r="O1948" i="6"/>
  <c r="C1948" i="6"/>
  <c r="O1947" i="6"/>
  <c r="B1947" i="6"/>
  <c r="N1946" i="6"/>
  <c r="A1946" i="6"/>
  <c r="M1945" i="6"/>
  <c r="A1945" i="6"/>
  <c r="M1944" i="6"/>
  <c r="A1944" i="6"/>
  <c r="M1943" i="6"/>
  <c r="T1942" i="6"/>
  <c r="L1942" i="6"/>
  <c r="R1941" i="6"/>
  <c r="E1941" i="6"/>
  <c r="Q1940" i="6"/>
  <c r="D1940" i="6"/>
  <c r="O1939" i="6"/>
  <c r="B1939" i="6"/>
  <c r="N1938" i="6"/>
  <c r="A1938" i="6"/>
  <c r="M1937" i="6"/>
  <c r="T1936" i="6"/>
  <c r="L1936" i="6"/>
  <c r="S1935" i="6"/>
  <c r="H1935" i="6"/>
  <c r="S1934" i="6"/>
  <c r="H1934" i="6"/>
  <c r="S1933" i="6"/>
  <c r="H1933" i="6"/>
  <c r="R1932" i="6"/>
  <c r="E1932" i="6"/>
  <c r="Q1931" i="6"/>
  <c r="D1931" i="6"/>
  <c r="P1930" i="6"/>
  <c r="C1930" i="6"/>
  <c r="O1929" i="6"/>
  <c r="B1929" i="6"/>
  <c r="N1928" i="6"/>
  <c r="A1928" i="6"/>
  <c r="M1927" i="6"/>
  <c r="T1926" i="6"/>
  <c r="L1926" i="6"/>
  <c r="S1925" i="6"/>
  <c r="A2049" i="6"/>
  <c r="B2044" i="6"/>
  <c r="D2039" i="6"/>
  <c r="O2034" i="6"/>
  <c r="B2030" i="6"/>
  <c r="I2025" i="6"/>
  <c r="O2020" i="6"/>
  <c r="S2015" i="6"/>
  <c r="M2011" i="6"/>
  <c r="D2007" i="6"/>
  <c r="T2002" i="6"/>
  <c r="P1998" i="6"/>
  <c r="E1994" i="6"/>
  <c r="A1990" i="6"/>
  <c r="A1986" i="6"/>
  <c r="B1982" i="6"/>
  <c r="A1981" i="6"/>
  <c r="I1980" i="6"/>
  <c r="S1979" i="6"/>
  <c r="I1979" i="6"/>
  <c r="S1978" i="6"/>
  <c r="I1978" i="6"/>
  <c r="S1977" i="6"/>
  <c r="I1977" i="6"/>
  <c r="S1976" i="6"/>
  <c r="H1976" i="6"/>
  <c r="R1975" i="6"/>
  <c r="H1975" i="6"/>
  <c r="R1974" i="6"/>
  <c r="E1974" i="6"/>
  <c r="Q1973" i="6"/>
  <c r="D1973" i="6"/>
  <c r="P1972" i="6"/>
  <c r="C1972" i="6"/>
  <c r="O1971" i="6"/>
  <c r="B1971" i="6"/>
  <c r="N1970" i="6"/>
  <c r="A1970" i="6"/>
  <c r="M1969" i="6"/>
  <c r="A1969" i="6"/>
  <c r="M1968" i="6"/>
  <c r="T1967" i="6"/>
  <c r="L1967" i="6"/>
  <c r="T1966" i="6"/>
  <c r="L1966" i="6"/>
  <c r="T1965" i="6"/>
  <c r="L1965" i="6"/>
  <c r="T1964" i="6"/>
  <c r="E1964" i="6"/>
  <c r="Q1963" i="6"/>
  <c r="D1963" i="6"/>
  <c r="P1962" i="6"/>
  <c r="D1962" i="6"/>
  <c r="P1961" i="6"/>
  <c r="D1961" i="6"/>
  <c r="P1960" i="6"/>
  <c r="D1960" i="6"/>
  <c r="P1959" i="6"/>
  <c r="C1959" i="6"/>
  <c r="O1958" i="6"/>
  <c r="B1958" i="6"/>
  <c r="N1957" i="6"/>
  <c r="A1957" i="6"/>
  <c r="M1956" i="6"/>
  <c r="T1955" i="6"/>
  <c r="L1955" i="6"/>
  <c r="S1954" i="6"/>
  <c r="H1954" i="6"/>
  <c r="R1953" i="6"/>
  <c r="E1953" i="6"/>
  <c r="Q1952" i="6"/>
  <c r="D1952" i="6"/>
  <c r="P1951" i="6"/>
  <c r="C1951" i="6"/>
  <c r="O1950" i="6"/>
  <c r="B1950" i="6"/>
  <c r="N1949" i="6"/>
  <c r="B1949" i="6"/>
  <c r="N1948" i="6"/>
  <c r="B1948" i="6"/>
  <c r="N1947" i="6"/>
  <c r="A1947" i="6"/>
  <c r="M1946" i="6"/>
  <c r="T1945" i="6"/>
  <c r="L1945" i="6"/>
  <c r="T1944" i="6"/>
  <c r="L1944" i="6"/>
  <c r="T1943" i="6"/>
  <c r="L1943" i="6"/>
  <c r="S1942" i="6"/>
  <c r="H1942" i="6"/>
  <c r="Q1941" i="6"/>
  <c r="D1941" i="6"/>
  <c r="P1940" i="6"/>
  <c r="C1940" i="6"/>
  <c r="N1939" i="6"/>
  <c r="A1939" i="6"/>
  <c r="M1938" i="6"/>
  <c r="T1937" i="6"/>
  <c r="L1937" i="6"/>
  <c r="S1936" i="6"/>
  <c r="H1936" i="6"/>
  <c r="R1935" i="6"/>
  <c r="F1935" i="6"/>
  <c r="R1934" i="6"/>
  <c r="G1934" i="6"/>
  <c r="R1933" i="6"/>
  <c r="E1933" i="6"/>
  <c r="Q1932" i="6"/>
  <c r="D1932" i="6"/>
  <c r="P1931" i="6"/>
  <c r="C1931" i="6"/>
  <c r="O1930" i="6"/>
  <c r="B1930" i="6"/>
  <c r="N1929" i="6"/>
  <c r="A1929" i="6"/>
  <c r="M1928" i="6"/>
  <c r="T1927" i="6"/>
  <c r="L1927" i="6"/>
  <c r="H2048" i="6"/>
  <c r="I2043" i="6"/>
  <c r="O2038" i="6"/>
  <c r="B2034" i="6"/>
  <c r="M2029" i="6"/>
  <c r="S2024" i="6"/>
  <c r="B2020" i="6"/>
  <c r="H2015" i="6"/>
  <c r="T2010" i="6"/>
  <c r="P2006" i="6"/>
  <c r="I2002" i="6"/>
  <c r="C1998" i="6"/>
  <c r="Q1993" i="6"/>
  <c r="M1989" i="6"/>
  <c r="M1985" i="6"/>
  <c r="T1981" i="6"/>
  <c r="S1980" i="6"/>
  <c r="H1980" i="6"/>
  <c r="R1979" i="6"/>
  <c r="H1979" i="6"/>
  <c r="R1978" i="6"/>
  <c r="H1978" i="6"/>
  <c r="R1977" i="6"/>
  <c r="H1977" i="6"/>
  <c r="R1976" i="6"/>
  <c r="E1976" i="6"/>
  <c r="Q1975" i="6"/>
  <c r="E1975" i="6"/>
  <c r="Q1974" i="6"/>
  <c r="D1974" i="6"/>
  <c r="P1973" i="6"/>
  <c r="C1973" i="6"/>
  <c r="O1972" i="6"/>
  <c r="B1972" i="6"/>
  <c r="N1971" i="6"/>
  <c r="A1971" i="6"/>
  <c r="M1970" i="6"/>
  <c r="T1969" i="6"/>
  <c r="L1969" i="6"/>
  <c r="T1968" i="6"/>
  <c r="L1968" i="6"/>
  <c r="S1967" i="6"/>
  <c r="I1967" i="6"/>
  <c r="S1966" i="6"/>
  <c r="I1966" i="6"/>
  <c r="S1965" i="6"/>
  <c r="I1965" i="6"/>
  <c r="S1964" i="6"/>
  <c r="D1964" i="6"/>
  <c r="P1963" i="6"/>
  <c r="C1963" i="6"/>
  <c r="O1962" i="6"/>
  <c r="C1962" i="6"/>
  <c r="O1961" i="6"/>
  <c r="C1961" i="6"/>
  <c r="O1960" i="6"/>
  <c r="C1960" i="6"/>
  <c r="O1959" i="6"/>
  <c r="B1959" i="6"/>
  <c r="N1958" i="6"/>
  <c r="A1958" i="6"/>
  <c r="M1957" i="6"/>
  <c r="T1956" i="6"/>
  <c r="L1956" i="6"/>
  <c r="S1955" i="6"/>
  <c r="H1955" i="6"/>
  <c r="R1954" i="6"/>
  <c r="E1954" i="6"/>
  <c r="Q1953" i="6"/>
  <c r="D1953" i="6"/>
  <c r="P1952" i="6"/>
  <c r="C1952" i="6"/>
  <c r="O1951" i="6"/>
  <c r="B1951" i="6"/>
  <c r="N1950" i="6"/>
  <c r="A1950" i="6"/>
  <c r="M1949" i="6"/>
  <c r="A1949" i="6"/>
  <c r="M1948" i="6"/>
  <c r="A1948" i="6"/>
  <c r="M1947" i="6"/>
  <c r="T1946" i="6"/>
  <c r="L1946" i="6"/>
  <c r="S1945" i="6"/>
  <c r="H1945" i="6"/>
  <c r="S1944" i="6"/>
  <c r="H1944" i="6"/>
  <c r="S1943" i="6"/>
  <c r="H1943" i="6"/>
  <c r="R1942" i="6"/>
  <c r="E1942" i="6"/>
  <c r="P1941" i="6"/>
  <c r="C1941" i="6"/>
  <c r="O1940" i="6"/>
  <c r="B1940" i="6"/>
  <c r="M1939" i="6"/>
  <c r="T1938" i="6"/>
  <c r="L1938" i="6"/>
  <c r="S1937" i="6"/>
  <c r="H1937" i="6"/>
  <c r="R1936" i="6"/>
  <c r="E1936" i="6"/>
  <c r="Q1935" i="6"/>
  <c r="E1935" i="6"/>
  <c r="Q1934" i="6"/>
  <c r="E1934" i="6"/>
  <c r="Q1933" i="6"/>
  <c r="D1933" i="6"/>
  <c r="P1932" i="6"/>
  <c r="C1932" i="6"/>
  <c r="O1931" i="6"/>
  <c r="B1931" i="6"/>
  <c r="N1930" i="6"/>
  <c r="A1930" i="6"/>
  <c r="M1929" i="6"/>
  <c r="T1928" i="6"/>
  <c r="L1928" i="6"/>
  <c r="S1927" i="6"/>
  <c r="H1927" i="6"/>
  <c r="R1926" i="6"/>
  <c r="E1926" i="6"/>
  <c r="Q1925" i="6"/>
  <c r="P2047" i="6"/>
  <c r="Q2042" i="6"/>
  <c r="B2038" i="6"/>
  <c r="M2033" i="6"/>
  <c r="S2028" i="6"/>
  <c r="H2024" i="6"/>
  <c r="I2019" i="6"/>
  <c r="R2014" i="6"/>
  <c r="I2010" i="6"/>
  <c r="C2006" i="6"/>
  <c r="S2001" i="6"/>
  <c r="O1997" i="6"/>
  <c r="D1993" i="6"/>
  <c r="A1989" i="6"/>
  <c r="A1985" i="6"/>
  <c r="P1981" i="6"/>
  <c r="Q1980" i="6"/>
  <c r="E1980" i="6"/>
  <c r="Q1979" i="6"/>
  <c r="E1979" i="6"/>
  <c r="Q1978" i="6"/>
  <c r="E1978" i="6"/>
  <c r="Q1977" i="6"/>
  <c r="E1977" i="6"/>
  <c r="Q1976" i="6"/>
  <c r="D1976" i="6"/>
  <c r="P1975" i="6"/>
  <c r="D1975" i="6"/>
  <c r="P1974" i="6"/>
  <c r="C1974" i="6"/>
  <c r="O1973" i="6"/>
  <c r="B1973" i="6"/>
  <c r="N1972" i="6"/>
  <c r="A1972" i="6"/>
  <c r="M1971" i="6"/>
  <c r="T1970" i="6"/>
  <c r="L1970" i="6"/>
  <c r="S1969" i="6"/>
  <c r="I1969" i="6"/>
  <c r="S1968" i="6"/>
  <c r="H1968" i="6"/>
  <c r="R1967" i="6"/>
  <c r="H1967" i="6"/>
  <c r="R1966" i="6"/>
  <c r="H1966" i="6"/>
  <c r="R1965" i="6"/>
  <c r="H1965" i="6"/>
  <c r="P1964" i="6"/>
  <c r="C1964" i="6"/>
  <c r="O1963" i="6"/>
  <c r="B1963" i="6"/>
  <c r="N1962" i="6"/>
  <c r="B1962" i="6"/>
  <c r="N1961" i="6"/>
  <c r="B1961" i="6"/>
  <c r="N1960" i="6"/>
  <c r="B1960" i="6"/>
  <c r="N1959" i="6"/>
  <c r="A1959" i="6"/>
  <c r="M1958" i="6"/>
  <c r="T1957" i="6"/>
  <c r="L1957" i="6"/>
  <c r="S1956" i="6"/>
  <c r="H1956" i="6"/>
  <c r="R1955" i="6"/>
  <c r="E1955" i="6"/>
  <c r="Q1954" i="6"/>
  <c r="D1954" i="6"/>
  <c r="P1953" i="6"/>
  <c r="C1953" i="6"/>
  <c r="O1952" i="6"/>
  <c r="B1952" i="6"/>
  <c r="N1951" i="6"/>
  <c r="A1951" i="6"/>
  <c r="M1950" i="6"/>
  <c r="T1949" i="6"/>
  <c r="L1949" i="6"/>
  <c r="T1948" i="6"/>
  <c r="L1948" i="6"/>
  <c r="T1947" i="6"/>
  <c r="L1947" i="6"/>
  <c r="S1946" i="6"/>
  <c r="H1946" i="6"/>
  <c r="R1945" i="6"/>
  <c r="F1945" i="6"/>
  <c r="R1944" i="6"/>
  <c r="G1944" i="6"/>
  <c r="R1943" i="6"/>
  <c r="E1943" i="6"/>
  <c r="Q1942" i="6"/>
  <c r="D1942" i="6"/>
  <c r="O1941" i="6"/>
  <c r="B1941" i="6"/>
  <c r="N1940" i="6"/>
  <c r="A1940" i="6"/>
  <c r="L1939" i="6"/>
  <c r="S1938" i="6"/>
  <c r="H1938" i="6"/>
  <c r="R1937" i="6"/>
  <c r="E1937" i="6"/>
  <c r="Q1936" i="6"/>
  <c r="D1936" i="6"/>
  <c r="P1935" i="6"/>
  <c r="D1935" i="6"/>
  <c r="P1934" i="6"/>
  <c r="D1934" i="6"/>
  <c r="P1933" i="6"/>
  <c r="C1933" i="6"/>
  <c r="O1932" i="6"/>
  <c r="B1932" i="6"/>
  <c r="N1931" i="6"/>
  <c r="A1931" i="6"/>
  <c r="M1930" i="6"/>
  <c r="T1929" i="6"/>
  <c r="C2047" i="6"/>
  <c r="S2009" i="6"/>
  <c r="P1980" i="6"/>
  <c r="P1976" i="6"/>
  <c r="M1972" i="6"/>
  <c r="E1968" i="6"/>
  <c r="B1964" i="6"/>
  <c r="A1960" i="6"/>
  <c r="Q1955" i="6"/>
  <c r="M1951" i="6"/>
  <c r="H1947" i="6"/>
  <c r="D1943" i="6"/>
  <c r="R1938" i="6"/>
  <c r="O1934" i="6"/>
  <c r="L1930" i="6"/>
  <c r="R1927" i="6"/>
  <c r="D1926" i="6"/>
  <c r="C1925" i="6"/>
  <c r="M1924" i="6"/>
  <c r="Q1923" i="6"/>
  <c r="C1923" i="6"/>
  <c r="O1922" i="6"/>
  <c r="B1922" i="6"/>
  <c r="N1921" i="6"/>
  <c r="A1921" i="6"/>
  <c r="M1920" i="6"/>
  <c r="T1919" i="6"/>
  <c r="L1919" i="6"/>
  <c r="S1918" i="6"/>
  <c r="H1918" i="6"/>
  <c r="R1917" i="6"/>
  <c r="E1917" i="6"/>
  <c r="Q1916" i="6"/>
  <c r="D1916" i="6"/>
  <c r="P1915" i="6"/>
  <c r="C1915" i="6"/>
  <c r="O1914" i="6"/>
  <c r="B1914" i="6"/>
  <c r="N1913" i="6"/>
  <c r="A1913" i="6"/>
  <c r="M1912" i="6"/>
  <c r="T1911" i="6"/>
  <c r="L1911" i="6"/>
  <c r="S1910" i="6"/>
  <c r="H1910" i="6"/>
  <c r="R1909" i="6"/>
  <c r="E1909" i="6"/>
  <c r="Q1908" i="6"/>
  <c r="D1908" i="6"/>
  <c r="P1907" i="6"/>
  <c r="C1907" i="6"/>
  <c r="O1906" i="6"/>
  <c r="B1906" i="6"/>
  <c r="N1905" i="6"/>
  <c r="B1905" i="6"/>
  <c r="N1904" i="6"/>
  <c r="A1904" i="6"/>
  <c r="M1903" i="6"/>
  <c r="T1902" i="6"/>
  <c r="L1902" i="6"/>
  <c r="S1901" i="6"/>
  <c r="H1901" i="6"/>
  <c r="R1900" i="6"/>
  <c r="E1900" i="6"/>
  <c r="Q1899" i="6"/>
  <c r="D1899" i="6"/>
  <c r="P1898" i="6"/>
  <c r="C1898" i="6"/>
  <c r="O1897" i="6"/>
  <c r="B1897" i="6"/>
  <c r="N1896" i="6"/>
  <c r="A1896" i="6"/>
  <c r="M1895" i="6"/>
  <c r="T1894" i="6"/>
  <c r="L1894" i="6"/>
  <c r="S1893" i="6"/>
  <c r="H1893" i="6"/>
  <c r="R1892" i="6"/>
  <c r="E1892" i="6"/>
  <c r="Q1891" i="6"/>
  <c r="D1891" i="6"/>
  <c r="P1890" i="6"/>
  <c r="D1890" i="6"/>
  <c r="P1889" i="6"/>
  <c r="D1889" i="6"/>
  <c r="P1888" i="6"/>
  <c r="C1888" i="6"/>
  <c r="O1887" i="6"/>
  <c r="B1887" i="6"/>
  <c r="N1886" i="6"/>
  <c r="A1886" i="6"/>
  <c r="M1885" i="6"/>
  <c r="T1884" i="6"/>
  <c r="L1884" i="6"/>
  <c r="S1883" i="6"/>
  <c r="H1883" i="6"/>
  <c r="R1882" i="6"/>
  <c r="E1882" i="6"/>
  <c r="Q1881" i="6"/>
  <c r="D1881" i="6"/>
  <c r="P1880" i="6"/>
  <c r="C1880" i="6"/>
  <c r="O1879" i="6"/>
  <c r="B1879" i="6"/>
  <c r="N1878" i="6"/>
  <c r="A1878" i="6"/>
  <c r="M1877" i="6"/>
  <c r="T1876" i="6"/>
  <c r="L1876" i="6"/>
  <c r="T1875" i="6"/>
  <c r="L1875" i="6"/>
  <c r="T1874" i="6"/>
  <c r="L1874" i="6"/>
  <c r="S1873" i="6"/>
  <c r="H1873" i="6"/>
  <c r="R1872" i="6"/>
  <c r="H1872" i="6"/>
  <c r="S1871" i="6"/>
  <c r="I1871" i="6"/>
  <c r="T1870" i="6"/>
  <c r="L1870" i="6"/>
  <c r="A1870" i="6"/>
  <c r="M1869" i="6"/>
  <c r="A1869" i="6"/>
  <c r="M1868" i="6"/>
  <c r="A1868" i="6"/>
  <c r="M1867" i="6"/>
  <c r="D2042" i="6"/>
  <c r="O2005" i="6"/>
  <c r="D1980" i="6"/>
  <c r="C1976" i="6"/>
  <c r="T1971" i="6"/>
  <c r="Q1967" i="6"/>
  <c r="N1963" i="6"/>
  <c r="M1959" i="6"/>
  <c r="D1955" i="6"/>
  <c r="T1950" i="6"/>
  <c r="R1946" i="6"/>
  <c r="P1942" i="6"/>
  <c r="E1938" i="6"/>
  <c r="C1934" i="6"/>
  <c r="S1929" i="6"/>
  <c r="Q1927" i="6"/>
  <c r="C1926" i="6"/>
  <c r="B1925" i="6"/>
  <c r="E1924" i="6"/>
  <c r="P1923" i="6"/>
  <c r="B1923" i="6"/>
  <c r="N1922" i="6"/>
  <c r="A1922" i="6"/>
  <c r="M1921" i="6"/>
  <c r="T1920" i="6"/>
  <c r="L1920" i="6"/>
  <c r="S1919" i="6"/>
  <c r="H1919" i="6"/>
  <c r="R1918" i="6"/>
  <c r="E1918" i="6"/>
  <c r="Q1917" i="6"/>
  <c r="D1917" i="6"/>
  <c r="P1916" i="6"/>
  <c r="C1916" i="6"/>
  <c r="O1915" i="6"/>
  <c r="B1915" i="6"/>
  <c r="N1914" i="6"/>
  <c r="A1914" i="6"/>
  <c r="M1913" i="6"/>
  <c r="T1912" i="6"/>
  <c r="L1912" i="6"/>
  <c r="S1911" i="6"/>
  <c r="H1911" i="6"/>
  <c r="R1910" i="6"/>
  <c r="E1910" i="6"/>
  <c r="Q1909" i="6"/>
  <c r="D1909" i="6"/>
  <c r="P1908" i="6"/>
  <c r="C1908" i="6"/>
  <c r="O1907" i="6"/>
  <c r="B1907" i="6"/>
  <c r="N1906" i="6"/>
  <c r="A1906" i="6"/>
  <c r="M1905" i="6"/>
  <c r="A1905" i="6"/>
  <c r="M1904" i="6"/>
  <c r="T1903" i="6"/>
  <c r="L1903" i="6"/>
  <c r="S1902" i="6"/>
  <c r="H1902" i="6"/>
  <c r="R1901" i="6"/>
  <c r="E1901" i="6"/>
  <c r="Q1900" i="6"/>
  <c r="D1900" i="6"/>
  <c r="P1899" i="6"/>
  <c r="C1899" i="6"/>
  <c r="O1898" i="6"/>
  <c r="B1898" i="6"/>
  <c r="N1897" i="6"/>
  <c r="A1897" i="6"/>
  <c r="M1896" i="6"/>
  <c r="T1895" i="6"/>
  <c r="L1895" i="6"/>
  <c r="S1894" i="6"/>
  <c r="H1894" i="6"/>
  <c r="R1893" i="6"/>
  <c r="E1893" i="6"/>
  <c r="Q1892" i="6"/>
  <c r="D1892" i="6"/>
  <c r="P1891" i="6"/>
  <c r="C1891" i="6"/>
  <c r="O1890" i="6"/>
  <c r="C1890" i="6"/>
  <c r="O1889" i="6"/>
  <c r="C1889" i="6"/>
  <c r="O1888" i="6"/>
  <c r="B1888" i="6"/>
  <c r="N1887" i="6"/>
  <c r="A1887" i="6"/>
  <c r="M1886" i="6"/>
  <c r="T1885" i="6"/>
  <c r="L1885" i="6"/>
  <c r="S1884" i="6"/>
  <c r="H1884" i="6"/>
  <c r="R1883" i="6"/>
  <c r="E1883" i="6"/>
  <c r="Q1882" i="6"/>
  <c r="D1882" i="6"/>
  <c r="P1881" i="6"/>
  <c r="C1881" i="6"/>
  <c r="O1880" i="6"/>
  <c r="B1880" i="6"/>
  <c r="N1879" i="6"/>
  <c r="A1879" i="6"/>
  <c r="M1878" i="6"/>
  <c r="T1877" i="6"/>
  <c r="L1877" i="6"/>
  <c r="S1876" i="6"/>
  <c r="H1876" i="6"/>
  <c r="S1875" i="6"/>
  <c r="H1875" i="6"/>
  <c r="S1874" i="6"/>
  <c r="H1874" i="6"/>
  <c r="R1873" i="6"/>
  <c r="E1873" i="6"/>
  <c r="Q1872" i="6"/>
  <c r="F1872" i="6"/>
  <c r="R1871" i="6"/>
  <c r="H1871" i="6"/>
  <c r="S1870" i="6"/>
  <c r="I1870" i="6"/>
  <c r="T1869" i="6"/>
  <c r="L1869" i="6"/>
  <c r="T1868" i="6"/>
  <c r="L1868" i="6"/>
  <c r="T1867" i="6"/>
  <c r="L1867" i="6"/>
  <c r="S1866" i="6"/>
  <c r="M2037" i="6"/>
  <c r="H2001" i="6"/>
  <c r="P1979" i="6"/>
  <c r="O1975" i="6"/>
  <c r="L1971" i="6"/>
  <c r="E1967" i="6"/>
  <c r="A1963" i="6"/>
  <c r="T1958" i="6"/>
  <c r="P1954" i="6"/>
  <c r="L1950" i="6"/>
  <c r="E1946" i="6"/>
  <c r="C1942" i="6"/>
  <c r="Q1937" i="6"/>
  <c r="O1933" i="6"/>
  <c r="L1929" i="6"/>
  <c r="E1927" i="6"/>
  <c r="R1925" i="6"/>
  <c r="A1925" i="6"/>
  <c r="D1924" i="6"/>
  <c r="O1923" i="6"/>
  <c r="A1923" i="6"/>
  <c r="M1922" i="6"/>
  <c r="T1921" i="6"/>
  <c r="L1921" i="6"/>
  <c r="S1920" i="6"/>
  <c r="H1920" i="6"/>
  <c r="R1919" i="6"/>
  <c r="E1919" i="6"/>
  <c r="Q1918" i="6"/>
  <c r="D1918" i="6"/>
  <c r="P1917" i="6"/>
  <c r="C1917" i="6"/>
  <c r="O1916" i="6"/>
  <c r="B1916" i="6"/>
  <c r="N1915" i="6"/>
  <c r="A1915" i="6"/>
  <c r="M1914" i="6"/>
  <c r="T1913" i="6"/>
  <c r="L1913" i="6"/>
  <c r="S1912" i="6"/>
  <c r="H1912" i="6"/>
  <c r="R1911" i="6"/>
  <c r="E1911" i="6"/>
  <c r="Q1910" i="6"/>
  <c r="D1910" i="6"/>
  <c r="P1909" i="6"/>
  <c r="C1909" i="6"/>
  <c r="O1908" i="6"/>
  <c r="B1908" i="6"/>
  <c r="N1907" i="6"/>
  <c r="A1907" i="6"/>
  <c r="M1906" i="6"/>
  <c r="T1905" i="6"/>
  <c r="L1905" i="6"/>
  <c r="T1904" i="6"/>
  <c r="L1904" i="6"/>
  <c r="S1903" i="6"/>
  <c r="H1903" i="6"/>
  <c r="R1902" i="6"/>
  <c r="E1902" i="6"/>
  <c r="Q1901" i="6"/>
  <c r="D1901" i="6"/>
  <c r="P1900" i="6"/>
  <c r="C1900" i="6"/>
  <c r="O1899" i="6"/>
  <c r="B1899" i="6"/>
  <c r="N1898" i="6"/>
  <c r="A1898" i="6"/>
  <c r="M1897" i="6"/>
  <c r="T1896" i="6"/>
  <c r="L1896" i="6"/>
  <c r="S1895" i="6"/>
  <c r="H1895" i="6"/>
  <c r="R1894" i="6"/>
  <c r="E1894" i="6"/>
  <c r="Q1893" i="6"/>
  <c r="D1893" i="6"/>
  <c r="P1892" i="6"/>
  <c r="C1892" i="6"/>
  <c r="O1891" i="6"/>
  <c r="B1891" i="6"/>
  <c r="N1890" i="6"/>
  <c r="B1890" i="6"/>
  <c r="N1889" i="6"/>
  <c r="B1889" i="6"/>
  <c r="N1888" i="6"/>
  <c r="A1888" i="6"/>
  <c r="M1887" i="6"/>
  <c r="T1886" i="6"/>
  <c r="L1886" i="6"/>
  <c r="S1885" i="6"/>
  <c r="H1885" i="6"/>
  <c r="R1884" i="6"/>
  <c r="E1884" i="6"/>
  <c r="Q1883" i="6"/>
  <c r="D1883" i="6"/>
  <c r="P1882" i="6"/>
  <c r="C1882" i="6"/>
  <c r="O1881" i="6"/>
  <c r="B1881" i="6"/>
  <c r="N1880" i="6"/>
  <c r="A1880" i="6"/>
  <c r="M1879" i="6"/>
  <c r="T1878" i="6"/>
  <c r="L1878" i="6"/>
  <c r="S1877" i="6"/>
  <c r="H1877" i="6"/>
  <c r="R1876" i="6"/>
  <c r="F1876" i="6"/>
  <c r="R1875" i="6"/>
  <c r="G1875" i="6"/>
  <c r="R1874" i="6"/>
  <c r="E1874" i="6"/>
  <c r="Q1873" i="6"/>
  <c r="D1873" i="6"/>
  <c r="P1872" i="6"/>
  <c r="E1872" i="6"/>
  <c r="Q1871" i="6"/>
  <c r="F1871" i="6"/>
  <c r="R1870" i="6"/>
  <c r="H1870" i="6"/>
  <c r="S1869" i="6"/>
  <c r="I1869" i="6"/>
  <c r="S1868" i="6"/>
  <c r="I1868" i="6"/>
  <c r="S2032" i="6"/>
  <c r="B1997" i="6"/>
  <c r="D1979" i="6"/>
  <c r="C1975" i="6"/>
  <c r="S1970" i="6"/>
  <c r="Q1966" i="6"/>
  <c r="M1962" i="6"/>
  <c r="L1958" i="6"/>
  <c r="C1954" i="6"/>
  <c r="S1949" i="6"/>
  <c r="Q1945" i="6"/>
  <c r="N1941" i="6"/>
  <c r="D1937" i="6"/>
  <c r="B1933" i="6"/>
  <c r="H1929" i="6"/>
  <c r="D1927" i="6"/>
  <c r="P1925" i="6"/>
  <c r="R1924" i="6"/>
  <c r="C1924" i="6"/>
  <c r="N1923" i="6"/>
  <c r="T1922" i="6"/>
  <c r="L1922" i="6"/>
  <c r="S1921" i="6"/>
  <c r="H1921" i="6"/>
  <c r="R1920" i="6"/>
  <c r="E1920" i="6"/>
  <c r="Q1919" i="6"/>
  <c r="D1919" i="6"/>
  <c r="P1918" i="6"/>
  <c r="C1918" i="6"/>
  <c r="O1917" i="6"/>
  <c r="B1917" i="6"/>
  <c r="N1916" i="6"/>
  <c r="A1916" i="6"/>
  <c r="M1915" i="6"/>
  <c r="T1914" i="6"/>
  <c r="L1914" i="6"/>
  <c r="S1913" i="6"/>
  <c r="H1913" i="6"/>
  <c r="R1912" i="6"/>
  <c r="E1912" i="6"/>
  <c r="Q1911" i="6"/>
  <c r="D1911" i="6"/>
  <c r="P1910" i="6"/>
  <c r="C1910" i="6"/>
  <c r="O1909" i="6"/>
  <c r="B1909" i="6"/>
  <c r="N1908" i="6"/>
  <c r="A1908" i="6"/>
  <c r="M1907" i="6"/>
  <c r="T1906" i="6"/>
  <c r="L1906" i="6"/>
  <c r="S1905" i="6"/>
  <c r="I1905" i="6"/>
  <c r="S1904" i="6"/>
  <c r="H1904" i="6"/>
  <c r="R1903" i="6"/>
  <c r="E1903" i="6"/>
  <c r="Q1902" i="6"/>
  <c r="D1902" i="6"/>
  <c r="P1901" i="6"/>
  <c r="C1901" i="6"/>
  <c r="O1900" i="6"/>
  <c r="B1900" i="6"/>
  <c r="N1899" i="6"/>
  <c r="A1899" i="6"/>
  <c r="M1898" i="6"/>
  <c r="T1897" i="6"/>
  <c r="L1897" i="6"/>
  <c r="S1896" i="6"/>
  <c r="H1896" i="6"/>
  <c r="R1895" i="6"/>
  <c r="E1895" i="6"/>
  <c r="Q1894" i="6"/>
  <c r="D1894" i="6"/>
  <c r="P1893" i="6"/>
  <c r="C1893" i="6"/>
  <c r="O1892" i="6"/>
  <c r="B1892" i="6"/>
  <c r="N1891" i="6"/>
  <c r="A1891" i="6"/>
  <c r="M1890" i="6"/>
  <c r="A1890" i="6"/>
  <c r="M1889" i="6"/>
  <c r="A1889" i="6"/>
  <c r="M1888" i="6"/>
  <c r="T1887" i="6"/>
  <c r="L1887" i="6"/>
  <c r="S1886" i="6"/>
  <c r="H1886" i="6"/>
  <c r="R1885" i="6"/>
  <c r="E1885" i="6"/>
  <c r="Q1884" i="6"/>
  <c r="D1884" i="6"/>
  <c r="P1883" i="6"/>
  <c r="C1883" i="6"/>
  <c r="O1882" i="6"/>
  <c r="B1882" i="6"/>
  <c r="N1881" i="6"/>
  <c r="A1881" i="6"/>
  <c r="M1880" i="6"/>
  <c r="T1879" i="6"/>
  <c r="L1879" i="6"/>
  <c r="S1878" i="6"/>
  <c r="H1878" i="6"/>
  <c r="R1877" i="6"/>
  <c r="E1877" i="6"/>
  <c r="Q1876" i="6"/>
  <c r="E1876" i="6"/>
  <c r="Q1875" i="6"/>
  <c r="E1875" i="6"/>
  <c r="Q1874" i="6"/>
  <c r="D1874" i="6"/>
  <c r="P1873" i="6"/>
  <c r="C1873" i="6"/>
  <c r="O1872" i="6"/>
  <c r="D1872" i="6"/>
  <c r="P1871" i="6"/>
  <c r="E1871" i="6"/>
  <c r="Q1870" i="6"/>
  <c r="F1870" i="6"/>
  <c r="R1869" i="6"/>
  <c r="H1869" i="6"/>
  <c r="R1868" i="6"/>
  <c r="H2028" i="6"/>
  <c r="P1992" i="6"/>
  <c r="P1978" i="6"/>
  <c r="O1974" i="6"/>
  <c r="H1970" i="6"/>
  <c r="E1966" i="6"/>
  <c r="A1962" i="6"/>
  <c r="S1957" i="6"/>
  <c r="O1953" i="6"/>
  <c r="H1949" i="6"/>
  <c r="E1945" i="6"/>
  <c r="A1941" i="6"/>
  <c r="P1936" i="6"/>
  <c r="N1932" i="6"/>
  <c r="S1928" i="6"/>
  <c r="S1926" i="6"/>
  <c r="O1925" i="6"/>
  <c r="Q1924" i="6"/>
  <c r="B1924" i="6"/>
  <c r="M1923" i="6"/>
  <c r="S1922" i="6"/>
  <c r="H1922" i="6"/>
  <c r="R1921" i="6"/>
  <c r="E1921" i="6"/>
  <c r="Q1920" i="6"/>
  <c r="D1920" i="6"/>
  <c r="P1919" i="6"/>
  <c r="C1919" i="6"/>
  <c r="O1918" i="6"/>
  <c r="B1918" i="6"/>
  <c r="N1917" i="6"/>
  <c r="A1917" i="6"/>
  <c r="M1916" i="6"/>
  <c r="T1915" i="6"/>
  <c r="L1915" i="6"/>
  <c r="S1914" i="6"/>
  <c r="H1914" i="6"/>
  <c r="R1913" i="6"/>
  <c r="E1913" i="6"/>
  <c r="Q1912" i="6"/>
  <c r="D1912" i="6"/>
  <c r="P1911" i="6"/>
  <c r="C1911" i="6"/>
  <c r="O1910" i="6"/>
  <c r="B1910" i="6"/>
  <c r="N1909" i="6"/>
  <c r="A1909" i="6"/>
  <c r="M1908" i="6"/>
  <c r="T1907" i="6"/>
  <c r="L1907" i="6"/>
  <c r="S1906" i="6"/>
  <c r="H1906" i="6"/>
  <c r="R1905" i="6"/>
  <c r="H1905" i="6"/>
  <c r="R1904" i="6"/>
  <c r="E1904" i="6"/>
  <c r="Q1903" i="6"/>
  <c r="D1903" i="6"/>
  <c r="P1902" i="6"/>
  <c r="C1902" i="6"/>
  <c r="O1901" i="6"/>
  <c r="B1901" i="6"/>
  <c r="N1900" i="6"/>
  <c r="A1900" i="6"/>
  <c r="M1899" i="6"/>
  <c r="T1898" i="6"/>
  <c r="L1898" i="6"/>
  <c r="S1897" i="6"/>
  <c r="H1897" i="6"/>
  <c r="R1896" i="6"/>
  <c r="E1896" i="6"/>
  <c r="Q1895" i="6"/>
  <c r="D1895" i="6"/>
  <c r="P1894" i="6"/>
  <c r="C1894" i="6"/>
  <c r="O1893" i="6"/>
  <c r="B1893" i="6"/>
  <c r="N1892" i="6"/>
  <c r="A1892" i="6"/>
  <c r="M1891" i="6"/>
  <c r="T1890" i="6"/>
  <c r="L1890" i="6"/>
  <c r="T1889" i="6"/>
  <c r="L1889" i="6"/>
  <c r="T1888" i="6"/>
  <c r="L1888" i="6"/>
  <c r="S1887" i="6"/>
  <c r="H1887" i="6"/>
  <c r="R1886" i="6"/>
  <c r="E1886" i="6"/>
  <c r="Q1885" i="6"/>
  <c r="D1885" i="6"/>
  <c r="P1884" i="6"/>
  <c r="C1884" i="6"/>
  <c r="O1883" i="6"/>
  <c r="B1883" i="6"/>
  <c r="N1882" i="6"/>
  <c r="A1882" i="6"/>
  <c r="M1881" i="6"/>
  <c r="T1880" i="6"/>
  <c r="L1880" i="6"/>
  <c r="S1879" i="6"/>
  <c r="H1879" i="6"/>
  <c r="R1878" i="6"/>
  <c r="E1878" i="6"/>
  <c r="Q1877" i="6"/>
  <c r="D1877" i="6"/>
  <c r="P1876" i="6"/>
  <c r="D1876" i="6"/>
  <c r="P1875" i="6"/>
  <c r="D1875" i="6"/>
  <c r="P1874" i="6"/>
  <c r="C1874" i="6"/>
  <c r="O1873" i="6"/>
  <c r="B1873" i="6"/>
  <c r="N1872" i="6"/>
  <c r="C1872" i="6"/>
  <c r="O1871" i="6"/>
  <c r="D1871" i="6"/>
  <c r="P1870" i="6"/>
  <c r="E1870" i="6"/>
  <c r="Q1869" i="6"/>
  <c r="E1869" i="6"/>
  <c r="Q1868" i="6"/>
  <c r="E1868" i="6"/>
  <c r="Q2023" i="6"/>
  <c r="M1988" i="6"/>
  <c r="D1978" i="6"/>
  <c r="B1974" i="6"/>
  <c r="R1969" i="6"/>
  <c r="Q1965" i="6"/>
  <c r="M1961" i="6"/>
  <c r="H1957" i="6"/>
  <c r="B1953" i="6"/>
  <c r="S1948" i="6"/>
  <c r="Q1944" i="6"/>
  <c r="M1940" i="6"/>
  <c r="C1936" i="6"/>
  <c r="A1932" i="6"/>
  <c r="R1928" i="6"/>
  <c r="Q1926" i="6"/>
  <c r="H1925" i="6"/>
  <c r="P1924" i="6"/>
  <c r="A1924" i="6"/>
  <c r="L1923" i="6"/>
  <c r="R1922" i="6"/>
  <c r="E1922" i="6"/>
  <c r="Q1921" i="6"/>
  <c r="D1921" i="6"/>
  <c r="P1920" i="6"/>
  <c r="C1920" i="6"/>
  <c r="O1919" i="6"/>
  <c r="B1919" i="6"/>
  <c r="N1918" i="6"/>
  <c r="A1918" i="6"/>
  <c r="M1917" i="6"/>
  <c r="T1916" i="6"/>
  <c r="L1916" i="6"/>
  <c r="S1915" i="6"/>
  <c r="H1915" i="6"/>
  <c r="R1914" i="6"/>
  <c r="E1914" i="6"/>
  <c r="Q1913" i="6"/>
  <c r="D1913" i="6"/>
  <c r="P1912" i="6"/>
  <c r="C1912" i="6"/>
  <c r="O1911" i="6"/>
  <c r="B1911" i="6"/>
  <c r="N1910" i="6"/>
  <c r="A1910" i="6"/>
  <c r="M1909" i="6"/>
  <c r="T1908" i="6"/>
  <c r="L1908" i="6"/>
  <c r="S1907" i="6"/>
  <c r="H1907" i="6"/>
  <c r="R1906" i="6"/>
  <c r="E1906" i="6"/>
  <c r="Q1905" i="6"/>
  <c r="E1905" i="6"/>
  <c r="Q1904" i="6"/>
  <c r="D1904" i="6"/>
  <c r="P1903" i="6"/>
  <c r="C1903" i="6"/>
  <c r="O1902" i="6"/>
  <c r="B1902" i="6"/>
  <c r="N1901" i="6"/>
  <c r="A1901" i="6"/>
  <c r="M1900" i="6"/>
  <c r="T1899" i="6"/>
  <c r="L1899" i="6"/>
  <c r="S1898" i="6"/>
  <c r="H1898" i="6"/>
  <c r="R1897" i="6"/>
  <c r="E1897" i="6"/>
  <c r="Q1896" i="6"/>
  <c r="D1896" i="6"/>
  <c r="P1895" i="6"/>
  <c r="C1895" i="6"/>
  <c r="O1894" i="6"/>
  <c r="B1894" i="6"/>
  <c r="N1893" i="6"/>
  <c r="A1893" i="6"/>
  <c r="M1892" i="6"/>
  <c r="T1891" i="6"/>
  <c r="L1891" i="6"/>
  <c r="S1890" i="6"/>
  <c r="H1890" i="6"/>
  <c r="S1889" i="6"/>
  <c r="H1889" i="6"/>
  <c r="S1888" i="6"/>
  <c r="H1888" i="6"/>
  <c r="R1887" i="6"/>
  <c r="E1887" i="6"/>
  <c r="Q1886" i="6"/>
  <c r="D1886" i="6"/>
  <c r="P1885" i="6"/>
  <c r="C1885" i="6"/>
  <c r="O1884" i="6"/>
  <c r="B1884" i="6"/>
  <c r="N1883" i="6"/>
  <c r="A1883" i="6"/>
  <c r="M1882" i="6"/>
  <c r="T1881" i="6"/>
  <c r="L1881" i="6"/>
  <c r="S1880" i="6"/>
  <c r="H1880" i="6"/>
  <c r="R1879" i="6"/>
  <c r="E1879" i="6"/>
  <c r="Q1878" i="6"/>
  <c r="D1878" i="6"/>
  <c r="P1877" i="6"/>
  <c r="C1877" i="6"/>
  <c r="O1876" i="6"/>
  <c r="C1876" i="6"/>
  <c r="O1875" i="6"/>
  <c r="C1875" i="6"/>
  <c r="O1874" i="6"/>
  <c r="B1874" i="6"/>
  <c r="N1873" i="6"/>
  <c r="A1873" i="6"/>
  <c r="M1872" i="6"/>
  <c r="B1872" i="6"/>
  <c r="N1871" i="6"/>
  <c r="C1871" i="6"/>
  <c r="O1870" i="6"/>
  <c r="D1870" i="6"/>
  <c r="P1869" i="6"/>
  <c r="D1869" i="6"/>
  <c r="P1868" i="6"/>
  <c r="S2018" i="6"/>
  <c r="M1984" i="6"/>
  <c r="P1977" i="6"/>
  <c r="N1973" i="6"/>
  <c r="H1969" i="6"/>
  <c r="E1965" i="6"/>
  <c r="A1961" i="6"/>
  <c r="R1956" i="6"/>
  <c r="N1952" i="6"/>
  <c r="H1948" i="6"/>
  <c r="E1944" i="6"/>
  <c r="S1939" i="6"/>
  <c r="O1935" i="6"/>
  <c r="M1931" i="6"/>
  <c r="H1928" i="6"/>
  <c r="P1926" i="6"/>
  <c r="E1925" i="6"/>
  <c r="O1924" i="6"/>
  <c r="T1923" i="6"/>
  <c r="H1923" i="6"/>
  <c r="Q1922" i="6"/>
  <c r="D1922" i="6"/>
  <c r="P1921" i="6"/>
  <c r="C1921" i="6"/>
  <c r="O1920" i="6"/>
  <c r="B1920" i="6"/>
  <c r="N1919" i="6"/>
  <c r="A1919" i="6"/>
  <c r="M1918" i="6"/>
  <c r="T1917" i="6"/>
  <c r="L1917" i="6"/>
  <c r="S1916" i="6"/>
  <c r="H1916" i="6"/>
  <c r="R1915" i="6"/>
  <c r="E1915" i="6"/>
  <c r="Q1914" i="6"/>
  <c r="D1914" i="6"/>
  <c r="P1913" i="6"/>
  <c r="C1913" i="6"/>
  <c r="O1912" i="6"/>
  <c r="B1912" i="6"/>
  <c r="N1911" i="6"/>
  <c r="A1911" i="6"/>
  <c r="M1910" i="6"/>
  <c r="T1909" i="6"/>
  <c r="L1909" i="6"/>
  <c r="S1908" i="6"/>
  <c r="H1908" i="6"/>
  <c r="R1907" i="6"/>
  <c r="E1907" i="6"/>
  <c r="Q1906" i="6"/>
  <c r="D1906" i="6"/>
  <c r="P1905" i="6"/>
  <c r="D1905" i="6"/>
  <c r="P1904" i="6"/>
  <c r="C1904" i="6"/>
  <c r="O1903" i="6"/>
  <c r="B1903" i="6"/>
  <c r="N1902" i="6"/>
  <c r="A1902" i="6"/>
  <c r="M1901" i="6"/>
  <c r="T1900" i="6"/>
  <c r="L1900" i="6"/>
  <c r="S1899" i="6"/>
  <c r="H1899" i="6"/>
  <c r="R1898" i="6"/>
  <c r="E1898" i="6"/>
  <c r="Q1897" i="6"/>
  <c r="D1897" i="6"/>
  <c r="P1896" i="6"/>
  <c r="C1896" i="6"/>
  <c r="O1895" i="6"/>
  <c r="B1895" i="6"/>
  <c r="N1894" i="6"/>
  <c r="A1894" i="6"/>
  <c r="M1893" i="6"/>
  <c r="T1892" i="6"/>
  <c r="L1892" i="6"/>
  <c r="S1891" i="6"/>
  <c r="H1891" i="6"/>
  <c r="R1890" i="6"/>
  <c r="F1890" i="6"/>
  <c r="R1889" i="6"/>
  <c r="G1889" i="6"/>
  <c r="R1888" i="6"/>
  <c r="E1888" i="6"/>
  <c r="Q1887" i="6"/>
  <c r="D1887" i="6"/>
  <c r="P1886" i="6"/>
  <c r="C1886" i="6"/>
  <c r="O1885" i="6"/>
  <c r="B1885" i="6"/>
  <c r="N1884" i="6"/>
  <c r="A1884" i="6"/>
  <c r="M1883" i="6"/>
  <c r="T1882" i="6"/>
  <c r="L1882" i="6"/>
  <c r="S1881" i="6"/>
  <c r="H1881" i="6"/>
  <c r="R1880" i="6"/>
  <c r="E1880" i="6"/>
  <c r="Q1879" i="6"/>
  <c r="D1879" i="6"/>
  <c r="P1878" i="6"/>
  <c r="C1878" i="6"/>
  <c r="O1877" i="6"/>
  <c r="B1877" i="6"/>
  <c r="N1876" i="6"/>
  <c r="B1876" i="6"/>
  <c r="N1875" i="6"/>
  <c r="B1875" i="6"/>
  <c r="N1874" i="6"/>
  <c r="A1874" i="6"/>
  <c r="M1873" i="6"/>
  <c r="T1872" i="6"/>
  <c r="L1872" i="6"/>
  <c r="A1872" i="6"/>
  <c r="M1871" i="6"/>
  <c r="B1871" i="6"/>
  <c r="N1870" i="6"/>
  <c r="C1870" i="6"/>
  <c r="O1869" i="6"/>
  <c r="C1869" i="6"/>
  <c r="O1868" i="6"/>
  <c r="C1868" i="6"/>
  <c r="F2014" i="6"/>
  <c r="A1952" i="6"/>
  <c r="D1925" i="6"/>
  <c r="N1920" i="6"/>
  <c r="E1916" i="6"/>
  <c r="A1912" i="6"/>
  <c r="Q1907" i="6"/>
  <c r="N1903" i="6"/>
  <c r="E1899" i="6"/>
  <c r="A1895" i="6"/>
  <c r="Q1890" i="6"/>
  <c r="O1886" i="6"/>
  <c r="H1882" i="6"/>
  <c r="B1878" i="6"/>
  <c r="T1873" i="6"/>
  <c r="B1870" i="6"/>
  <c r="R1867" i="6"/>
  <c r="D1867" i="6"/>
  <c r="N1866" i="6"/>
  <c r="B1866" i="6"/>
  <c r="M1865" i="6"/>
  <c r="B1865" i="6"/>
  <c r="N1864" i="6"/>
  <c r="B1864" i="6"/>
  <c r="N1863" i="6"/>
  <c r="B1863" i="6"/>
  <c r="M1862" i="6"/>
  <c r="B1862" i="6"/>
  <c r="M1861" i="6"/>
  <c r="A1861" i="6"/>
  <c r="M1860" i="6"/>
  <c r="A1860" i="6"/>
  <c r="L1859" i="6"/>
  <c r="S1858" i="6"/>
  <c r="I1858" i="6"/>
  <c r="R1857" i="6"/>
  <c r="H1857" i="6"/>
  <c r="R1856" i="6"/>
  <c r="H1856" i="6"/>
  <c r="R1855" i="6"/>
  <c r="H1855" i="6"/>
  <c r="R1854" i="6"/>
  <c r="H1854" i="6"/>
  <c r="R1853" i="6"/>
  <c r="H1853" i="6"/>
  <c r="R1852" i="6"/>
  <c r="H1852" i="6"/>
  <c r="R1851" i="6"/>
  <c r="H1851" i="6"/>
  <c r="R1850" i="6"/>
  <c r="H1850" i="6"/>
  <c r="R1849" i="6"/>
  <c r="H1849" i="6"/>
  <c r="R1848" i="6"/>
  <c r="H1848" i="6"/>
  <c r="R1847" i="6"/>
  <c r="H1847" i="6"/>
  <c r="R1846" i="6"/>
  <c r="H1846" i="6"/>
  <c r="R1845" i="6"/>
  <c r="H1845" i="6"/>
  <c r="R1844" i="6"/>
  <c r="H1844" i="6"/>
  <c r="R1843" i="6"/>
  <c r="H1843" i="6"/>
  <c r="R1842" i="6"/>
  <c r="H1842" i="6"/>
  <c r="R1841" i="6"/>
  <c r="H1841" i="6"/>
  <c r="R1840" i="6"/>
  <c r="H1840" i="6"/>
  <c r="Q1839" i="6"/>
  <c r="G1839" i="6"/>
  <c r="R1838" i="6"/>
  <c r="H1838" i="6"/>
  <c r="R1837" i="6"/>
  <c r="H1837" i="6"/>
  <c r="Q1836" i="6"/>
  <c r="E1836" i="6"/>
  <c r="Q1835" i="6"/>
  <c r="E1835" i="6"/>
  <c r="Q1834" i="6"/>
  <c r="E1834" i="6"/>
  <c r="Q1833" i="6"/>
  <c r="E1833" i="6"/>
  <c r="Q1832" i="6"/>
  <c r="E1832" i="6"/>
  <c r="Q1831" i="6"/>
  <c r="E1831" i="6"/>
  <c r="Q1830" i="6"/>
  <c r="E1830" i="6"/>
  <c r="Q1829" i="6"/>
  <c r="E1829" i="6"/>
  <c r="Q1828" i="6"/>
  <c r="E1828" i="6"/>
  <c r="Q1827" i="6"/>
  <c r="E1827" i="6"/>
  <c r="Q1826" i="6"/>
  <c r="E1826" i="6"/>
  <c r="Q1825" i="6"/>
  <c r="E1825" i="6"/>
  <c r="Q1824" i="6"/>
  <c r="E1824" i="6"/>
  <c r="Q1823" i="6"/>
  <c r="E1823" i="6"/>
  <c r="Q1822" i="6"/>
  <c r="E1822" i="6"/>
  <c r="Q1821" i="6"/>
  <c r="E1821" i="6"/>
  <c r="Q1820" i="6"/>
  <c r="E1820" i="6"/>
  <c r="Q1819" i="6"/>
  <c r="E1819" i="6"/>
  <c r="Q1818" i="6"/>
  <c r="E1818" i="6"/>
  <c r="Q1817" i="6"/>
  <c r="E1817" i="6"/>
  <c r="Q1816" i="6"/>
  <c r="E1816" i="6"/>
  <c r="Q1815" i="6"/>
  <c r="E1815" i="6"/>
  <c r="Q1814" i="6"/>
  <c r="E1814" i="6"/>
  <c r="Q1813" i="6"/>
  <c r="E1813" i="6"/>
  <c r="Q1812" i="6"/>
  <c r="E1812" i="6"/>
  <c r="Q1811" i="6"/>
  <c r="O1981" i="6"/>
  <c r="S1947" i="6"/>
  <c r="N1924" i="6"/>
  <c r="A1920" i="6"/>
  <c r="Q1915" i="6"/>
  <c r="M1911" i="6"/>
  <c r="D1907" i="6"/>
  <c r="A1903" i="6"/>
  <c r="Q1898" i="6"/>
  <c r="M1894" i="6"/>
  <c r="E1890" i="6"/>
  <c r="B1886" i="6"/>
  <c r="R1881" i="6"/>
  <c r="N1877" i="6"/>
  <c r="L1873" i="6"/>
  <c r="N1869" i="6"/>
  <c r="Q1867" i="6"/>
  <c r="C1867" i="6"/>
  <c r="M1866" i="6"/>
  <c r="A1866" i="6"/>
  <c r="L1865" i="6"/>
  <c r="A1865" i="6"/>
  <c r="M1864" i="6"/>
  <c r="A1864" i="6"/>
  <c r="M1863" i="6"/>
  <c r="A1863" i="6"/>
  <c r="L1862" i="6"/>
  <c r="A1862" i="6"/>
  <c r="L1861" i="6"/>
  <c r="T1860" i="6"/>
  <c r="L1860" i="6"/>
  <c r="S1859" i="6"/>
  <c r="I1859" i="6"/>
  <c r="R1858" i="6"/>
  <c r="H1858" i="6"/>
  <c r="Q1857" i="6"/>
  <c r="E1857" i="6"/>
  <c r="Q1856" i="6"/>
  <c r="E1856" i="6"/>
  <c r="Q1855" i="6"/>
  <c r="E1855" i="6"/>
  <c r="Q1854" i="6"/>
  <c r="E1854" i="6"/>
  <c r="Q1853" i="6"/>
  <c r="E1853" i="6"/>
  <c r="Q1852" i="6"/>
  <c r="E1852" i="6"/>
  <c r="Q1851" i="6"/>
  <c r="E1851" i="6"/>
  <c r="Q1850" i="6"/>
  <c r="E1850" i="6"/>
  <c r="Q1849" i="6"/>
  <c r="E1849" i="6"/>
  <c r="Q1848" i="6"/>
  <c r="E1848" i="6"/>
  <c r="Q1847" i="6"/>
  <c r="E1847" i="6"/>
  <c r="Q1846" i="6"/>
  <c r="E1846" i="6"/>
  <c r="Q1845" i="6"/>
  <c r="E1845" i="6"/>
  <c r="Q1844" i="6"/>
  <c r="E1844" i="6"/>
  <c r="Q1843" i="6"/>
  <c r="E1843" i="6"/>
  <c r="Q1842" i="6"/>
  <c r="E1842" i="6"/>
  <c r="Q1841" i="6"/>
  <c r="E1841" i="6"/>
  <c r="Q1840" i="6"/>
  <c r="E1840" i="6"/>
  <c r="P1839" i="6"/>
  <c r="E1839" i="6"/>
  <c r="Q1838" i="6"/>
  <c r="E1838" i="6"/>
  <c r="Q1837" i="6"/>
  <c r="E1837" i="6"/>
  <c r="P1836" i="6"/>
  <c r="D1836" i="6"/>
  <c r="P1835" i="6"/>
  <c r="D1835" i="6"/>
  <c r="P1834" i="6"/>
  <c r="D1834" i="6"/>
  <c r="P1833" i="6"/>
  <c r="D1833" i="6"/>
  <c r="P1832" i="6"/>
  <c r="D1832" i="6"/>
  <c r="P1831" i="6"/>
  <c r="D1831" i="6"/>
  <c r="P1830" i="6"/>
  <c r="D1830" i="6"/>
  <c r="P1829" i="6"/>
  <c r="D1829" i="6"/>
  <c r="P1828" i="6"/>
  <c r="D1828" i="6"/>
  <c r="P1827" i="6"/>
  <c r="D1827" i="6"/>
  <c r="P1826" i="6"/>
  <c r="D1826" i="6"/>
  <c r="P1825" i="6"/>
  <c r="D1825" i="6"/>
  <c r="P1824" i="6"/>
  <c r="D1824" i="6"/>
  <c r="P1823" i="6"/>
  <c r="D1823" i="6"/>
  <c r="P1822" i="6"/>
  <c r="D1822" i="6"/>
  <c r="P1821" i="6"/>
  <c r="D1821" i="6"/>
  <c r="P1820" i="6"/>
  <c r="D1820" i="6"/>
  <c r="P1819" i="6"/>
  <c r="D1819" i="6"/>
  <c r="P1818" i="6"/>
  <c r="D1818" i="6"/>
  <c r="P1817" i="6"/>
  <c r="D1817" i="6"/>
  <c r="P1816" i="6"/>
  <c r="D1816" i="6"/>
  <c r="P1815" i="6"/>
  <c r="D1815" i="6"/>
  <c r="P1814" i="6"/>
  <c r="D1814" i="6"/>
  <c r="P1813" i="6"/>
  <c r="D1813" i="6"/>
  <c r="P1812" i="6"/>
  <c r="D1812" i="6"/>
  <c r="D1977" i="6"/>
  <c r="Q1943" i="6"/>
  <c r="S1923" i="6"/>
  <c r="M1919" i="6"/>
  <c r="D1915" i="6"/>
  <c r="T1910" i="6"/>
  <c r="P1906" i="6"/>
  <c r="M1902" i="6"/>
  <c r="D1898" i="6"/>
  <c r="T1893" i="6"/>
  <c r="Q1889" i="6"/>
  <c r="N1885" i="6"/>
  <c r="E1881" i="6"/>
  <c r="A1877" i="6"/>
  <c r="S1872" i="6"/>
  <c r="B1869" i="6"/>
  <c r="P1867" i="6"/>
  <c r="B1867" i="6"/>
  <c r="L1866" i="6"/>
  <c r="S1865" i="6"/>
  <c r="I1865" i="6"/>
  <c r="T1864" i="6"/>
  <c r="L1864" i="6"/>
  <c r="T1863" i="6"/>
  <c r="L1863" i="6"/>
  <c r="S1862" i="6"/>
  <c r="I1862" i="6"/>
  <c r="S1861" i="6"/>
  <c r="I1861" i="6"/>
  <c r="S1860" i="6"/>
  <c r="I1860" i="6"/>
  <c r="R1859" i="6"/>
  <c r="H1859" i="6"/>
  <c r="Q1858" i="6"/>
  <c r="E1858" i="6"/>
  <c r="P1857" i="6"/>
  <c r="D1857" i="6"/>
  <c r="P1856" i="6"/>
  <c r="D1856" i="6"/>
  <c r="P1855" i="6"/>
  <c r="D1855" i="6"/>
  <c r="P1854" i="6"/>
  <c r="D1854" i="6"/>
  <c r="P1853" i="6"/>
  <c r="D1853" i="6"/>
  <c r="P1852" i="6"/>
  <c r="D1852" i="6"/>
  <c r="P1851" i="6"/>
  <c r="D1851" i="6"/>
  <c r="P1850" i="6"/>
  <c r="D1850" i="6"/>
  <c r="P1849" i="6"/>
  <c r="D1849" i="6"/>
  <c r="P1848" i="6"/>
  <c r="D1848" i="6"/>
  <c r="P1847" i="6"/>
  <c r="D1847" i="6"/>
  <c r="P1846" i="6"/>
  <c r="D1846" i="6"/>
  <c r="P1845" i="6"/>
  <c r="D1845" i="6"/>
  <c r="P1844" i="6"/>
  <c r="D1844" i="6"/>
  <c r="P1843" i="6"/>
  <c r="D1843" i="6"/>
  <c r="P1842" i="6"/>
  <c r="D1842" i="6"/>
  <c r="P1841" i="6"/>
  <c r="D1841" i="6"/>
  <c r="P1840" i="6"/>
  <c r="D1840" i="6"/>
  <c r="O1839" i="6"/>
  <c r="D1839" i="6"/>
  <c r="P1838" i="6"/>
  <c r="D1838" i="6"/>
  <c r="P1837" i="6"/>
  <c r="D1837" i="6"/>
  <c r="O1836" i="6"/>
  <c r="C1836" i="6"/>
  <c r="O1835" i="6"/>
  <c r="C1835" i="6"/>
  <c r="O1834" i="6"/>
  <c r="C1834" i="6"/>
  <c r="O1833" i="6"/>
  <c r="C1833" i="6"/>
  <c r="O1832" i="6"/>
  <c r="C1832" i="6"/>
  <c r="O1831" i="6"/>
  <c r="C1831" i="6"/>
  <c r="O1830" i="6"/>
  <c r="C1830" i="6"/>
  <c r="O1829" i="6"/>
  <c r="C1829" i="6"/>
  <c r="O1828" i="6"/>
  <c r="C1828" i="6"/>
  <c r="O1827" i="6"/>
  <c r="C1827" i="6"/>
  <c r="O1826" i="6"/>
  <c r="C1826" i="6"/>
  <c r="O1825" i="6"/>
  <c r="C1825" i="6"/>
  <c r="O1824" i="6"/>
  <c r="C1824" i="6"/>
  <c r="O1823" i="6"/>
  <c r="C1823" i="6"/>
  <c r="O1822" i="6"/>
  <c r="C1822" i="6"/>
  <c r="O1821" i="6"/>
  <c r="C1821" i="6"/>
  <c r="O1820" i="6"/>
  <c r="C1820" i="6"/>
  <c r="O1819" i="6"/>
  <c r="C1819" i="6"/>
  <c r="O1818" i="6"/>
  <c r="C1818" i="6"/>
  <c r="O1817" i="6"/>
  <c r="C1817" i="6"/>
  <c r="O1816" i="6"/>
  <c r="C1816" i="6"/>
  <c r="O1815" i="6"/>
  <c r="C1815" i="6"/>
  <c r="O1814" i="6"/>
  <c r="C1814" i="6"/>
  <c r="O1813" i="6"/>
  <c r="C1813" i="6"/>
  <c r="A1973" i="6"/>
  <c r="H1939" i="6"/>
  <c r="D1923" i="6"/>
  <c r="T1918" i="6"/>
  <c r="P1914" i="6"/>
  <c r="L1910" i="6"/>
  <c r="C1906" i="6"/>
  <c r="T1901" i="6"/>
  <c r="P1897" i="6"/>
  <c r="L1893" i="6"/>
  <c r="E1889" i="6"/>
  <c r="A1885" i="6"/>
  <c r="Q1880" i="6"/>
  <c r="M1876" i="6"/>
  <c r="I1872" i="6"/>
  <c r="N1868" i="6"/>
  <c r="O1867" i="6"/>
  <c r="A1867" i="6"/>
  <c r="I1866" i="6"/>
  <c r="R1865" i="6"/>
  <c r="H1865" i="6"/>
  <c r="S1864" i="6"/>
  <c r="I1864" i="6"/>
  <c r="S1863" i="6"/>
  <c r="I1863" i="6"/>
  <c r="R1862" i="6"/>
  <c r="H1862" i="6"/>
  <c r="R1861" i="6"/>
  <c r="H1861" i="6"/>
  <c r="R1860" i="6"/>
  <c r="H1860" i="6"/>
  <c r="Q1859" i="6"/>
  <c r="E1859" i="6"/>
  <c r="P1858" i="6"/>
  <c r="D1858" i="6"/>
  <c r="O1857" i="6"/>
  <c r="C1857" i="6"/>
  <c r="O1856" i="6"/>
  <c r="C1856" i="6"/>
  <c r="O1855" i="6"/>
  <c r="C1855" i="6"/>
  <c r="O1854" i="6"/>
  <c r="C1854" i="6"/>
  <c r="O1853" i="6"/>
  <c r="C1853" i="6"/>
  <c r="O1852" i="6"/>
  <c r="C1852" i="6"/>
  <c r="O1851" i="6"/>
  <c r="C1851" i="6"/>
  <c r="O1850" i="6"/>
  <c r="C1850" i="6"/>
  <c r="O1849" i="6"/>
  <c r="C1849" i="6"/>
  <c r="O1848" i="6"/>
  <c r="C1848" i="6"/>
  <c r="O1847" i="6"/>
  <c r="C1847" i="6"/>
  <c r="O1846" i="6"/>
  <c r="C1846" i="6"/>
  <c r="O1845" i="6"/>
  <c r="C1845" i="6"/>
  <c r="O1844" i="6"/>
  <c r="C1844" i="6"/>
  <c r="O1843" i="6"/>
  <c r="C1843" i="6"/>
  <c r="O1842" i="6"/>
  <c r="C1842" i="6"/>
  <c r="O1841" i="6"/>
  <c r="C1841" i="6"/>
  <c r="O1840" i="6"/>
  <c r="C1840" i="6"/>
  <c r="N1839" i="6"/>
  <c r="C1839" i="6"/>
  <c r="O1838" i="6"/>
  <c r="C1838" i="6"/>
  <c r="O1837" i="6"/>
  <c r="C1837" i="6"/>
  <c r="N1836" i="6"/>
  <c r="B1836" i="6"/>
  <c r="N1835" i="6"/>
  <c r="B1835" i="6"/>
  <c r="N1834" i="6"/>
  <c r="B1834" i="6"/>
  <c r="N1833" i="6"/>
  <c r="B1833" i="6"/>
  <c r="N1832" i="6"/>
  <c r="B1832" i="6"/>
  <c r="N1831" i="6"/>
  <c r="B1831" i="6"/>
  <c r="N1830" i="6"/>
  <c r="B1830" i="6"/>
  <c r="N1829" i="6"/>
  <c r="B1829" i="6"/>
  <c r="N1828" i="6"/>
  <c r="B1828" i="6"/>
  <c r="N1827" i="6"/>
  <c r="B1827" i="6"/>
  <c r="N1826" i="6"/>
  <c r="B1826" i="6"/>
  <c r="N1825" i="6"/>
  <c r="B1825" i="6"/>
  <c r="N1824" i="6"/>
  <c r="B1824" i="6"/>
  <c r="N1823" i="6"/>
  <c r="B1823" i="6"/>
  <c r="N1822" i="6"/>
  <c r="B1822" i="6"/>
  <c r="N1821" i="6"/>
  <c r="B1821" i="6"/>
  <c r="N1820" i="6"/>
  <c r="B1820" i="6"/>
  <c r="N1819" i="6"/>
  <c r="B1819" i="6"/>
  <c r="N1818" i="6"/>
  <c r="B1818" i="6"/>
  <c r="N1817" i="6"/>
  <c r="B1817" i="6"/>
  <c r="N1816" i="6"/>
  <c r="B1816" i="6"/>
  <c r="N1815" i="6"/>
  <c r="B1815" i="6"/>
  <c r="N1814" i="6"/>
  <c r="B1814" i="6"/>
  <c r="N1813" i="6"/>
  <c r="B1813" i="6"/>
  <c r="N1812" i="6"/>
  <c r="R1968" i="6"/>
  <c r="C1935" i="6"/>
  <c r="P1922" i="6"/>
  <c r="L1918" i="6"/>
  <c r="C1914" i="6"/>
  <c r="S1909" i="6"/>
  <c r="O1905" i="6"/>
  <c r="L1901" i="6"/>
  <c r="C1897" i="6"/>
  <c r="S1892" i="6"/>
  <c r="Q1888" i="6"/>
  <c r="M1884" i="6"/>
  <c r="D1880" i="6"/>
  <c r="A1876" i="6"/>
  <c r="T1871" i="6"/>
  <c r="H1868" i="6"/>
  <c r="N1867" i="6"/>
  <c r="R1866" i="6"/>
  <c r="H1866" i="6"/>
  <c r="Q1865" i="6"/>
  <c r="G1865" i="6"/>
  <c r="R1864" i="6"/>
  <c r="H1864" i="6"/>
  <c r="R1863" i="6"/>
  <c r="H1863" i="6"/>
  <c r="Q1862" i="6"/>
  <c r="G1862" i="6"/>
  <c r="Q1861" i="6"/>
  <c r="E1861" i="6"/>
  <c r="Q1860" i="6"/>
  <c r="E1860" i="6"/>
  <c r="P1859" i="6"/>
  <c r="D1859" i="6"/>
  <c r="O1858" i="6"/>
  <c r="C1858" i="6"/>
  <c r="N1857" i="6"/>
  <c r="B1857" i="6"/>
  <c r="N1856" i="6"/>
  <c r="B1856" i="6"/>
  <c r="N1855" i="6"/>
  <c r="B1855" i="6"/>
  <c r="N1854" i="6"/>
  <c r="B1854" i="6"/>
  <c r="N1853" i="6"/>
  <c r="B1853" i="6"/>
  <c r="N1852" i="6"/>
  <c r="B1852" i="6"/>
  <c r="N1851" i="6"/>
  <c r="B1851" i="6"/>
  <c r="N1850" i="6"/>
  <c r="B1850" i="6"/>
  <c r="N1849" i="6"/>
  <c r="B1849" i="6"/>
  <c r="N1848" i="6"/>
  <c r="B1848" i="6"/>
  <c r="N1847" i="6"/>
  <c r="B1847" i="6"/>
  <c r="N1846" i="6"/>
  <c r="B1846" i="6"/>
  <c r="N1845" i="6"/>
  <c r="B1845" i="6"/>
  <c r="N1844" i="6"/>
  <c r="B1844" i="6"/>
  <c r="N1843" i="6"/>
  <c r="B1843" i="6"/>
  <c r="N1842" i="6"/>
  <c r="B1842" i="6"/>
  <c r="N1841" i="6"/>
  <c r="B1841" i="6"/>
  <c r="N1840" i="6"/>
  <c r="B1840" i="6"/>
  <c r="M1839" i="6"/>
  <c r="B1839" i="6"/>
  <c r="N1838" i="6"/>
  <c r="B1838" i="6"/>
  <c r="N1837" i="6"/>
  <c r="B1837" i="6"/>
  <c r="M1836" i="6"/>
  <c r="A1836" i="6"/>
  <c r="M1835" i="6"/>
  <c r="A1835" i="6"/>
  <c r="M1834" i="6"/>
  <c r="A1834" i="6"/>
  <c r="M1833" i="6"/>
  <c r="A1833" i="6"/>
  <c r="M1832" i="6"/>
  <c r="A1832" i="6"/>
  <c r="M1831" i="6"/>
  <c r="A1831" i="6"/>
  <c r="M1830" i="6"/>
  <c r="A1830" i="6"/>
  <c r="M1829" i="6"/>
  <c r="A1829" i="6"/>
  <c r="M1828" i="6"/>
  <c r="A1828" i="6"/>
  <c r="M1827" i="6"/>
  <c r="A1827" i="6"/>
  <c r="M1826" i="6"/>
  <c r="A1826" i="6"/>
  <c r="M1825" i="6"/>
  <c r="A1825" i="6"/>
  <c r="M1824" i="6"/>
  <c r="A1824" i="6"/>
  <c r="M1823" i="6"/>
  <c r="A1823" i="6"/>
  <c r="M1822" i="6"/>
  <c r="A1822" i="6"/>
  <c r="M1821" i="6"/>
  <c r="A1821" i="6"/>
  <c r="M1820" i="6"/>
  <c r="A1820" i="6"/>
  <c r="M1819" i="6"/>
  <c r="A1819" i="6"/>
  <c r="M1818" i="6"/>
  <c r="A1818" i="6"/>
  <c r="M1817" i="6"/>
  <c r="A1817" i="6"/>
  <c r="M1816" i="6"/>
  <c r="A1816" i="6"/>
  <c r="M1815" i="6"/>
  <c r="A1815" i="6"/>
  <c r="M1814" i="6"/>
  <c r="A1814" i="6"/>
  <c r="M1813" i="6"/>
  <c r="A1813" i="6"/>
  <c r="M1812" i="6"/>
  <c r="A1812" i="6"/>
  <c r="O1964" i="6"/>
  <c r="T1930" i="6"/>
  <c r="C1922" i="6"/>
  <c r="S1917" i="6"/>
  <c r="O1913" i="6"/>
  <c r="H1909" i="6"/>
  <c r="C1905" i="6"/>
  <c r="S1900" i="6"/>
  <c r="O1896" i="6"/>
  <c r="H1892" i="6"/>
  <c r="D1888" i="6"/>
  <c r="T1883" i="6"/>
  <c r="P1879" i="6"/>
  <c r="M1875" i="6"/>
  <c r="L1871" i="6"/>
  <c r="D1868" i="6"/>
  <c r="I1867" i="6"/>
  <c r="Q1866" i="6"/>
  <c r="E1866" i="6"/>
  <c r="P1865" i="6"/>
  <c r="E1865" i="6"/>
  <c r="Q1864" i="6"/>
  <c r="E1864" i="6"/>
  <c r="Q1863" i="6"/>
  <c r="E1863" i="6"/>
  <c r="P1862" i="6"/>
  <c r="E1862" i="6"/>
  <c r="P1861" i="6"/>
  <c r="D1861" i="6"/>
  <c r="P1860" i="6"/>
  <c r="D1860" i="6"/>
  <c r="O1859" i="6"/>
  <c r="C1859" i="6"/>
  <c r="N1858" i="6"/>
  <c r="B1858" i="6"/>
  <c r="M1857" i="6"/>
  <c r="A1857" i="6"/>
  <c r="M1856" i="6"/>
  <c r="A1856" i="6"/>
  <c r="M1855" i="6"/>
  <c r="A1855" i="6"/>
  <c r="M1854" i="6"/>
  <c r="A1854" i="6"/>
  <c r="M1853" i="6"/>
  <c r="A1853" i="6"/>
  <c r="M1852" i="6"/>
  <c r="A1852" i="6"/>
  <c r="M1851" i="6"/>
  <c r="A1851" i="6"/>
  <c r="M1850" i="6"/>
  <c r="A1850" i="6"/>
  <c r="M1849" i="6"/>
  <c r="A1849" i="6"/>
  <c r="M1848" i="6"/>
  <c r="A1848" i="6"/>
  <c r="M1847" i="6"/>
  <c r="A1847" i="6"/>
  <c r="M1846" i="6"/>
  <c r="A1846" i="6"/>
  <c r="M1845" i="6"/>
  <c r="A1845" i="6"/>
  <c r="M1844" i="6"/>
  <c r="A1844" i="6"/>
  <c r="M1843" i="6"/>
  <c r="A1843" i="6"/>
  <c r="M1842" i="6"/>
  <c r="A1842" i="6"/>
  <c r="M1841" i="6"/>
  <c r="A1841" i="6"/>
  <c r="M1840" i="6"/>
  <c r="A1840" i="6"/>
  <c r="L1839" i="6"/>
  <c r="A1839" i="6"/>
  <c r="M1838" i="6"/>
  <c r="A1838" i="6"/>
  <c r="M1837" i="6"/>
  <c r="A1837" i="6"/>
  <c r="L1836" i="6"/>
  <c r="T1835" i="6"/>
  <c r="L1835" i="6"/>
  <c r="T1834" i="6"/>
  <c r="L1834" i="6"/>
  <c r="T1833" i="6"/>
  <c r="L1833" i="6"/>
  <c r="T1832" i="6"/>
  <c r="L1832" i="6"/>
  <c r="T1831" i="6"/>
  <c r="L1831" i="6"/>
  <c r="T1830" i="6"/>
  <c r="L1830" i="6"/>
  <c r="T1829" i="6"/>
  <c r="L1829" i="6"/>
  <c r="T1828" i="6"/>
  <c r="L1828" i="6"/>
  <c r="T1827" i="6"/>
  <c r="L1827" i="6"/>
  <c r="T1826" i="6"/>
  <c r="L1826" i="6"/>
  <c r="T1825" i="6"/>
  <c r="L1825" i="6"/>
  <c r="T1824" i="6"/>
  <c r="L1824" i="6"/>
  <c r="T1823" i="6"/>
  <c r="L1823" i="6"/>
  <c r="T1822" i="6"/>
  <c r="L1822" i="6"/>
  <c r="T1821" i="6"/>
  <c r="L1821" i="6"/>
  <c r="T1820" i="6"/>
  <c r="L1820" i="6"/>
  <c r="T1819" i="6"/>
  <c r="L1819" i="6"/>
  <c r="T1818" i="6"/>
  <c r="L1818" i="6"/>
  <c r="T1817" i="6"/>
  <c r="L1817" i="6"/>
  <c r="T1816" i="6"/>
  <c r="L1816" i="6"/>
  <c r="T1815" i="6"/>
  <c r="L1815" i="6"/>
  <c r="T1814" i="6"/>
  <c r="L1814" i="6"/>
  <c r="T1813" i="6"/>
  <c r="L1813" i="6"/>
  <c r="T1812" i="6"/>
  <c r="L1812" i="6"/>
  <c r="T1811" i="6"/>
  <c r="M1960" i="6"/>
  <c r="E1928" i="6"/>
  <c r="O1921" i="6"/>
  <c r="H1917" i="6"/>
  <c r="B1913" i="6"/>
  <c r="R1908" i="6"/>
  <c r="O1904" i="6"/>
  <c r="H1900" i="6"/>
  <c r="B1896" i="6"/>
  <c r="R1891" i="6"/>
  <c r="P1887" i="6"/>
  <c r="L1883" i="6"/>
  <c r="C1879" i="6"/>
  <c r="A1875" i="6"/>
  <c r="A1871" i="6"/>
  <c r="B1868" i="6"/>
  <c r="H1867" i="6"/>
  <c r="P1866" i="6"/>
  <c r="D1866" i="6"/>
  <c r="O1865" i="6"/>
  <c r="D1865" i="6"/>
  <c r="P1864" i="6"/>
  <c r="D1864" i="6"/>
  <c r="P1863" i="6"/>
  <c r="D1863" i="6"/>
  <c r="O1862" i="6"/>
  <c r="D1862" i="6"/>
  <c r="O1861" i="6"/>
  <c r="C1861" i="6"/>
  <c r="O1860" i="6"/>
  <c r="C1860" i="6"/>
  <c r="N1859" i="6"/>
  <c r="B1859" i="6"/>
  <c r="M1858" i="6"/>
  <c r="A1858" i="6"/>
  <c r="L1857" i="6"/>
  <c r="T1856" i="6"/>
  <c r="L1856" i="6"/>
  <c r="T1855" i="6"/>
  <c r="L1855" i="6"/>
  <c r="T1854" i="6"/>
  <c r="L1854" i="6"/>
  <c r="T1853" i="6"/>
  <c r="L1853" i="6"/>
  <c r="T1852" i="6"/>
  <c r="L1852" i="6"/>
  <c r="T1851" i="6"/>
  <c r="L1851" i="6"/>
  <c r="T1850" i="6"/>
  <c r="L1850" i="6"/>
  <c r="T1849" i="6"/>
  <c r="L1849" i="6"/>
  <c r="T1848" i="6"/>
  <c r="L1848" i="6"/>
  <c r="T1847" i="6"/>
  <c r="L1847" i="6"/>
  <c r="T1846" i="6"/>
  <c r="L1846" i="6"/>
  <c r="T1845" i="6"/>
  <c r="L1845" i="6"/>
  <c r="T1844" i="6"/>
  <c r="L1844" i="6"/>
  <c r="T1843" i="6"/>
  <c r="L1843" i="6"/>
  <c r="T1842" i="6"/>
  <c r="L1842" i="6"/>
  <c r="T1841" i="6"/>
  <c r="L1841" i="6"/>
  <c r="T1840" i="6"/>
  <c r="L1840" i="6"/>
  <c r="S1839" i="6"/>
  <c r="I1839" i="6"/>
  <c r="T1838" i="6"/>
  <c r="L1838" i="6"/>
  <c r="T1837" i="6"/>
  <c r="L1837" i="6"/>
  <c r="S1836" i="6"/>
  <c r="I1836" i="6"/>
  <c r="S1835" i="6"/>
  <c r="I1835" i="6"/>
  <c r="S1834" i="6"/>
  <c r="I1834" i="6"/>
  <c r="S1833" i="6"/>
  <c r="I1833" i="6"/>
  <c r="S1832" i="6"/>
  <c r="I1832" i="6"/>
  <c r="S1831" i="6"/>
  <c r="I1831" i="6"/>
  <c r="S1830" i="6"/>
  <c r="I1830" i="6"/>
  <c r="S1829" i="6"/>
  <c r="I1829" i="6"/>
  <c r="S1828" i="6"/>
  <c r="I1828" i="6"/>
  <c r="S1827" i="6"/>
  <c r="I1827" i="6"/>
  <c r="S1826" i="6"/>
  <c r="I1826" i="6"/>
  <c r="S1825" i="6"/>
  <c r="I1825" i="6"/>
  <c r="S1824" i="6"/>
  <c r="I1824" i="6"/>
  <c r="S1823" i="6"/>
  <c r="I1823" i="6"/>
  <c r="S1822" i="6"/>
  <c r="I1822" i="6"/>
  <c r="S1821" i="6"/>
  <c r="I1821" i="6"/>
  <c r="S1820" i="6"/>
  <c r="I1820" i="6"/>
  <c r="S1819" i="6"/>
  <c r="I1819" i="6"/>
  <c r="S1818" i="6"/>
  <c r="I1818" i="6"/>
  <c r="S1817" i="6"/>
  <c r="I1817" i="6"/>
  <c r="S1816" i="6"/>
  <c r="I1816" i="6"/>
  <c r="S1815" i="6"/>
  <c r="I1815" i="6"/>
  <c r="S1814" i="6"/>
  <c r="I1814" i="6"/>
  <c r="S1813" i="6"/>
  <c r="I1813" i="6"/>
  <c r="S1812" i="6"/>
  <c r="I1812" i="6"/>
  <c r="E1956" i="6"/>
  <c r="N1895" i="6"/>
  <c r="E1867" i="6"/>
  <c r="C1863" i="6"/>
  <c r="A1859" i="6"/>
  <c r="S1854" i="6"/>
  <c r="S1850" i="6"/>
  <c r="S1846" i="6"/>
  <c r="S1842" i="6"/>
  <c r="S1838" i="6"/>
  <c r="R1834" i="6"/>
  <c r="R1830" i="6"/>
  <c r="R1826" i="6"/>
  <c r="R1822" i="6"/>
  <c r="R1818" i="6"/>
  <c r="R1814" i="6"/>
  <c r="B1812" i="6"/>
  <c r="I1811" i="6"/>
  <c r="S1810" i="6"/>
  <c r="I1810" i="6"/>
  <c r="S1809" i="6"/>
  <c r="I1809" i="6"/>
  <c r="S1808" i="6"/>
  <c r="I1808" i="6"/>
  <c r="S1807" i="6"/>
  <c r="I1807" i="6"/>
  <c r="S1806" i="6"/>
  <c r="I1806" i="6"/>
  <c r="S1805" i="6"/>
  <c r="I1805" i="6"/>
  <c r="S1804" i="6"/>
  <c r="I1804" i="6"/>
  <c r="S1803" i="6"/>
  <c r="I1803" i="6"/>
  <c r="S1802" i="6"/>
  <c r="I1802" i="6"/>
  <c r="S1801" i="6"/>
  <c r="I1801" i="6"/>
  <c r="S1800" i="6"/>
  <c r="I1800" i="6"/>
  <c r="S1799" i="6"/>
  <c r="I1799" i="6"/>
  <c r="S1798" i="6"/>
  <c r="I1798" i="6"/>
  <c r="S1797" i="6"/>
  <c r="I1797" i="6"/>
  <c r="S1796" i="6"/>
  <c r="I1796" i="6"/>
  <c r="S1795" i="6"/>
  <c r="I1795" i="6"/>
  <c r="S1794" i="6"/>
  <c r="I1794" i="6"/>
  <c r="S1793" i="6"/>
  <c r="I1793" i="6"/>
  <c r="R1792" i="6"/>
  <c r="H1792" i="6"/>
  <c r="S1791" i="6"/>
  <c r="I1791" i="6"/>
  <c r="T1790" i="6"/>
  <c r="L1790" i="6"/>
  <c r="S1789" i="6"/>
  <c r="H1789" i="6"/>
  <c r="R1788" i="6"/>
  <c r="E1788" i="6"/>
  <c r="P1787" i="6"/>
  <c r="C1787" i="6"/>
  <c r="O1786" i="6"/>
  <c r="B1786" i="6"/>
  <c r="N1785" i="6"/>
  <c r="A1785" i="6"/>
  <c r="M1784" i="6"/>
  <c r="T1783" i="6"/>
  <c r="L1783" i="6"/>
  <c r="R1782" i="6"/>
  <c r="E1782" i="6"/>
  <c r="P1781" i="6"/>
  <c r="C1781" i="6"/>
  <c r="N1780" i="6"/>
  <c r="A1780" i="6"/>
  <c r="M1779" i="6"/>
  <c r="T1778" i="6"/>
  <c r="L1778" i="6"/>
  <c r="S1777" i="6"/>
  <c r="H1777" i="6"/>
  <c r="R1776" i="6"/>
  <c r="G1776" i="6"/>
  <c r="R1775" i="6"/>
  <c r="H1775" i="6"/>
  <c r="R1774" i="6"/>
  <c r="E1774" i="6"/>
  <c r="Q1773" i="6"/>
  <c r="D1773" i="6"/>
  <c r="P1772" i="6"/>
  <c r="C1772" i="6"/>
  <c r="O1771" i="6"/>
  <c r="B1771" i="6"/>
  <c r="N1770" i="6"/>
  <c r="A1770" i="6"/>
  <c r="M1769" i="6"/>
  <c r="T1768" i="6"/>
  <c r="L1768" i="6"/>
  <c r="S1767" i="6"/>
  <c r="H1767" i="6"/>
  <c r="R1766" i="6"/>
  <c r="E1766" i="6"/>
  <c r="Q1765" i="6"/>
  <c r="D1765" i="6"/>
  <c r="P1764" i="6"/>
  <c r="C1764" i="6"/>
  <c r="O1763" i="6"/>
  <c r="B1763" i="6"/>
  <c r="M1762" i="6"/>
  <c r="T1761" i="6"/>
  <c r="L1761" i="6"/>
  <c r="S1760" i="6"/>
  <c r="H1760" i="6"/>
  <c r="R1759" i="6"/>
  <c r="E1759" i="6"/>
  <c r="Q1758" i="6"/>
  <c r="E1758" i="6"/>
  <c r="O1757" i="6"/>
  <c r="D1757" i="6"/>
  <c r="P1756" i="6"/>
  <c r="H1926" i="6"/>
  <c r="E1891" i="6"/>
  <c r="O1866" i="6"/>
  <c r="N1862" i="6"/>
  <c r="L1858" i="6"/>
  <c r="I1854" i="6"/>
  <c r="I1850" i="6"/>
  <c r="I1846" i="6"/>
  <c r="I1842" i="6"/>
  <c r="I1838" i="6"/>
  <c r="H1834" i="6"/>
  <c r="H1830" i="6"/>
  <c r="H1826" i="6"/>
  <c r="H1822" i="6"/>
  <c r="H1818" i="6"/>
  <c r="H1814" i="6"/>
  <c r="S1811" i="6"/>
  <c r="H1811" i="6"/>
  <c r="R1810" i="6"/>
  <c r="H1810" i="6"/>
  <c r="R1809" i="6"/>
  <c r="H1809" i="6"/>
  <c r="R1808" i="6"/>
  <c r="H1808" i="6"/>
  <c r="R1807" i="6"/>
  <c r="H1807" i="6"/>
  <c r="R1806" i="6"/>
  <c r="H1806" i="6"/>
  <c r="R1805" i="6"/>
  <c r="H1805" i="6"/>
  <c r="R1804" i="6"/>
  <c r="H1804" i="6"/>
  <c r="R1803" i="6"/>
  <c r="H1803" i="6"/>
  <c r="R1802" i="6"/>
  <c r="H1802" i="6"/>
  <c r="R1801" i="6"/>
  <c r="H1801" i="6"/>
  <c r="R1800" i="6"/>
  <c r="H1800" i="6"/>
  <c r="R1799" i="6"/>
  <c r="H1799" i="6"/>
  <c r="R1798" i="6"/>
  <c r="H1798" i="6"/>
  <c r="R1797" i="6"/>
  <c r="H1797" i="6"/>
  <c r="R1796" i="6"/>
  <c r="H1796" i="6"/>
  <c r="R1795" i="6"/>
  <c r="H1795" i="6"/>
  <c r="R1794" i="6"/>
  <c r="H1794" i="6"/>
  <c r="R1793" i="6"/>
  <c r="H1793" i="6"/>
  <c r="Q1792" i="6"/>
  <c r="F1792" i="6"/>
  <c r="R1791" i="6"/>
  <c r="H1791" i="6"/>
  <c r="S1790" i="6"/>
  <c r="H1790" i="6"/>
  <c r="R1789" i="6"/>
  <c r="E1789" i="6"/>
  <c r="Q1788" i="6"/>
  <c r="D1788" i="6"/>
  <c r="O1787" i="6"/>
  <c r="B1787" i="6"/>
  <c r="N1786" i="6"/>
  <c r="A1786" i="6"/>
  <c r="M1785" i="6"/>
  <c r="T1784" i="6"/>
  <c r="L1784" i="6"/>
  <c r="S1783" i="6"/>
  <c r="H1783" i="6"/>
  <c r="Q1782" i="6"/>
  <c r="D1782" i="6"/>
  <c r="O1781" i="6"/>
  <c r="B1781" i="6"/>
  <c r="M1780" i="6"/>
  <c r="T1779" i="6"/>
  <c r="L1779" i="6"/>
  <c r="S1778" i="6"/>
  <c r="H1778" i="6"/>
  <c r="R1777" i="6"/>
  <c r="E1777" i="6"/>
  <c r="Q1776" i="6"/>
  <c r="E1776" i="6"/>
  <c r="Q1775" i="6"/>
  <c r="F1775" i="6"/>
  <c r="Q1774" i="6"/>
  <c r="D1774" i="6"/>
  <c r="P1773" i="6"/>
  <c r="C1773" i="6"/>
  <c r="O1772" i="6"/>
  <c r="B1772" i="6"/>
  <c r="N1771" i="6"/>
  <c r="A1771" i="6"/>
  <c r="M1770" i="6"/>
  <c r="T1769" i="6"/>
  <c r="L1769" i="6"/>
  <c r="S1768" i="6"/>
  <c r="H1768" i="6"/>
  <c r="R1767" i="6"/>
  <c r="E1767" i="6"/>
  <c r="Q1766" i="6"/>
  <c r="D1766" i="6"/>
  <c r="P1765" i="6"/>
  <c r="C1765" i="6"/>
  <c r="O1764" i="6"/>
  <c r="B1764" i="6"/>
  <c r="N1763" i="6"/>
  <c r="A1763" i="6"/>
  <c r="L1762" i="6"/>
  <c r="S1761" i="6"/>
  <c r="H1761" i="6"/>
  <c r="R1760" i="6"/>
  <c r="E1760" i="6"/>
  <c r="Q1759" i="6"/>
  <c r="D1759" i="6"/>
  <c r="P1758" i="6"/>
  <c r="D1758" i="6"/>
  <c r="N1757" i="6"/>
  <c r="C1757" i="6"/>
  <c r="O1756" i="6"/>
  <c r="B1756" i="6"/>
  <c r="N1755" i="6"/>
  <c r="A1755" i="6"/>
  <c r="M1754" i="6"/>
  <c r="B1754" i="6"/>
  <c r="B1921" i="6"/>
  <c r="C1887" i="6"/>
  <c r="C1866" i="6"/>
  <c r="C1862" i="6"/>
  <c r="S1857" i="6"/>
  <c r="S1853" i="6"/>
  <c r="S1849" i="6"/>
  <c r="S1845" i="6"/>
  <c r="S1841" i="6"/>
  <c r="S1837" i="6"/>
  <c r="R1833" i="6"/>
  <c r="R1829" i="6"/>
  <c r="R1825" i="6"/>
  <c r="R1821" i="6"/>
  <c r="R1817" i="6"/>
  <c r="R1813" i="6"/>
  <c r="R1811" i="6"/>
  <c r="E1811" i="6"/>
  <c r="Q1810" i="6"/>
  <c r="E1810" i="6"/>
  <c r="Q1809" i="6"/>
  <c r="E1809" i="6"/>
  <c r="Q1808" i="6"/>
  <c r="E1808" i="6"/>
  <c r="Q1807" i="6"/>
  <c r="E1807" i="6"/>
  <c r="Q1806" i="6"/>
  <c r="E1806" i="6"/>
  <c r="Q1805" i="6"/>
  <c r="E1805" i="6"/>
  <c r="Q1804" i="6"/>
  <c r="E1804" i="6"/>
  <c r="Q1803" i="6"/>
  <c r="E1803" i="6"/>
  <c r="Q1802" i="6"/>
  <c r="E1802" i="6"/>
  <c r="Q1801" i="6"/>
  <c r="E1801" i="6"/>
  <c r="Q1800" i="6"/>
  <c r="E1800" i="6"/>
  <c r="Q1799" i="6"/>
  <c r="E1799" i="6"/>
  <c r="Q1798" i="6"/>
  <c r="E1798" i="6"/>
  <c r="Q1797" i="6"/>
  <c r="E1797" i="6"/>
  <c r="Q1796" i="6"/>
  <c r="E1796" i="6"/>
  <c r="Q1795" i="6"/>
  <c r="E1795" i="6"/>
  <c r="Q1794" i="6"/>
  <c r="E1794" i="6"/>
  <c r="Q1793" i="6"/>
  <c r="E1793" i="6"/>
  <c r="P1792" i="6"/>
  <c r="E1792" i="6"/>
  <c r="Q1791" i="6"/>
  <c r="F1791" i="6"/>
  <c r="R1790" i="6"/>
  <c r="E1790" i="6"/>
  <c r="Q1789" i="6"/>
  <c r="D1789" i="6"/>
  <c r="P1788" i="6"/>
  <c r="C1788" i="6"/>
  <c r="N1787" i="6"/>
  <c r="A1787" i="6"/>
  <c r="M1786" i="6"/>
  <c r="T1785" i="6"/>
  <c r="L1785" i="6"/>
  <c r="S1784" i="6"/>
  <c r="H1784" i="6"/>
  <c r="R1783" i="6"/>
  <c r="E1783" i="6"/>
  <c r="P1782" i="6"/>
  <c r="C1782" i="6"/>
  <c r="N1781" i="6"/>
  <c r="A1781" i="6"/>
  <c r="L1780" i="6"/>
  <c r="S1779" i="6"/>
  <c r="H1779" i="6"/>
  <c r="R1778" i="6"/>
  <c r="E1778" i="6"/>
  <c r="Q1777" i="6"/>
  <c r="D1777" i="6"/>
  <c r="P1776" i="6"/>
  <c r="D1776" i="6"/>
  <c r="P1775" i="6"/>
  <c r="E1775" i="6"/>
  <c r="P1774" i="6"/>
  <c r="C1774" i="6"/>
  <c r="O1773" i="6"/>
  <c r="B1773" i="6"/>
  <c r="N1772" i="6"/>
  <c r="A1772" i="6"/>
  <c r="M1771" i="6"/>
  <c r="T1770" i="6"/>
  <c r="L1770" i="6"/>
  <c r="S1769" i="6"/>
  <c r="H1769" i="6"/>
  <c r="R1768" i="6"/>
  <c r="E1768" i="6"/>
  <c r="Q1767" i="6"/>
  <c r="D1767" i="6"/>
  <c r="P1766" i="6"/>
  <c r="C1766" i="6"/>
  <c r="O1765" i="6"/>
  <c r="B1765" i="6"/>
  <c r="N1764" i="6"/>
  <c r="A1764" i="6"/>
  <c r="M1763" i="6"/>
  <c r="S1762" i="6"/>
  <c r="H1762" i="6"/>
  <c r="R1761" i="6"/>
  <c r="E1761" i="6"/>
  <c r="Q1760" i="6"/>
  <c r="D1760" i="6"/>
  <c r="P1759" i="6"/>
  <c r="C1759" i="6"/>
  <c r="O1758" i="6"/>
  <c r="C1758" i="6"/>
  <c r="M1757" i="6"/>
  <c r="B1757" i="6"/>
  <c r="N1756" i="6"/>
  <c r="R1916" i="6"/>
  <c r="S1882" i="6"/>
  <c r="N1865" i="6"/>
  <c r="N1861" i="6"/>
  <c r="I1857" i="6"/>
  <c r="I1853" i="6"/>
  <c r="I1849" i="6"/>
  <c r="I1845" i="6"/>
  <c r="I1841" i="6"/>
  <c r="I1837" i="6"/>
  <c r="H1833" i="6"/>
  <c r="H1829" i="6"/>
  <c r="H1825" i="6"/>
  <c r="H1821" i="6"/>
  <c r="H1817" i="6"/>
  <c r="H1813" i="6"/>
  <c r="P1811" i="6"/>
  <c r="D1811" i="6"/>
  <c r="P1810" i="6"/>
  <c r="D1810" i="6"/>
  <c r="P1809" i="6"/>
  <c r="D1809" i="6"/>
  <c r="P1808" i="6"/>
  <c r="D1808" i="6"/>
  <c r="P1807" i="6"/>
  <c r="D1807" i="6"/>
  <c r="P1806" i="6"/>
  <c r="D1806" i="6"/>
  <c r="P1805" i="6"/>
  <c r="D1805" i="6"/>
  <c r="P1804" i="6"/>
  <c r="D1804" i="6"/>
  <c r="P1803" i="6"/>
  <c r="D1803" i="6"/>
  <c r="P1802" i="6"/>
  <c r="D1802" i="6"/>
  <c r="P1801" i="6"/>
  <c r="D1801" i="6"/>
  <c r="P1800" i="6"/>
  <c r="D1800" i="6"/>
  <c r="P1799" i="6"/>
  <c r="D1799" i="6"/>
  <c r="P1798" i="6"/>
  <c r="D1798" i="6"/>
  <c r="P1797" i="6"/>
  <c r="D1797" i="6"/>
  <c r="P1796" i="6"/>
  <c r="D1796" i="6"/>
  <c r="P1795" i="6"/>
  <c r="D1795" i="6"/>
  <c r="P1794" i="6"/>
  <c r="D1794" i="6"/>
  <c r="P1793" i="6"/>
  <c r="D1793" i="6"/>
  <c r="O1792" i="6"/>
  <c r="D1792" i="6"/>
  <c r="P1791" i="6"/>
  <c r="E1791" i="6"/>
  <c r="Q1790" i="6"/>
  <c r="D1790" i="6"/>
  <c r="P1789" i="6"/>
  <c r="C1789" i="6"/>
  <c r="O1788" i="6"/>
  <c r="B1788" i="6"/>
  <c r="M1787" i="6"/>
  <c r="T1786" i="6"/>
  <c r="L1786" i="6"/>
  <c r="S1785" i="6"/>
  <c r="H1785" i="6"/>
  <c r="R1784" i="6"/>
  <c r="E1784" i="6"/>
  <c r="Q1783" i="6"/>
  <c r="D1783" i="6"/>
  <c r="O1782" i="6"/>
  <c r="B1782" i="6"/>
  <c r="M1781" i="6"/>
  <c r="S1780" i="6"/>
  <c r="H1780" i="6"/>
  <c r="R1779" i="6"/>
  <c r="E1779" i="6"/>
  <c r="Q1778" i="6"/>
  <c r="D1778" i="6"/>
  <c r="P1777" i="6"/>
  <c r="C1777" i="6"/>
  <c r="O1776" i="6"/>
  <c r="C1776" i="6"/>
  <c r="O1775" i="6"/>
  <c r="D1775" i="6"/>
  <c r="O1774" i="6"/>
  <c r="B1774" i="6"/>
  <c r="N1773" i="6"/>
  <c r="A1773" i="6"/>
  <c r="M1772" i="6"/>
  <c r="T1771" i="6"/>
  <c r="L1771" i="6"/>
  <c r="S1770" i="6"/>
  <c r="H1770" i="6"/>
  <c r="R1769" i="6"/>
  <c r="E1769" i="6"/>
  <c r="Q1768" i="6"/>
  <c r="D1768" i="6"/>
  <c r="P1767" i="6"/>
  <c r="C1767" i="6"/>
  <c r="O1766" i="6"/>
  <c r="B1766" i="6"/>
  <c r="N1765" i="6"/>
  <c r="A1765" i="6"/>
  <c r="M1764" i="6"/>
  <c r="T1763" i="6"/>
  <c r="L1763" i="6"/>
  <c r="R1762" i="6"/>
  <c r="E1762" i="6"/>
  <c r="Q1761" i="6"/>
  <c r="D1761" i="6"/>
  <c r="P1760" i="6"/>
  <c r="C1760" i="6"/>
  <c r="O1759" i="6"/>
  <c r="B1759" i="6"/>
  <c r="N1758" i="6"/>
  <c r="B1758" i="6"/>
  <c r="L1757" i="6"/>
  <c r="A1757" i="6"/>
  <c r="M1756" i="6"/>
  <c r="T1755" i="6"/>
  <c r="L1755" i="6"/>
  <c r="S1754" i="6"/>
  <c r="I1754" i="6"/>
  <c r="N1912" i="6"/>
  <c r="O1878" i="6"/>
  <c r="C1865" i="6"/>
  <c r="B1861" i="6"/>
  <c r="S1856" i="6"/>
  <c r="S1852" i="6"/>
  <c r="S1848" i="6"/>
  <c r="S1844" i="6"/>
  <c r="S1840" i="6"/>
  <c r="R1836" i="6"/>
  <c r="R1832" i="6"/>
  <c r="R1828" i="6"/>
  <c r="R1824" i="6"/>
  <c r="R1820" i="6"/>
  <c r="R1816" i="6"/>
  <c r="R1812" i="6"/>
  <c r="O1811" i="6"/>
  <c r="C1811" i="6"/>
  <c r="O1810" i="6"/>
  <c r="C1810" i="6"/>
  <c r="O1809" i="6"/>
  <c r="C1809" i="6"/>
  <c r="O1808" i="6"/>
  <c r="C1808" i="6"/>
  <c r="O1807" i="6"/>
  <c r="C1807" i="6"/>
  <c r="O1806" i="6"/>
  <c r="C1806" i="6"/>
  <c r="O1805" i="6"/>
  <c r="C1805" i="6"/>
  <c r="O1804" i="6"/>
  <c r="C1804" i="6"/>
  <c r="O1803" i="6"/>
  <c r="C1803" i="6"/>
  <c r="O1802" i="6"/>
  <c r="C1802" i="6"/>
  <c r="O1801" i="6"/>
  <c r="C1801" i="6"/>
  <c r="O1800" i="6"/>
  <c r="C1800" i="6"/>
  <c r="O1799" i="6"/>
  <c r="C1799" i="6"/>
  <c r="O1798" i="6"/>
  <c r="C1798" i="6"/>
  <c r="O1797" i="6"/>
  <c r="C1797" i="6"/>
  <c r="O1796" i="6"/>
  <c r="C1796" i="6"/>
  <c r="O1795" i="6"/>
  <c r="C1795" i="6"/>
  <c r="O1794" i="6"/>
  <c r="C1794" i="6"/>
  <c r="O1793" i="6"/>
  <c r="C1793" i="6"/>
  <c r="N1792" i="6"/>
  <c r="C1792" i="6"/>
  <c r="O1791" i="6"/>
  <c r="D1791" i="6"/>
  <c r="P1790" i="6"/>
  <c r="C1790" i="6"/>
  <c r="O1789" i="6"/>
  <c r="B1789" i="6"/>
  <c r="N1788" i="6"/>
  <c r="A1788" i="6"/>
  <c r="L1787" i="6"/>
  <c r="S1786" i="6"/>
  <c r="H1786" i="6"/>
  <c r="R1785" i="6"/>
  <c r="E1785" i="6"/>
  <c r="Q1784" i="6"/>
  <c r="D1784" i="6"/>
  <c r="P1783" i="6"/>
  <c r="C1783" i="6"/>
  <c r="N1782" i="6"/>
  <c r="A1782" i="6"/>
  <c r="L1781" i="6"/>
  <c r="R1780" i="6"/>
  <c r="E1780" i="6"/>
  <c r="Q1779" i="6"/>
  <c r="D1779" i="6"/>
  <c r="P1778" i="6"/>
  <c r="C1778" i="6"/>
  <c r="O1777" i="6"/>
  <c r="B1777" i="6"/>
  <c r="N1776" i="6"/>
  <c r="B1776" i="6"/>
  <c r="N1775" i="6"/>
  <c r="C1775" i="6"/>
  <c r="N1774" i="6"/>
  <c r="A1774" i="6"/>
  <c r="M1773" i="6"/>
  <c r="T1772" i="6"/>
  <c r="L1772" i="6"/>
  <c r="S1771" i="6"/>
  <c r="H1771" i="6"/>
  <c r="R1770" i="6"/>
  <c r="E1770" i="6"/>
  <c r="Q1769" i="6"/>
  <c r="D1769" i="6"/>
  <c r="P1768" i="6"/>
  <c r="C1768" i="6"/>
  <c r="O1767" i="6"/>
  <c r="B1767" i="6"/>
  <c r="N1766" i="6"/>
  <c r="A1766" i="6"/>
  <c r="M1765" i="6"/>
  <c r="T1764" i="6"/>
  <c r="L1764" i="6"/>
  <c r="S1763" i="6"/>
  <c r="H1763" i="6"/>
  <c r="Q1762" i="6"/>
  <c r="D1762" i="6"/>
  <c r="P1761" i="6"/>
  <c r="C1761" i="6"/>
  <c r="O1760" i="6"/>
  <c r="B1760" i="6"/>
  <c r="N1759" i="6"/>
  <c r="A1759" i="6"/>
  <c r="M1758" i="6"/>
  <c r="A1758" i="6"/>
  <c r="I1757" i="6"/>
  <c r="T1756" i="6"/>
  <c r="E1908" i="6"/>
  <c r="M1874" i="6"/>
  <c r="O1864" i="6"/>
  <c r="N1860" i="6"/>
  <c r="I1856" i="6"/>
  <c r="I1852" i="6"/>
  <c r="I1848" i="6"/>
  <c r="I1844" i="6"/>
  <c r="I1840" i="6"/>
  <c r="H1836" i="6"/>
  <c r="H1832" i="6"/>
  <c r="H1828" i="6"/>
  <c r="H1824" i="6"/>
  <c r="H1820" i="6"/>
  <c r="H1816" i="6"/>
  <c r="O1812" i="6"/>
  <c r="N1811" i="6"/>
  <c r="B1811" i="6"/>
  <c r="N1810" i="6"/>
  <c r="B1810" i="6"/>
  <c r="N1809" i="6"/>
  <c r="B1809" i="6"/>
  <c r="N1808" i="6"/>
  <c r="B1808" i="6"/>
  <c r="N1807" i="6"/>
  <c r="B1807" i="6"/>
  <c r="N1806" i="6"/>
  <c r="B1806" i="6"/>
  <c r="N1805" i="6"/>
  <c r="B1805" i="6"/>
  <c r="N1804" i="6"/>
  <c r="B1804" i="6"/>
  <c r="N1803" i="6"/>
  <c r="B1803" i="6"/>
  <c r="N1802" i="6"/>
  <c r="B1802" i="6"/>
  <c r="N1801" i="6"/>
  <c r="B1801" i="6"/>
  <c r="N1800" i="6"/>
  <c r="B1800" i="6"/>
  <c r="N1799" i="6"/>
  <c r="B1799" i="6"/>
  <c r="N1798" i="6"/>
  <c r="B1798" i="6"/>
  <c r="N1797" i="6"/>
  <c r="B1797" i="6"/>
  <c r="N1796" i="6"/>
  <c r="B1796" i="6"/>
  <c r="N1795" i="6"/>
  <c r="B1795" i="6"/>
  <c r="N1794" i="6"/>
  <c r="B1794" i="6"/>
  <c r="N1793" i="6"/>
  <c r="B1793" i="6"/>
  <c r="M1792" i="6"/>
  <c r="B1792" i="6"/>
  <c r="N1791" i="6"/>
  <c r="C1791" i="6"/>
  <c r="O1790" i="6"/>
  <c r="B1790" i="6"/>
  <c r="N1789" i="6"/>
  <c r="A1789" i="6"/>
  <c r="M1788" i="6"/>
  <c r="S1787" i="6"/>
  <c r="H1787" i="6"/>
  <c r="R1786" i="6"/>
  <c r="E1786" i="6"/>
  <c r="Q1785" i="6"/>
  <c r="D1785" i="6"/>
  <c r="P1784" i="6"/>
  <c r="C1784" i="6"/>
  <c r="O1783" i="6"/>
  <c r="B1783" i="6"/>
  <c r="M1782" i="6"/>
  <c r="S1781" i="6"/>
  <c r="H1781" i="6"/>
  <c r="Q1780" i="6"/>
  <c r="D1780" i="6"/>
  <c r="P1779" i="6"/>
  <c r="C1779" i="6"/>
  <c r="O1778" i="6"/>
  <c r="B1778" i="6"/>
  <c r="N1777" i="6"/>
  <c r="A1777" i="6"/>
  <c r="M1776" i="6"/>
  <c r="A1776" i="6"/>
  <c r="M1775" i="6"/>
  <c r="B1775" i="6"/>
  <c r="M1774" i="6"/>
  <c r="T1773" i="6"/>
  <c r="L1773" i="6"/>
  <c r="S1772" i="6"/>
  <c r="H1772" i="6"/>
  <c r="R1771" i="6"/>
  <c r="E1771" i="6"/>
  <c r="Q1770" i="6"/>
  <c r="D1770" i="6"/>
  <c r="P1769" i="6"/>
  <c r="C1769" i="6"/>
  <c r="O1768" i="6"/>
  <c r="B1768" i="6"/>
  <c r="N1767" i="6"/>
  <c r="A1767" i="6"/>
  <c r="M1766" i="6"/>
  <c r="T1765" i="6"/>
  <c r="L1765" i="6"/>
  <c r="S1764" i="6"/>
  <c r="H1764" i="6"/>
  <c r="R1763" i="6"/>
  <c r="E1763" i="6"/>
  <c r="P1762" i="6"/>
  <c r="C1762" i="6"/>
  <c r="O1761" i="6"/>
  <c r="B1761" i="6"/>
  <c r="N1760" i="6"/>
  <c r="A1760" i="6"/>
  <c r="M1759" i="6"/>
  <c r="T1758" i="6"/>
  <c r="L1758" i="6"/>
  <c r="T1757" i="6"/>
  <c r="H1757" i="6"/>
  <c r="S1756" i="6"/>
  <c r="B1904" i="6"/>
  <c r="M1870" i="6"/>
  <c r="C1864" i="6"/>
  <c r="B1860" i="6"/>
  <c r="S1855" i="6"/>
  <c r="S1851" i="6"/>
  <c r="S1847" i="6"/>
  <c r="S1843" i="6"/>
  <c r="R1839" i="6"/>
  <c r="R1835" i="6"/>
  <c r="R1831" i="6"/>
  <c r="R1827" i="6"/>
  <c r="R1823" i="6"/>
  <c r="R1819" i="6"/>
  <c r="R1815" i="6"/>
  <c r="H1812" i="6"/>
  <c r="M1811" i="6"/>
  <c r="A1811" i="6"/>
  <c r="M1810" i="6"/>
  <c r="A1810" i="6"/>
  <c r="M1809" i="6"/>
  <c r="A1809" i="6"/>
  <c r="M1808" i="6"/>
  <c r="A1808" i="6"/>
  <c r="M1807" i="6"/>
  <c r="A1807" i="6"/>
  <c r="M1806" i="6"/>
  <c r="A1806" i="6"/>
  <c r="M1805" i="6"/>
  <c r="A1805" i="6"/>
  <c r="M1804" i="6"/>
  <c r="A1804" i="6"/>
  <c r="M1803" i="6"/>
  <c r="A1803" i="6"/>
  <c r="M1802" i="6"/>
  <c r="A1802" i="6"/>
  <c r="M1801" i="6"/>
  <c r="A1801" i="6"/>
  <c r="M1800" i="6"/>
  <c r="A1800" i="6"/>
  <c r="M1799" i="6"/>
  <c r="A1799" i="6"/>
  <c r="M1798" i="6"/>
  <c r="A1798" i="6"/>
  <c r="M1797" i="6"/>
  <c r="A1797" i="6"/>
  <c r="M1796" i="6"/>
  <c r="A1796" i="6"/>
  <c r="M1795" i="6"/>
  <c r="A1795" i="6"/>
  <c r="M1794" i="6"/>
  <c r="A1794" i="6"/>
  <c r="M1793" i="6"/>
  <c r="A1793" i="6"/>
  <c r="L1792" i="6"/>
  <c r="A1792" i="6"/>
  <c r="M1791" i="6"/>
  <c r="B1791" i="6"/>
  <c r="N1790" i="6"/>
  <c r="A1790" i="6"/>
  <c r="M1789" i="6"/>
  <c r="T1788" i="6"/>
  <c r="L1788" i="6"/>
  <c r="R1787" i="6"/>
  <c r="E1787" i="6"/>
  <c r="Q1786" i="6"/>
  <c r="D1786" i="6"/>
  <c r="P1785" i="6"/>
  <c r="C1785" i="6"/>
  <c r="O1784" i="6"/>
  <c r="B1784" i="6"/>
  <c r="N1783" i="6"/>
  <c r="A1783" i="6"/>
  <c r="L1782" i="6"/>
  <c r="R1781" i="6"/>
  <c r="E1781" i="6"/>
  <c r="P1780" i="6"/>
  <c r="C1780" i="6"/>
  <c r="O1779" i="6"/>
  <c r="B1779" i="6"/>
  <c r="N1778" i="6"/>
  <c r="A1778" i="6"/>
  <c r="M1777" i="6"/>
  <c r="T1776" i="6"/>
  <c r="L1776" i="6"/>
  <c r="T1775" i="6"/>
  <c r="L1775" i="6"/>
  <c r="A1775" i="6"/>
  <c r="L1774" i="6"/>
  <c r="S1773" i="6"/>
  <c r="H1773" i="6"/>
  <c r="R1772" i="6"/>
  <c r="E1772" i="6"/>
  <c r="Q1771" i="6"/>
  <c r="D1771" i="6"/>
  <c r="P1770" i="6"/>
  <c r="C1770" i="6"/>
  <c r="O1769" i="6"/>
  <c r="B1769" i="6"/>
  <c r="N1768" i="6"/>
  <c r="A1768" i="6"/>
  <c r="M1767" i="6"/>
  <c r="T1766" i="6"/>
  <c r="L1766" i="6"/>
  <c r="S1765" i="6"/>
  <c r="H1765" i="6"/>
  <c r="R1764" i="6"/>
  <c r="E1764" i="6"/>
  <c r="Q1763" i="6"/>
  <c r="D1763" i="6"/>
  <c r="O1762" i="6"/>
  <c r="B1762" i="6"/>
  <c r="N1761" i="6"/>
  <c r="A1761" i="6"/>
  <c r="M1760" i="6"/>
  <c r="T1759" i="6"/>
  <c r="L1759" i="6"/>
  <c r="S1758" i="6"/>
  <c r="H1758" i="6"/>
  <c r="S1757" i="6"/>
  <c r="F1757" i="6"/>
  <c r="R1756" i="6"/>
  <c r="R1899" i="6"/>
  <c r="S1867" i="6"/>
  <c r="O1863" i="6"/>
  <c r="M1859" i="6"/>
  <c r="I1855" i="6"/>
  <c r="I1851" i="6"/>
  <c r="I1847" i="6"/>
  <c r="I1843" i="6"/>
  <c r="H1839" i="6"/>
  <c r="H1835" i="6"/>
  <c r="H1831" i="6"/>
  <c r="H1827" i="6"/>
  <c r="H1823" i="6"/>
  <c r="H1819" i="6"/>
  <c r="H1815" i="6"/>
  <c r="C1812" i="6"/>
  <c r="L1811" i="6"/>
  <c r="T1810" i="6"/>
  <c r="L1810" i="6"/>
  <c r="T1809" i="6"/>
  <c r="L1809" i="6"/>
  <c r="T1808" i="6"/>
  <c r="L1808" i="6"/>
  <c r="T1807" i="6"/>
  <c r="L1807" i="6"/>
  <c r="T1806" i="6"/>
  <c r="L1806" i="6"/>
  <c r="T1805" i="6"/>
  <c r="L1805" i="6"/>
  <c r="T1804" i="6"/>
  <c r="L1804" i="6"/>
  <c r="T1803" i="6"/>
  <c r="L1803" i="6"/>
  <c r="T1802" i="6"/>
  <c r="L1802" i="6"/>
  <c r="T1801" i="6"/>
  <c r="L1801" i="6"/>
  <c r="T1800" i="6"/>
  <c r="L1800" i="6"/>
  <c r="T1799" i="6"/>
  <c r="L1799" i="6"/>
  <c r="T1798" i="6"/>
  <c r="L1798" i="6"/>
  <c r="T1797" i="6"/>
  <c r="L1797" i="6"/>
  <c r="T1796" i="6"/>
  <c r="L1796" i="6"/>
  <c r="T1795" i="6"/>
  <c r="L1795" i="6"/>
  <c r="T1794" i="6"/>
  <c r="L1794" i="6"/>
  <c r="T1793" i="6"/>
  <c r="L1793" i="6"/>
  <c r="S1792" i="6"/>
  <c r="I1792" i="6"/>
  <c r="T1791" i="6"/>
  <c r="L1791" i="6"/>
  <c r="A1791" i="6"/>
  <c r="M1790" i="6"/>
  <c r="T1789" i="6"/>
  <c r="L1789" i="6"/>
  <c r="S1788" i="6"/>
  <c r="H1788" i="6"/>
  <c r="Q1787" i="6"/>
  <c r="D1787" i="6"/>
  <c r="P1786" i="6"/>
  <c r="C1786" i="6"/>
  <c r="O1785" i="6"/>
  <c r="B1785" i="6"/>
  <c r="N1784" i="6"/>
  <c r="A1784" i="6"/>
  <c r="M1783" i="6"/>
  <c r="S1782" i="6"/>
  <c r="H1782" i="6"/>
  <c r="Q1781" i="6"/>
  <c r="D1781" i="6"/>
  <c r="O1780" i="6"/>
  <c r="B1780" i="6"/>
  <c r="N1779" i="6"/>
  <c r="A1779" i="6"/>
  <c r="M1778" i="6"/>
  <c r="T1777" i="6"/>
  <c r="L1777" i="6"/>
  <c r="S1776" i="6"/>
  <c r="H1776" i="6"/>
  <c r="S1775" i="6"/>
  <c r="I1775" i="6"/>
  <c r="S1774" i="6"/>
  <c r="H1774" i="6"/>
  <c r="R1773" i="6"/>
  <c r="E1773" i="6"/>
  <c r="Q1772" i="6"/>
  <c r="D1772" i="6"/>
  <c r="P1771" i="6"/>
  <c r="C1771" i="6"/>
  <c r="O1770" i="6"/>
  <c r="B1770" i="6"/>
  <c r="N1769" i="6"/>
  <c r="A1769" i="6"/>
  <c r="M1768" i="6"/>
  <c r="T1767" i="6"/>
  <c r="L1767" i="6"/>
  <c r="S1766" i="6"/>
  <c r="H1766" i="6"/>
  <c r="R1765" i="6"/>
  <c r="E1765" i="6"/>
  <c r="Q1764" i="6"/>
  <c r="D1764" i="6"/>
  <c r="P1763" i="6"/>
  <c r="C1763" i="6"/>
  <c r="N1762" i="6"/>
  <c r="A1762" i="6"/>
  <c r="M1761" i="6"/>
  <c r="T1760" i="6"/>
  <c r="L1760" i="6"/>
  <c r="S1759" i="6"/>
  <c r="H1759" i="6"/>
  <c r="R1758" i="6"/>
  <c r="G1758" i="6"/>
  <c r="P1757" i="6"/>
  <c r="E1757" i="6"/>
  <c r="Q1756" i="6"/>
  <c r="D1756" i="6"/>
  <c r="L1756" i="6"/>
  <c r="P1755" i="6"/>
  <c r="T1754" i="6"/>
  <c r="G1754" i="6"/>
  <c r="Q1753" i="6"/>
  <c r="D1753" i="6"/>
  <c r="O1752" i="6"/>
  <c r="B1752" i="6"/>
  <c r="N1751" i="6"/>
  <c r="A1751" i="6"/>
  <c r="M1750" i="6"/>
  <c r="T1749" i="6"/>
  <c r="L1749" i="6"/>
  <c r="S1748" i="6"/>
  <c r="H1748" i="6"/>
  <c r="R1747" i="6"/>
  <c r="E1747" i="6"/>
  <c r="Q1746" i="6"/>
  <c r="D1746" i="6"/>
  <c r="P1745" i="6"/>
  <c r="C1745" i="6"/>
  <c r="O1744" i="6"/>
  <c r="B1744" i="6"/>
  <c r="N1743" i="6"/>
  <c r="A1743" i="6"/>
  <c r="M1742" i="6"/>
  <c r="T1741" i="6"/>
  <c r="L1741" i="6"/>
  <c r="S1740" i="6"/>
  <c r="H1740" i="6"/>
  <c r="R1739" i="6"/>
  <c r="E1739" i="6"/>
  <c r="P1738" i="6"/>
  <c r="D1738" i="6"/>
  <c r="O1737" i="6"/>
  <c r="B1737" i="6"/>
  <c r="M1736" i="6"/>
  <c r="A1736" i="6"/>
  <c r="M1735" i="6"/>
  <c r="T1734" i="6"/>
  <c r="L1734" i="6"/>
  <c r="S1733" i="6"/>
  <c r="H1733" i="6"/>
  <c r="R1732" i="6"/>
  <c r="E1732" i="6"/>
  <c r="Q1731" i="6"/>
  <c r="D1731" i="6"/>
  <c r="O1730" i="6"/>
  <c r="B1730" i="6"/>
  <c r="M1729" i="6"/>
  <c r="S1728" i="6"/>
  <c r="I1728" i="6"/>
  <c r="S1727" i="6"/>
  <c r="H1727" i="6"/>
  <c r="R1726" i="6"/>
  <c r="E1726" i="6"/>
  <c r="P1725" i="6"/>
  <c r="D1725" i="6"/>
  <c r="O1724" i="6"/>
  <c r="C1724" i="6"/>
  <c r="N1723" i="6"/>
  <c r="A1723" i="6"/>
  <c r="L1722" i="6"/>
  <c r="S1721" i="6"/>
  <c r="H1721" i="6"/>
  <c r="Q1720" i="6"/>
  <c r="D1720" i="6"/>
  <c r="O1719" i="6"/>
  <c r="B1719" i="6"/>
  <c r="N1718" i="6"/>
  <c r="A1718" i="6"/>
  <c r="L1717" i="6"/>
  <c r="T1716" i="6"/>
  <c r="L1716" i="6"/>
  <c r="R1715" i="6"/>
  <c r="E1715" i="6"/>
  <c r="P1714" i="6"/>
  <c r="C1714" i="6"/>
  <c r="N1713" i="6"/>
  <c r="A1713" i="6"/>
  <c r="L1712" i="6"/>
  <c r="R1711" i="6"/>
  <c r="E1711" i="6"/>
  <c r="Q1710" i="6"/>
  <c r="D1710" i="6"/>
  <c r="P1709" i="6"/>
  <c r="C1709" i="6"/>
  <c r="N1708" i="6"/>
  <c r="A1708" i="6"/>
  <c r="L1707" i="6"/>
  <c r="R1706" i="6"/>
  <c r="E1706" i="6"/>
  <c r="P1705" i="6"/>
  <c r="C1705" i="6"/>
  <c r="N1704" i="6"/>
  <c r="A1704" i="6"/>
  <c r="L1703" i="6"/>
  <c r="S1702" i="6"/>
  <c r="H1702" i="6"/>
  <c r="R1701" i="6"/>
  <c r="E1701" i="6"/>
  <c r="Q1700" i="6"/>
  <c r="D1700" i="6"/>
  <c r="P1699" i="6"/>
  <c r="C1699" i="6"/>
  <c r="O1698" i="6"/>
  <c r="B1698" i="6"/>
  <c r="N1697" i="6"/>
  <c r="A1697" i="6"/>
  <c r="L1696" i="6"/>
  <c r="R1695" i="6"/>
  <c r="E1695" i="6"/>
  <c r="P1694" i="6"/>
  <c r="C1694" i="6"/>
  <c r="N1693" i="6"/>
  <c r="A1693" i="6"/>
  <c r="L1692" i="6"/>
  <c r="R1691" i="6"/>
  <c r="E1691" i="6"/>
  <c r="P1690" i="6"/>
  <c r="C1690" i="6"/>
  <c r="N1689" i="6"/>
  <c r="A1689" i="6"/>
  <c r="L1688" i="6"/>
  <c r="R1687" i="6"/>
  <c r="E1687" i="6"/>
  <c r="H1756" i="6"/>
  <c r="O1755" i="6"/>
  <c r="R1754" i="6"/>
  <c r="E1754" i="6"/>
  <c r="P1753" i="6"/>
  <c r="C1753" i="6"/>
  <c r="N1752" i="6"/>
  <c r="A1752" i="6"/>
  <c r="M1751" i="6"/>
  <c r="T1750" i="6"/>
  <c r="L1750" i="6"/>
  <c r="S1749" i="6"/>
  <c r="H1749" i="6"/>
  <c r="R1748" i="6"/>
  <c r="E1748" i="6"/>
  <c r="Q1747" i="6"/>
  <c r="D1747" i="6"/>
  <c r="P1746" i="6"/>
  <c r="C1746" i="6"/>
  <c r="O1745" i="6"/>
  <c r="B1745" i="6"/>
  <c r="N1744" i="6"/>
  <c r="A1744" i="6"/>
  <c r="M1743" i="6"/>
  <c r="T1742" i="6"/>
  <c r="L1742" i="6"/>
  <c r="S1741" i="6"/>
  <c r="H1741" i="6"/>
  <c r="R1740" i="6"/>
  <c r="E1740" i="6"/>
  <c r="Q1739" i="6"/>
  <c r="D1739" i="6"/>
  <c r="O1738" i="6"/>
  <c r="C1738" i="6"/>
  <c r="N1737" i="6"/>
  <c r="A1737" i="6"/>
  <c r="L1736" i="6"/>
  <c r="T1735" i="6"/>
  <c r="L1735" i="6"/>
  <c r="S1734" i="6"/>
  <c r="H1734" i="6"/>
  <c r="R1733" i="6"/>
  <c r="E1733" i="6"/>
  <c r="Q1732" i="6"/>
  <c r="D1732" i="6"/>
  <c r="P1731" i="6"/>
  <c r="C1731" i="6"/>
  <c r="N1730" i="6"/>
  <c r="A1730" i="6"/>
  <c r="L1729" i="6"/>
  <c r="R1728" i="6"/>
  <c r="H1728" i="6"/>
  <c r="R1727" i="6"/>
  <c r="E1727" i="6"/>
  <c r="Q1726" i="6"/>
  <c r="D1726" i="6"/>
  <c r="O1725" i="6"/>
  <c r="C1725" i="6"/>
  <c r="N1724" i="6"/>
  <c r="B1724" i="6"/>
  <c r="M1723" i="6"/>
  <c r="S1722" i="6"/>
  <c r="H1722" i="6"/>
  <c r="R1721" i="6"/>
  <c r="E1721" i="6"/>
  <c r="P1720" i="6"/>
  <c r="C1720" i="6"/>
  <c r="N1719" i="6"/>
  <c r="A1719" i="6"/>
  <c r="M1718" i="6"/>
  <c r="S1717" i="6"/>
  <c r="I1717" i="6"/>
  <c r="S1716" i="6"/>
  <c r="H1716" i="6"/>
  <c r="Q1715" i="6"/>
  <c r="D1715" i="6"/>
  <c r="O1714" i="6"/>
  <c r="B1714" i="6"/>
  <c r="M1713" i="6"/>
  <c r="S1712" i="6"/>
  <c r="H1712" i="6"/>
  <c r="Q1711" i="6"/>
  <c r="D1711" i="6"/>
  <c r="P1710" i="6"/>
  <c r="C1710" i="6"/>
  <c r="O1709" i="6"/>
  <c r="B1709" i="6"/>
  <c r="M1708" i="6"/>
  <c r="S1707" i="6"/>
  <c r="H1707" i="6"/>
  <c r="Q1706" i="6"/>
  <c r="D1706" i="6"/>
  <c r="O1705" i="6"/>
  <c r="B1705" i="6"/>
  <c r="M1704" i="6"/>
  <c r="S1703" i="6"/>
  <c r="H1703" i="6"/>
  <c r="R1702" i="6"/>
  <c r="E1702" i="6"/>
  <c r="Q1701" i="6"/>
  <c r="D1701" i="6"/>
  <c r="P1700" i="6"/>
  <c r="C1700" i="6"/>
  <c r="O1699" i="6"/>
  <c r="B1699" i="6"/>
  <c r="N1698" i="6"/>
  <c r="A1698" i="6"/>
  <c r="M1697" i="6"/>
  <c r="S1696" i="6"/>
  <c r="H1696" i="6"/>
  <c r="Q1695" i="6"/>
  <c r="D1695" i="6"/>
  <c r="O1694" i="6"/>
  <c r="B1694" i="6"/>
  <c r="M1693" i="6"/>
  <c r="S1692" i="6"/>
  <c r="H1692" i="6"/>
  <c r="Q1691" i="6"/>
  <c r="D1691" i="6"/>
  <c r="O1690" i="6"/>
  <c r="B1690" i="6"/>
  <c r="M1689" i="6"/>
  <c r="S1688" i="6"/>
  <c r="H1688" i="6"/>
  <c r="Q1687" i="6"/>
  <c r="D1687" i="6"/>
  <c r="O1686" i="6"/>
  <c r="B1686" i="6"/>
  <c r="E1756" i="6"/>
  <c r="M1755" i="6"/>
  <c r="Q1754" i="6"/>
  <c r="D1754" i="6"/>
  <c r="O1753" i="6"/>
  <c r="B1753" i="6"/>
  <c r="M1752" i="6"/>
  <c r="T1751" i="6"/>
  <c r="L1751" i="6"/>
  <c r="S1750" i="6"/>
  <c r="H1750" i="6"/>
  <c r="R1749" i="6"/>
  <c r="E1749" i="6"/>
  <c r="Q1748" i="6"/>
  <c r="D1748" i="6"/>
  <c r="P1747" i="6"/>
  <c r="C1747" i="6"/>
  <c r="O1746" i="6"/>
  <c r="B1746" i="6"/>
  <c r="N1745" i="6"/>
  <c r="A1745" i="6"/>
  <c r="M1744" i="6"/>
  <c r="T1743" i="6"/>
  <c r="L1743" i="6"/>
  <c r="S1742" i="6"/>
  <c r="H1742" i="6"/>
  <c r="R1741" i="6"/>
  <c r="E1741" i="6"/>
  <c r="Q1740" i="6"/>
  <c r="D1740" i="6"/>
  <c r="P1739" i="6"/>
  <c r="C1739" i="6"/>
  <c r="N1738" i="6"/>
  <c r="B1738" i="6"/>
  <c r="M1737" i="6"/>
  <c r="S1736" i="6"/>
  <c r="I1736" i="6"/>
  <c r="S1735" i="6"/>
  <c r="H1735" i="6"/>
  <c r="R1734" i="6"/>
  <c r="E1734" i="6"/>
  <c r="Q1733" i="6"/>
  <c r="D1733" i="6"/>
  <c r="P1732" i="6"/>
  <c r="C1732" i="6"/>
  <c r="O1731" i="6"/>
  <c r="B1731" i="6"/>
  <c r="M1730" i="6"/>
  <c r="S1729" i="6"/>
  <c r="H1729" i="6"/>
  <c r="Q1728" i="6"/>
  <c r="E1728" i="6"/>
  <c r="Q1727" i="6"/>
  <c r="D1727" i="6"/>
  <c r="P1726" i="6"/>
  <c r="C1726" i="6"/>
  <c r="N1725" i="6"/>
  <c r="B1725" i="6"/>
  <c r="M1724" i="6"/>
  <c r="A1724" i="6"/>
  <c r="L1723" i="6"/>
  <c r="R1722" i="6"/>
  <c r="G1722" i="6"/>
  <c r="Q1721" i="6"/>
  <c r="D1721" i="6"/>
  <c r="O1720" i="6"/>
  <c r="B1720" i="6"/>
  <c r="M1719" i="6"/>
  <c r="T1718" i="6"/>
  <c r="L1718" i="6"/>
  <c r="R1717" i="6"/>
  <c r="H1717" i="6"/>
  <c r="R1716" i="6"/>
  <c r="E1716" i="6"/>
  <c r="P1715" i="6"/>
  <c r="C1715" i="6"/>
  <c r="N1714" i="6"/>
  <c r="A1714" i="6"/>
  <c r="L1713" i="6"/>
  <c r="R1712" i="6"/>
  <c r="E1712" i="6"/>
  <c r="P1711" i="6"/>
  <c r="C1711" i="6"/>
  <c r="O1710" i="6"/>
  <c r="B1710" i="6"/>
  <c r="N1709" i="6"/>
  <c r="A1709" i="6"/>
  <c r="L1708" i="6"/>
  <c r="R1707" i="6"/>
  <c r="E1707" i="6"/>
  <c r="P1706" i="6"/>
  <c r="C1706" i="6"/>
  <c r="N1705" i="6"/>
  <c r="A1705" i="6"/>
  <c r="L1704" i="6"/>
  <c r="R1703" i="6"/>
  <c r="E1703" i="6"/>
  <c r="Q1702" i="6"/>
  <c r="D1702" i="6"/>
  <c r="P1701" i="6"/>
  <c r="C1701" i="6"/>
  <c r="O1700" i="6"/>
  <c r="B1700" i="6"/>
  <c r="N1699" i="6"/>
  <c r="A1699" i="6"/>
  <c r="M1698" i="6"/>
  <c r="T1697" i="6"/>
  <c r="L1697" i="6"/>
  <c r="R1696" i="6"/>
  <c r="E1696" i="6"/>
  <c r="P1695" i="6"/>
  <c r="C1695" i="6"/>
  <c r="N1694" i="6"/>
  <c r="A1694" i="6"/>
  <c r="L1693" i="6"/>
  <c r="R1692" i="6"/>
  <c r="E1692" i="6"/>
  <c r="P1691" i="6"/>
  <c r="C1691" i="6"/>
  <c r="N1690" i="6"/>
  <c r="A1690" i="6"/>
  <c r="L1689" i="6"/>
  <c r="R1688" i="6"/>
  <c r="E1688" i="6"/>
  <c r="P1687" i="6"/>
  <c r="C1687" i="6"/>
  <c r="N1686" i="6"/>
  <c r="A1686" i="6"/>
  <c r="C1756" i="6"/>
  <c r="H1755" i="6"/>
  <c r="P1754" i="6"/>
  <c r="C1754" i="6"/>
  <c r="N1753" i="6"/>
  <c r="A1753" i="6"/>
  <c r="L1752" i="6"/>
  <c r="S1751" i="6"/>
  <c r="H1751" i="6"/>
  <c r="R1750" i="6"/>
  <c r="E1750" i="6"/>
  <c r="Q1749" i="6"/>
  <c r="D1749" i="6"/>
  <c r="P1748" i="6"/>
  <c r="C1748" i="6"/>
  <c r="O1747" i="6"/>
  <c r="B1747" i="6"/>
  <c r="N1746" i="6"/>
  <c r="A1746" i="6"/>
  <c r="M1745" i="6"/>
  <c r="T1744" i="6"/>
  <c r="L1744" i="6"/>
  <c r="S1743" i="6"/>
  <c r="H1743" i="6"/>
  <c r="R1742" i="6"/>
  <c r="E1742" i="6"/>
  <c r="Q1741" i="6"/>
  <c r="D1741" i="6"/>
  <c r="P1740" i="6"/>
  <c r="C1740" i="6"/>
  <c r="O1739" i="6"/>
  <c r="B1739" i="6"/>
  <c r="M1738" i="6"/>
  <c r="A1738" i="6"/>
  <c r="L1737" i="6"/>
  <c r="R1736" i="6"/>
  <c r="H1736" i="6"/>
  <c r="R1735" i="6"/>
  <c r="E1735" i="6"/>
  <c r="Q1734" i="6"/>
  <c r="D1734" i="6"/>
  <c r="P1733" i="6"/>
  <c r="C1733" i="6"/>
  <c r="O1732" i="6"/>
  <c r="B1732" i="6"/>
  <c r="N1731" i="6"/>
  <c r="A1731" i="6"/>
  <c r="L1730" i="6"/>
  <c r="R1729" i="6"/>
  <c r="E1729" i="6"/>
  <c r="P1728" i="6"/>
  <c r="D1728" i="6"/>
  <c r="P1727" i="6"/>
  <c r="C1727" i="6"/>
  <c r="O1726" i="6"/>
  <c r="B1726" i="6"/>
  <c r="M1725" i="6"/>
  <c r="A1725" i="6"/>
  <c r="L1724" i="6"/>
  <c r="S1723" i="6"/>
  <c r="H1723" i="6"/>
  <c r="Q1722" i="6"/>
  <c r="E1722" i="6"/>
  <c r="P1721" i="6"/>
  <c r="C1721" i="6"/>
  <c r="N1720" i="6"/>
  <c r="A1720" i="6"/>
  <c r="L1719" i="6"/>
  <c r="S1718" i="6"/>
  <c r="H1718" i="6"/>
  <c r="Q1717" i="6"/>
  <c r="E1717" i="6"/>
  <c r="Q1716" i="6"/>
  <c r="D1716" i="6"/>
  <c r="O1715" i="6"/>
  <c r="B1715" i="6"/>
  <c r="M1714" i="6"/>
  <c r="S1713" i="6"/>
  <c r="H1713" i="6"/>
  <c r="Q1712" i="6"/>
  <c r="D1712" i="6"/>
  <c r="O1711" i="6"/>
  <c r="B1711" i="6"/>
  <c r="N1710" i="6"/>
  <c r="A1710" i="6"/>
  <c r="M1709" i="6"/>
  <c r="S1708" i="6"/>
  <c r="H1708" i="6"/>
  <c r="Q1707" i="6"/>
  <c r="D1707" i="6"/>
  <c r="O1706" i="6"/>
  <c r="B1706" i="6"/>
  <c r="M1705" i="6"/>
  <c r="S1704" i="6"/>
  <c r="H1704" i="6"/>
  <c r="Q1703" i="6"/>
  <c r="D1703" i="6"/>
  <c r="P1702" i="6"/>
  <c r="C1702" i="6"/>
  <c r="O1701" i="6"/>
  <c r="B1701" i="6"/>
  <c r="N1700" i="6"/>
  <c r="A1700" i="6"/>
  <c r="M1699" i="6"/>
  <c r="T1698" i="6"/>
  <c r="L1698" i="6"/>
  <c r="S1697" i="6"/>
  <c r="H1697" i="6"/>
  <c r="Q1696" i="6"/>
  <c r="D1696" i="6"/>
  <c r="O1695" i="6"/>
  <c r="B1695" i="6"/>
  <c r="M1694" i="6"/>
  <c r="S1693" i="6"/>
  <c r="H1693" i="6"/>
  <c r="Q1692" i="6"/>
  <c r="D1692" i="6"/>
  <c r="O1691" i="6"/>
  <c r="B1691" i="6"/>
  <c r="M1690" i="6"/>
  <c r="S1689" i="6"/>
  <c r="H1689" i="6"/>
  <c r="Q1688" i="6"/>
  <c r="D1688" i="6"/>
  <c r="O1687" i="6"/>
  <c r="B1687" i="6"/>
  <c r="M1686" i="6"/>
  <c r="S1685" i="6"/>
  <c r="H1685" i="6"/>
  <c r="Q1684" i="6"/>
  <c r="A1756" i="6"/>
  <c r="E1755" i="6"/>
  <c r="O1754" i="6"/>
  <c r="A1754" i="6"/>
  <c r="M1753" i="6"/>
  <c r="S1752" i="6"/>
  <c r="H1752" i="6"/>
  <c r="R1751" i="6"/>
  <c r="E1751" i="6"/>
  <c r="Q1750" i="6"/>
  <c r="D1750" i="6"/>
  <c r="P1749" i="6"/>
  <c r="C1749" i="6"/>
  <c r="O1748" i="6"/>
  <c r="B1748" i="6"/>
  <c r="N1747" i="6"/>
  <c r="A1747" i="6"/>
  <c r="M1746" i="6"/>
  <c r="T1745" i="6"/>
  <c r="L1745" i="6"/>
  <c r="S1744" i="6"/>
  <c r="H1744" i="6"/>
  <c r="R1743" i="6"/>
  <c r="E1743" i="6"/>
  <c r="Q1742" i="6"/>
  <c r="D1742" i="6"/>
  <c r="P1741" i="6"/>
  <c r="C1741" i="6"/>
  <c r="O1740" i="6"/>
  <c r="B1740" i="6"/>
  <c r="N1739" i="6"/>
  <c r="A1739" i="6"/>
  <c r="L1738" i="6"/>
  <c r="S1737" i="6"/>
  <c r="H1737" i="6"/>
  <c r="Q1736" i="6"/>
  <c r="E1736" i="6"/>
  <c r="Q1735" i="6"/>
  <c r="D1735" i="6"/>
  <c r="P1734" i="6"/>
  <c r="C1734" i="6"/>
  <c r="O1733" i="6"/>
  <c r="B1733" i="6"/>
  <c r="N1732" i="6"/>
  <c r="A1732" i="6"/>
  <c r="M1731" i="6"/>
  <c r="S1730" i="6"/>
  <c r="H1730" i="6"/>
  <c r="Q1729" i="6"/>
  <c r="D1729" i="6"/>
  <c r="O1728" i="6"/>
  <c r="C1728" i="6"/>
  <c r="O1727" i="6"/>
  <c r="B1727" i="6"/>
  <c r="N1726" i="6"/>
  <c r="A1726" i="6"/>
  <c r="L1725" i="6"/>
  <c r="S1724" i="6"/>
  <c r="I1724" i="6"/>
  <c r="R1723" i="6"/>
  <c r="E1723" i="6"/>
  <c r="P1722" i="6"/>
  <c r="D1722" i="6"/>
  <c r="O1721" i="6"/>
  <c r="B1721" i="6"/>
  <c r="M1720" i="6"/>
  <c r="S1719" i="6"/>
  <c r="H1719" i="6"/>
  <c r="R1718" i="6"/>
  <c r="E1718" i="6"/>
  <c r="P1717" i="6"/>
  <c r="D1717" i="6"/>
  <c r="P1716" i="6"/>
  <c r="C1716" i="6"/>
  <c r="N1715" i="6"/>
  <c r="A1715" i="6"/>
  <c r="L1714" i="6"/>
  <c r="R1713" i="6"/>
  <c r="E1713" i="6"/>
  <c r="P1712" i="6"/>
  <c r="C1712" i="6"/>
  <c r="N1711" i="6"/>
  <c r="A1711" i="6"/>
  <c r="M1710" i="6"/>
  <c r="T1709" i="6"/>
  <c r="L1709" i="6"/>
  <c r="R1708" i="6"/>
  <c r="E1708" i="6"/>
  <c r="P1707" i="6"/>
  <c r="C1707" i="6"/>
  <c r="N1706" i="6"/>
  <c r="A1706" i="6"/>
  <c r="L1705" i="6"/>
  <c r="R1704" i="6"/>
  <c r="E1704" i="6"/>
  <c r="P1703" i="6"/>
  <c r="C1703" i="6"/>
  <c r="O1702" i="6"/>
  <c r="B1702" i="6"/>
  <c r="N1701" i="6"/>
  <c r="A1701" i="6"/>
  <c r="M1700" i="6"/>
  <c r="T1699" i="6"/>
  <c r="L1699" i="6"/>
  <c r="S1698" i="6"/>
  <c r="H1698" i="6"/>
  <c r="R1697" i="6"/>
  <c r="E1697" i="6"/>
  <c r="P1696" i="6"/>
  <c r="C1696" i="6"/>
  <c r="N1695" i="6"/>
  <c r="A1695" i="6"/>
  <c r="L1694" i="6"/>
  <c r="R1693" i="6"/>
  <c r="E1693" i="6"/>
  <c r="P1692" i="6"/>
  <c r="C1692" i="6"/>
  <c r="N1691" i="6"/>
  <c r="A1691" i="6"/>
  <c r="L1690" i="6"/>
  <c r="R1689" i="6"/>
  <c r="E1689" i="6"/>
  <c r="P1688" i="6"/>
  <c r="C1688" i="6"/>
  <c r="N1687" i="6"/>
  <c r="A1687" i="6"/>
  <c r="L1686" i="6"/>
  <c r="S1755" i="6"/>
  <c r="D1755" i="6"/>
  <c r="N1754" i="6"/>
  <c r="T1753" i="6"/>
  <c r="L1753" i="6"/>
  <c r="R1752" i="6"/>
  <c r="E1752" i="6"/>
  <c r="Q1751" i="6"/>
  <c r="D1751" i="6"/>
  <c r="P1750" i="6"/>
  <c r="C1750" i="6"/>
  <c r="O1749" i="6"/>
  <c r="B1749" i="6"/>
  <c r="N1748" i="6"/>
  <c r="A1748" i="6"/>
  <c r="M1747" i="6"/>
  <c r="T1746" i="6"/>
  <c r="L1746" i="6"/>
  <c r="S1745" i="6"/>
  <c r="H1745" i="6"/>
  <c r="R1744" i="6"/>
  <c r="E1744" i="6"/>
  <c r="Q1743" i="6"/>
  <c r="D1743" i="6"/>
  <c r="P1742" i="6"/>
  <c r="C1742" i="6"/>
  <c r="O1741" i="6"/>
  <c r="B1741" i="6"/>
  <c r="N1740" i="6"/>
  <c r="A1740" i="6"/>
  <c r="M1739" i="6"/>
  <c r="S1738" i="6"/>
  <c r="I1738" i="6"/>
  <c r="R1737" i="6"/>
  <c r="E1737" i="6"/>
  <c r="P1736" i="6"/>
  <c r="D1736" i="6"/>
  <c r="P1735" i="6"/>
  <c r="C1735" i="6"/>
  <c r="O1734" i="6"/>
  <c r="B1734" i="6"/>
  <c r="N1733" i="6"/>
  <c r="A1733" i="6"/>
  <c r="M1732" i="6"/>
  <c r="T1731" i="6"/>
  <c r="L1731" i="6"/>
  <c r="R1730" i="6"/>
  <c r="E1730" i="6"/>
  <c r="P1729" i="6"/>
  <c r="C1729" i="6"/>
  <c r="N1728" i="6"/>
  <c r="B1728" i="6"/>
  <c r="N1727" i="6"/>
  <c r="A1727" i="6"/>
  <c r="M1726" i="6"/>
  <c r="S1725" i="6"/>
  <c r="I1725" i="6"/>
  <c r="R1724" i="6"/>
  <c r="H1724" i="6"/>
  <c r="Q1723" i="6"/>
  <c r="D1723" i="6"/>
  <c r="O1722" i="6"/>
  <c r="C1722" i="6"/>
  <c r="N1721" i="6"/>
  <c r="A1721" i="6"/>
  <c r="L1720" i="6"/>
  <c r="R1719" i="6"/>
  <c r="E1719" i="6"/>
  <c r="Q1718" i="6"/>
  <c r="D1718" i="6"/>
  <c r="O1717" i="6"/>
  <c r="C1717" i="6"/>
  <c r="O1716" i="6"/>
  <c r="B1716" i="6"/>
  <c r="M1715" i="6"/>
  <c r="S1714" i="6"/>
  <c r="H1714" i="6"/>
  <c r="Q1713" i="6"/>
  <c r="D1713" i="6"/>
  <c r="O1712" i="6"/>
  <c r="B1712" i="6"/>
  <c r="M1711" i="6"/>
  <c r="T1710" i="6"/>
  <c r="L1710" i="6"/>
  <c r="S1709" i="6"/>
  <c r="H1709" i="6"/>
  <c r="Q1708" i="6"/>
  <c r="D1708" i="6"/>
  <c r="O1707" i="6"/>
  <c r="B1707" i="6"/>
  <c r="M1706" i="6"/>
  <c r="S1705" i="6"/>
  <c r="H1705" i="6"/>
  <c r="Q1704" i="6"/>
  <c r="D1704" i="6"/>
  <c r="O1703" i="6"/>
  <c r="B1703" i="6"/>
  <c r="N1702" i="6"/>
  <c r="A1702" i="6"/>
  <c r="M1701" i="6"/>
  <c r="T1700" i="6"/>
  <c r="L1700" i="6"/>
  <c r="S1699" i="6"/>
  <c r="H1699" i="6"/>
  <c r="R1698" i="6"/>
  <c r="E1698" i="6"/>
  <c r="Q1697" i="6"/>
  <c r="D1697" i="6"/>
  <c r="O1696" i="6"/>
  <c r="B1696" i="6"/>
  <c r="M1695" i="6"/>
  <c r="S1694" i="6"/>
  <c r="H1694" i="6"/>
  <c r="Q1693" i="6"/>
  <c r="D1693" i="6"/>
  <c r="O1692" i="6"/>
  <c r="B1692" i="6"/>
  <c r="M1691" i="6"/>
  <c r="S1690" i="6"/>
  <c r="H1690" i="6"/>
  <c r="Q1689" i="6"/>
  <c r="D1689" i="6"/>
  <c r="O1688" i="6"/>
  <c r="B1688" i="6"/>
  <c r="M1687" i="6"/>
  <c r="S1686" i="6"/>
  <c r="R1755" i="6"/>
  <c r="C1755" i="6"/>
  <c r="L1754" i="6"/>
  <c r="S1753" i="6"/>
  <c r="H1753" i="6"/>
  <c r="Q1752" i="6"/>
  <c r="D1752" i="6"/>
  <c r="P1751" i="6"/>
  <c r="C1751" i="6"/>
  <c r="O1750" i="6"/>
  <c r="B1750" i="6"/>
  <c r="N1749" i="6"/>
  <c r="A1749" i="6"/>
  <c r="M1748" i="6"/>
  <c r="T1747" i="6"/>
  <c r="L1747" i="6"/>
  <c r="S1746" i="6"/>
  <c r="H1746" i="6"/>
  <c r="R1745" i="6"/>
  <c r="E1745" i="6"/>
  <c r="Q1744" i="6"/>
  <c r="D1744" i="6"/>
  <c r="P1743" i="6"/>
  <c r="C1743" i="6"/>
  <c r="O1742" i="6"/>
  <c r="B1742" i="6"/>
  <c r="N1741" i="6"/>
  <c r="A1741" i="6"/>
  <c r="M1740" i="6"/>
  <c r="T1739" i="6"/>
  <c r="L1739" i="6"/>
  <c r="R1738" i="6"/>
  <c r="H1738" i="6"/>
  <c r="Q1737" i="6"/>
  <c r="D1737" i="6"/>
  <c r="O1736" i="6"/>
  <c r="C1736" i="6"/>
  <c r="O1735" i="6"/>
  <c r="B1735" i="6"/>
  <c r="N1734" i="6"/>
  <c r="A1734" i="6"/>
  <c r="M1733" i="6"/>
  <c r="T1732" i="6"/>
  <c r="L1732" i="6"/>
  <c r="S1731" i="6"/>
  <c r="H1731" i="6"/>
  <c r="Q1730" i="6"/>
  <c r="D1730" i="6"/>
  <c r="O1729" i="6"/>
  <c r="B1729" i="6"/>
  <c r="M1728" i="6"/>
  <c r="A1728" i="6"/>
  <c r="M1727" i="6"/>
  <c r="T1726" i="6"/>
  <c r="L1726" i="6"/>
  <c r="R1725" i="6"/>
  <c r="H1725" i="6"/>
  <c r="Q1724" i="6"/>
  <c r="E1724" i="6"/>
  <c r="P1723" i="6"/>
  <c r="C1723" i="6"/>
  <c r="N1722" i="6"/>
  <c r="B1722" i="6"/>
  <c r="M1721" i="6"/>
  <c r="S1720" i="6"/>
  <c r="H1720" i="6"/>
  <c r="Q1719" i="6"/>
  <c r="D1719" i="6"/>
  <c r="P1718" i="6"/>
  <c r="C1718" i="6"/>
  <c r="N1717" i="6"/>
  <c r="B1717" i="6"/>
  <c r="N1716" i="6"/>
  <c r="A1716" i="6"/>
  <c r="L1715" i="6"/>
  <c r="R1714" i="6"/>
  <c r="E1714" i="6"/>
  <c r="P1713" i="6"/>
  <c r="C1713" i="6"/>
  <c r="N1712" i="6"/>
  <c r="A1712" i="6"/>
  <c r="L1711" i="6"/>
  <c r="S1710" i="6"/>
  <c r="H1710" i="6"/>
  <c r="R1709" i="6"/>
  <c r="E1709" i="6"/>
  <c r="P1708" i="6"/>
  <c r="C1708" i="6"/>
  <c r="N1707" i="6"/>
  <c r="A1707" i="6"/>
  <c r="L1706" i="6"/>
  <c r="R1705" i="6"/>
  <c r="E1705" i="6"/>
  <c r="P1704" i="6"/>
  <c r="C1704" i="6"/>
  <c r="N1703" i="6"/>
  <c r="A1703" i="6"/>
  <c r="M1702" i="6"/>
  <c r="T1701" i="6"/>
  <c r="L1701" i="6"/>
  <c r="S1700" i="6"/>
  <c r="H1700" i="6"/>
  <c r="R1699" i="6"/>
  <c r="E1699" i="6"/>
  <c r="Q1698" i="6"/>
  <c r="D1698" i="6"/>
  <c r="P1697" i="6"/>
  <c r="C1697" i="6"/>
  <c r="N1696" i="6"/>
  <c r="A1696" i="6"/>
  <c r="L1695" i="6"/>
  <c r="R1694" i="6"/>
  <c r="E1694" i="6"/>
  <c r="P1693" i="6"/>
  <c r="C1693" i="6"/>
  <c r="N1692" i="6"/>
  <c r="A1692" i="6"/>
  <c r="L1691" i="6"/>
  <c r="R1690" i="6"/>
  <c r="E1690" i="6"/>
  <c r="P1689" i="6"/>
  <c r="C1689" i="6"/>
  <c r="N1688" i="6"/>
  <c r="A1688" i="6"/>
  <c r="L1687" i="6"/>
  <c r="Q1755" i="6"/>
  <c r="B1755" i="6"/>
  <c r="H1754" i="6"/>
  <c r="R1753" i="6"/>
  <c r="E1753" i="6"/>
  <c r="P1752" i="6"/>
  <c r="C1752" i="6"/>
  <c r="O1751" i="6"/>
  <c r="B1751" i="6"/>
  <c r="N1750" i="6"/>
  <c r="A1750" i="6"/>
  <c r="M1749" i="6"/>
  <c r="T1748" i="6"/>
  <c r="L1748" i="6"/>
  <c r="S1747" i="6"/>
  <c r="H1747" i="6"/>
  <c r="R1746" i="6"/>
  <c r="E1746" i="6"/>
  <c r="Q1745" i="6"/>
  <c r="D1745" i="6"/>
  <c r="P1744" i="6"/>
  <c r="C1744" i="6"/>
  <c r="O1743" i="6"/>
  <c r="B1743" i="6"/>
  <c r="N1742" i="6"/>
  <c r="A1742" i="6"/>
  <c r="M1741" i="6"/>
  <c r="T1740" i="6"/>
  <c r="L1740" i="6"/>
  <c r="S1739" i="6"/>
  <c r="H1739" i="6"/>
  <c r="Q1738" i="6"/>
  <c r="E1738" i="6"/>
  <c r="P1737" i="6"/>
  <c r="C1737" i="6"/>
  <c r="N1736" i="6"/>
  <c r="B1736" i="6"/>
  <c r="N1735" i="6"/>
  <c r="A1735" i="6"/>
  <c r="M1734" i="6"/>
  <c r="T1733" i="6"/>
  <c r="L1733" i="6"/>
  <c r="S1732" i="6"/>
  <c r="H1732" i="6"/>
  <c r="R1731" i="6"/>
  <c r="E1731" i="6"/>
  <c r="P1730" i="6"/>
  <c r="C1730" i="6"/>
  <c r="N1729" i="6"/>
  <c r="A1729" i="6"/>
  <c r="L1728" i="6"/>
  <c r="T1727" i="6"/>
  <c r="L1727" i="6"/>
  <c r="S1726" i="6"/>
  <c r="H1726" i="6"/>
  <c r="Q1725" i="6"/>
  <c r="E1725" i="6"/>
  <c r="P1724" i="6"/>
  <c r="D1724" i="6"/>
  <c r="O1723" i="6"/>
  <c r="B1723" i="6"/>
  <c r="M1722" i="6"/>
  <c r="A1722" i="6"/>
  <c r="L1721" i="6"/>
  <c r="R1720" i="6"/>
  <c r="E1720" i="6"/>
  <c r="P1719" i="6"/>
  <c r="C1719" i="6"/>
  <c r="O1718" i="6"/>
  <c r="B1718" i="6"/>
  <c r="M1717" i="6"/>
  <c r="A1717" i="6"/>
  <c r="M1716" i="6"/>
  <c r="S1715" i="6"/>
  <c r="H1715" i="6"/>
  <c r="Q1714" i="6"/>
  <c r="D1714" i="6"/>
  <c r="O1713" i="6"/>
  <c r="B1713" i="6"/>
  <c r="M1712" i="6"/>
  <c r="S1711" i="6"/>
  <c r="H1711" i="6"/>
  <c r="R1710" i="6"/>
  <c r="E1710" i="6"/>
  <c r="Q1709" i="6"/>
  <c r="D1709" i="6"/>
  <c r="O1708" i="6"/>
  <c r="B1708" i="6"/>
  <c r="M1707" i="6"/>
  <c r="S1706" i="6"/>
  <c r="H1706" i="6"/>
  <c r="Q1705" i="6"/>
  <c r="D1705" i="6"/>
  <c r="O1704" i="6"/>
  <c r="B1704" i="6"/>
  <c r="M1703" i="6"/>
  <c r="T1702" i="6"/>
  <c r="L1702" i="6"/>
  <c r="S1701" i="6"/>
  <c r="H1701" i="6"/>
  <c r="R1700" i="6"/>
  <c r="E1700" i="6"/>
  <c r="Q1699" i="6"/>
  <c r="D1699" i="6"/>
  <c r="P1698" i="6"/>
  <c r="C1698" i="6"/>
  <c r="O1697" i="6"/>
  <c r="B1697" i="6"/>
  <c r="M1696" i="6"/>
  <c r="S1695" i="6"/>
  <c r="H1695" i="6"/>
  <c r="Q1694" i="6"/>
  <c r="D1694" i="6"/>
  <c r="O1693" i="6"/>
  <c r="B1693" i="6"/>
  <c r="M1692" i="6"/>
  <c r="S1691" i="6"/>
  <c r="H1691" i="6"/>
  <c r="Q1690" i="6"/>
  <c r="D1690" i="6"/>
  <c r="O1689" i="6"/>
  <c r="B1689" i="6"/>
  <c r="M1688" i="6"/>
  <c r="S1687" i="6"/>
  <c r="H1687" i="6"/>
  <c r="Q1686" i="6"/>
  <c r="D1686" i="6"/>
  <c r="R1686" i="6"/>
  <c r="O1685" i="6"/>
  <c r="A1685" i="6"/>
  <c r="H1684" i="6"/>
  <c r="R1683" i="6"/>
  <c r="H1683" i="6"/>
  <c r="R1682" i="6"/>
  <c r="E1682" i="6"/>
  <c r="Q1681" i="6"/>
  <c r="D1681" i="6"/>
  <c r="O1680" i="6"/>
  <c r="B1680" i="6"/>
  <c r="N1679" i="6"/>
  <c r="A1679" i="6"/>
  <c r="M1678" i="6"/>
  <c r="T1677" i="6"/>
  <c r="L1677" i="6"/>
  <c r="S1676" i="6"/>
  <c r="H1676" i="6"/>
  <c r="R1675" i="6"/>
  <c r="E1675" i="6"/>
  <c r="Q1674" i="6"/>
  <c r="D1674" i="6"/>
  <c r="P1673" i="6"/>
  <c r="C1673" i="6"/>
  <c r="O1672" i="6"/>
  <c r="B1672" i="6"/>
  <c r="M1671" i="6"/>
  <c r="S1670" i="6"/>
  <c r="H1670" i="6"/>
  <c r="R1669" i="6"/>
  <c r="E1669" i="6"/>
  <c r="P1668" i="6"/>
  <c r="C1668" i="6"/>
  <c r="O1667" i="6"/>
  <c r="B1667" i="6"/>
  <c r="N1666" i="6"/>
  <c r="A1666" i="6"/>
  <c r="M1665" i="6"/>
  <c r="T1664" i="6"/>
  <c r="L1664" i="6"/>
  <c r="S1663" i="6"/>
  <c r="H1663" i="6"/>
  <c r="R1662" i="6"/>
  <c r="E1662" i="6"/>
  <c r="P1661" i="6"/>
  <c r="C1661" i="6"/>
  <c r="O1660" i="6"/>
  <c r="B1660" i="6"/>
  <c r="N1659" i="6"/>
  <c r="A1659" i="6"/>
  <c r="M1658" i="6"/>
  <c r="T1657" i="6"/>
  <c r="L1657" i="6"/>
  <c r="S1656" i="6"/>
  <c r="H1656" i="6"/>
  <c r="R1655" i="6"/>
  <c r="E1655" i="6"/>
  <c r="Q1654" i="6"/>
  <c r="D1654" i="6"/>
  <c r="P1653" i="6"/>
  <c r="C1653" i="6"/>
  <c r="O1652" i="6"/>
  <c r="B1652" i="6"/>
  <c r="N1651" i="6"/>
  <c r="A1651" i="6"/>
  <c r="M1650" i="6"/>
  <c r="T1649" i="6"/>
  <c r="L1649" i="6"/>
  <c r="S1648" i="6"/>
  <c r="H1648" i="6"/>
  <c r="Q1647" i="6"/>
  <c r="D1647" i="6"/>
  <c r="O1646" i="6"/>
  <c r="B1646" i="6"/>
  <c r="N1645" i="6"/>
  <c r="A1645" i="6"/>
  <c r="M1644" i="6"/>
  <c r="T1643" i="6"/>
  <c r="L1643" i="6"/>
  <c r="S1642" i="6"/>
  <c r="H1642" i="6"/>
  <c r="R1641" i="6"/>
  <c r="E1641" i="6"/>
  <c r="Q1640" i="6"/>
  <c r="D1640" i="6"/>
  <c r="P1639" i="6"/>
  <c r="C1639" i="6"/>
  <c r="O1638" i="6"/>
  <c r="B1638" i="6"/>
  <c r="N1637" i="6"/>
  <c r="A1637" i="6"/>
  <c r="M1636" i="6"/>
  <c r="S1635" i="6"/>
  <c r="H1635" i="6"/>
  <c r="R1634" i="6"/>
  <c r="H1634" i="6"/>
  <c r="S1633" i="6"/>
  <c r="H1633" i="6"/>
  <c r="S1632" i="6"/>
  <c r="I1632" i="6"/>
  <c r="T1631" i="6"/>
  <c r="L1631" i="6"/>
  <c r="T1630" i="6"/>
  <c r="L1630" i="6"/>
  <c r="S1629" i="6"/>
  <c r="H1629" i="6"/>
  <c r="R1628" i="6"/>
  <c r="E1628" i="6"/>
  <c r="Q1627" i="6"/>
  <c r="D1627" i="6"/>
  <c r="P1626" i="6"/>
  <c r="C1626" i="6"/>
  <c r="O1625" i="6"/>
  <c r="B1625" i="6"/>
  <c r="N1624" i="6"/>
  <c r="A1624" i="6"/>
  <c r="M1623" i="6"/>
  <c r="T1622" i="6"/>
  <c r="L1622" i="6"/>
  <c r="S1621" i="6"/>
  <c r="H1621" i="6"/>
  <c r="R1620" i="6"/>
  <c r="H1620" i="6"/>
  <c r="R1619" i="6"/>
  <c r="E1619" i="6"/>
  <c r="Q1618" i="6"/>
  <c r="D1618" i="6"/>
  <c r="P1617" i="6"/>
  <c r="C1617" i="6"/>
  <c r="O1616" i="6"/>
  <c r="B1616" i="6"/>
  <c r="N1615" i="6"/>
  <c r="B1615" i="6"/>
  <c r="N1614" i="6"/>
  <c r="B1614" i="6"/>
  <c r="N1613" i="6"/>
  <c r="A1613" i="6"/>
  <c r="P1686" i="6"/>
  <c r="N1685" i="6"/>
  <c r="S1684" i="6"/>
  <c r="E1684" i="6"/>
  <c r="Q1683" i="6"/>
  <c r="E1683" i="6"/>
  <c r="Q1682" i="6"/>
  <c r="D1682" i="6"/>
  <c r="P1681" i="6"/>
  <c r="C1681" i="6"/>
  <c r="N1680" i="6"/>
  <c r="A1680" i="6"/>
  <c r="M1679" i="6"/>
  <c r="T1678" i="6"/>
  <c r="L1678" i="6"/>
  <c r="S1677" i="6"/>
  <c r="H1677" i="6"/>
  <c r="R1676" i="6"/>
  <c r="E1676" i="6"/>
  <c r="Q1675" i="6"/>
  <c r="D1675" i="6"/>
  <c r="P1674" i="6"/>
  <c r="C1674" i="6"/>
  <c r="O1673" i="6"/>
  <c r="B1673" i="6"/>
  <c r="N1672" i="6"/>
  <c r="A1672" i="6"/>
  <c r="L1671" i="6"/>
  <c r="R1670" i="6"/>
  <c r="E1670" i="6"/>
  <c r="Q1669" i="6"/>
  <c r="D1669" i="6"/>
  <c r="O1668" i="6"/>
  <c r="B1668" i="6"/>
  <c r="N1667" i="6"/>
  <c r="A1667" i="6"/>
  <c r="M1666" i="6"/>
  <c r="T1665" i="6"/>
  <c r="L1665" i="6"/>
  <c r="S1664" i="6"/>
  <c r="H1664" i="6"/>
  <c r="R1663" i="6"/>
  <c r="E1663" i="6"/>
  <c r="Q1662" i="6"/>
  <c r="D1662" i="6"/>
  <c r="O1661" i="6"/>
  <c r="B1661" i="6"/>
  <c r="N1660" i="6"/>
  <c r="A1660" i="6"/>
  <c r="M1659" i="6"/>
  <c r="T1658" i="6"/>
  <c r="L1658" i="6"/>
  <c r="S1657" i="6"/>
  <c r="H1657" i="6"/>
  <c r="R1656" i="6"/>
  <c r="E1656" i="6"/>
  <c r="Q1655" i="6"/>
  <c r="D1655" i="6"/>
  <c r="P1654" i="6"/>
  <c r="C1654" i="6"/>
  <c r="O1653" i="6"/>
  <c r="B1653" i="6"/>
  <c r="N1652" i="6"/>
  <c r="A1652" i="6"/>
  <c r="M1651" i="6"/>
  <c r="T1650" i="6"/>
  <c r="L1650" i="6"/>
  <c r="S1649" i="6"/>
  <c r="H1649" i="6"/>
  <c r="R1648" i="6"/>
  <c r="E1648" i="6"/>
  <c r="P1647" i="6"/>
  <c r="C1647" i="6"/>
  <c r="N1646" i="6"/>
  <c r="A1646" i="6"/>
  <c r="M1645" i="6"/>
  <c r="T1644" i="6"/>
  <c r="L1644" i="6"/>
  <c r="S1643" i="6"/>
  <c r="H1643" i="6"/>
  <c r="R1642" i="6"/>
  <c r="E1642" i="6"/>
  <c r="Q1641" i="6"/>
  <c r="D1641" i="6"/>
  <c r="P1640" i="6"/>
  <c r="C1640" i="6"/>
  <c r="O1639" i="6"/>
  <c r="B1639" i="6"/>
  <c r="N1638" i="6"/>
  <c r="A1638" i="6"/>
  <c r="M1637" i="6"/>
  <c r="T1636" i="6"/>
  <c r="L1636" i="6"/>
  <c r="R1635" i="6"/>
  <c r="E1635" i="6"/>
  <c r="Q1634" i="6"/>
  <c r="G1634" i="6"/>
  <c r="R1633" i="6"/>
  <c r="F1633" i="6"/>
  <c r="R1632" i="6"/>
  <c r="H1632" i="6"/>
  <c r="S1631" i="6"/>
  <c r="H1631" i="6"/>
  <c r="S1630" i="6"/>
  <c r="H1630" i="6"/>
  <c r="R1629" i="6"/>
  <c r="E1629" i="6"/>
  <c r="Q1628" i="6"/>
  <c r="D1628" i="6"/>
  <c r="P1627" i="6"/>
  <c r="C1627" i="6"/>
  <c r="O1626" i="6"/>
  <c r="B1626" i="6"/>
  <c r="N1625" i="6"/>
  <c r="A1625" i="6"/>
  <c r="M1624" i="6"/>
  <c r="T1623" i="6"/>
  <c r="L1623" i="6"/>
  <c r="S1622" i="6"/>
  <c r="H1622" i="6"/>
  <c r="R1621" i="6"/>
  <c r="E1621" i="6"/>
  <c r="Q1620" i="6"/>
  <c r="E1620" i="6"/>
  <c r="Q1619" i="6"/>
  <c r="D1619" i="6"/>
  <c r="P1618" i="6"/>
  <c r="C1618" i="6"/>
  <c r="O1617" i="6"/>
  <c r="B1617" i="6"/>
  <c r="N1616" i="6"/>
  <c r="A1616" i="6"/>
  <c r="H1686" i="6"/>
  <c r="M1685" i="6"/>
  <c r="R1684" i="6"/>
  <c r="D1684" i="6"/>
  <c r="P1683" i="6"/>
  <c r="D1683" i="6"/>
  <c r="P1682" i="6"/>
  <c r="C1682" i="6"/>
  <c r="O1681" i="6"/>
  <c r="B1681" i="6"/>
  <c r="M1680" i="6"/>
  <c r="T1679" i="6"/>
  <c r="L1679" i="6"/>
  <c r="S1678" i="6"/>
  <c r="H1678" i="6"/>
  <c r="R1677" i="6"/>
  <c r="E1677" i="6"/>
  <c r="Q1676" i="6"/>
  <c r="D1676" i="6"/>
  <c r="P1675" i="6"/>
  <c r="C1675" i="6"/>
  <c r="O1674" i="6"/>
  <c r="B1674" i="6"/>
  <c r="N1673" i="6"/>
  <c r="A1673" i="6"/>
  <c r="M1672" i="6"/>
  <c r="S1671" i="6"/>
  <c r="H1671" i="6"/>
  <c r="Q1670" i="6"/>
  <c r="D1670" i="6"/>
  <c r="P1669" i="6"/>
  <c r="C1669" i="6"/>
  <c r="N1668" i="6"/>
  <c r="A1668" i="6"/>
  <c r="M1667" i="6"/>
  <c r="T1666" i="6"/>
  <c r="L1666" i="6"/>
  <c r="S1665" i="6"/>
  <c r="H1665" i="6"/>
  <c r="R1664" i="6"/>
  <c r="E1664" i="6"/>
  <c r="Q1663" i="6"/>
  <c r="D1663" i="6"/>
  <c r="P1662" i="6"/>
  <c r="C1662" i="6"/>
  <c r="N1661" i="6"/>
  <c r="A1661" i="6"/>
  <c r="M1660" i="6"/>
  <c r="T1659" i="6"/>
  <c r="L1659" i="6"/>
  <c r="S1658" i="6"/>
  <c r="H1658" i="6"/>
  <c r="R1657" i="6"/>
  <c r="E1657" i="6"/>
  <c r="Q1656" i="6"/>
  <c r="D1656" i="6"/>
  <c r="P1655" i="6"/>
  <c r="C1655" i="6"/>
  <c r="O1654" i="6"/>
  <c r="B1654" i="6"/>
  <c r="N1653" i="6"/>
  <c r="A1653" i="6"/>
  <c r="M1652" i="6"/>
  <c r="T1651" i="6"/>
  <c r="L1651" i="6"/>
  <c r="S1650" i="6"/>
  <c r="H1650" i="6"/>
  <c r="R1649" i="6"/>
  <c r="E1649" i="6"/>
  <c r="Q1648" i="6"/>
  <c r="D1648" i="6"/>
  <c r="O1647" i="6"/>
  <c r="B1647" i="6"/>
  <c r="M1646" i="6"/>
  <c r="T1645" i="6"/>
  <c r="L1645" i="6"/>
  <c r="S1644" i="6"/>
  <c r="H1644" i="6"/>
  <c r="R1643" i="6"/>
  <c r="E1643" i="6"/>
  <c r="Q1642" i="6"/>
  <c r="D1642" i="6"/>
  <c r="P1641" i="6"/>
  <c r="C1641" i="6"/>
  <c r="O1640" i="6"/>
  <c r="B1640" i="6"/>
  <c r="N1639" i="6"/>
  <c r="A1639" i="6"/>
  <c r="M1638" i="6"/>
  <c r="T1637" i="6"/>
  <c r="L1637" i="6"/>
  <c r="S1636" i="6"/>
  <c r="H1636" i="6"/>
  <c r="Q1635" i="6"/>
  <c r="D1635" i="6"/>
  <c r="P1634" i="6"/>
  <c r="E1634" i="6"/>
  <c r="Q1633" i="6"/>
  <c r="E1633" i="6"/>
  <c r="Q1632" i="6"/>
  <c r="G1632" i="6"/>
  <c r="R1631" i="6"/>
  <c r="F1631" i="6"/>
  <c r="R1630" i="6"/>
  <c r="E1630" i="6"/>
  <c r="Q1629" i="6"/>
  <c r="D1629" i="6"/>
  <c r="P1628" i="6"/>
  <c r="C1628" i="6"/>
  <c r="O1627" i="6"/>
  <c r="B1627" i="6"/>
  <c r="N1626" i="6"/>
  <c r="A1626" i="6"/>
  <c r="M1625" i="6"/>
  <c r="T1624" i="6"/>
  <c r="L1624" i="6"/>
  <c r="S1623" i="6"/>
  <c r="H1623" i="6"/>
  <c r="R1622" i="6"/>
  <c r="E1622" i="6"/>
  <c r="Q1621" i="6"/>
  <c r="D1621" i="6"/>
  <c r="P1620" i="6"/>
  <c r="D1620" i="6"/>
  <c r="P1619" i="6"/>
  <c r="C1619" i="6"/>
  <c r="O1618" i="6"/>
  <c r="B1618" i="6"/>
  <c r="N1617" i="6"/>
  <c r="A1617" i="6"/>
  <c r="M1616" i="6"/>
  <c r="T1615" i="6"/>
  <c r="E1686" i="6"/>
  <c r="L1685" i="6"/>
  <c r="P1684" i="6"/>
  <c r="C1684" i="6"/>
  <c r="O1683" i="6"/>
  <c r="C1683" i="6"/>
  <c r="O1682" i="6"/>
  <c r="B1682" i="6"/>
  <c r="N1681" i="6"/>
  <c r="A1681" i="6"/>
  <c r="L1680" i="6"/>
  <c r="S1679" i="6"/>
  <c r="H1679" i="6"/>
  <c r="R1678" i="6"/>
  <c r="E1678" i="6"/>
  <c r="Q1677" i="6"/>
  <c r="D1677" i="6"/>
  <c r="P1676" i="6"/>
  <c r="C1676" i="6"/>
  <c r="O1675" i="6"/>
  <c r="B1675" i="6"/>
  <c r="N1674" i="6"/>
  <c r="A1674" i="6"/>
  <c r="M1673" i="6"/>
  <c r="T1672" i="6"/>
  <c r="L1672" i="6"/>
  <c r="R1671" i="6"/>
  <c r="E1671" i="6"/>
  <c r="P1670" i="6"/>
  <c r="C1670" i="6"/>
  <c r="O1669" i="6"/>
  <c r="B1669" i="6"/>
  <c r="M1668" i="6"/>
  <c r="T1667" i="6"/>
  <c r="L1667" i="6"/>
  <c r="S1666" i="6"/>
  <c r="H1666" i="6"/>
  <c r="R1665" i="6"/>
  <c r="E1665" i="6"/>
  <c r="Q1664" i="6"/>
  <c r="D1664" i="6"/>
  <c r="P1663" i="6"/>
  <c r="C1663" i="6"/>
  <c r="O1662" i="6"/>
  <c r="B1662" i="6"/>
  <c r="M1661" i="6"/>
  <c r="T1660" i="6"/>
  <c r="L1660" i="6"/>
  <c r="S1659" i="6"/>
  <c r="H1659" i="6"/>
  <c r="R1658" i="6"/>
  <c r="E1658" i="6"/>
  <c r="Q1657" i="6"/>
  <c r="D1657" i="6"/>
  <c r="P1656" i="6"/>
  <c r="C1656" i="6"/>
  <c r="O1655" i="6"/>
  <c r="B1655" i="6"/>
  <c r="N1654" i="6"/>
  <c r="A1654" i="6"/>
  <c r="M1653" i="6"/>
  <c r="T1652" i="6"/>
  <c r="L1652" i="6"/>
  <c r="S1651" i="6"/>
  <c r="H1651" i="6"/>
  <c r="R1650" i="6"/>
  <c r="E1650" i="6"/>
  <c r="Q1649" i="6"/>
  <c r="D1649" i="6"/>
  <c r="P1648" i="6"/>
  <c r="C1648" i="6"/>
  <c r="N1647" i="6"/>
  <c r="A1647" i="6"/>
  <c r="L1646" i="6"/>
  <c r="S1645" i="6"/>
  <c r="H1645" i="6"/>
  <c r="R1644" i="6"/>
  <c r="E1644" i="6"/>
  <c r="Q1643" i="6"/>
  <c r="D1643" i="6"/>
  <c r="P1642" i="6"/>
  <c r="C1642" i="6"/>
  <c r="O1641" i="6"/>
  <c r="B1641" i="6"/>
  <c r="N1640" i="6"/>
  <c r="A1640" i="6"/>
  <c r="M1639" i="6"/>
  <c r="T1638" i="6"/>
  <c r="L1638" i="6"/>
  <c r="S1637" i="6"/>
  <c r="H1637" i="6"/>
  <c r="R1636" i="6"/>
  <c r="E1636" i="6"/>
  <c r="P1635" i="6"/>
  <c r="C1635" i="6"/>
  <c r="O1634" i="6"/>
  <c r="D1634" i="6"/>
  <c r="P1633" i="6"/>
  <c r="D1633" i="6"/>
  <c r="P1632" i="6"/>
  <c r="E1632" i="6"/>
  <c r="Q1631" i="6"/>
  <c r="E1631" i="6"/>
  <c r="Q1630" i="6"/>
  <c r="D1630" i="6"/>
  <c r="P1629" i="6"/>
  <c r="C1629" i="6"/>
  <c r="O1628" i="6"/>
  <c r="B1628" i="6"/>
  <c r="N1627" i="6"/>
  <c r="A1627" i="6"/>
  <c r="M1626" i="6"/>
  <c r="T1625" i="6"/>
  <c r="L1625" i="6"/>
  <c r="S1624" i="6"/>
  <c r="H1624" i="6"/>
  <c r="R1623" i="6"/>
  <c r="E1623" i="6"/>
  <c r="Q1622" i="6"/>
  <c r="D1622" i="6"/>
  <c r="P1621" i="6"/>
  <c r="C1621" i="6"/>
  <c r="O1620" i="6"/>
  <c r="C1620" i="6"/>
  <c r="O1619" i="6"/>
  <c r="B1619" i="6"/>
  <c r="N1618" i="6"/>
  <c r="A1618" i="6"/>
  <c r="M1617" i="6"/>
  <c r="T1616" i="6"/>
  <c r="L1616" i="6"/>
  <c r="S1615" i="6"/>
  <c r="H1615" i="6"/>
  <c r="C1686" i="6"/>
  <c r="E1685" i="6"/>
  <c r="O1684" i="6"/>
  <c r="B1684" i="6"/>
  <c r="N1683" i="6"/>
  <c r="B1683" i="6"/>
  <c r="N1682" i="6"/>
  <c r="A1682" i="6"/>
  <c r="M1681" i="6"/>
  <c r="S1680" i="6"/>
  <c r="H1680" i="6"/>
  <c r="R1679" i="6"/>
  <c r="E1679" i="6"/>
  <c r="Q1678" i="6"/>
  <c r="D1678" i="6"/>
  <c r="P1677" i="6"/>
  <c r="C1677" i="6"/>
  <c r="O1676" i="6"/>
  <c r="B1676" i="6"/>
  <c r="N1675" i="6"/>
  <c r="A1675" i="6"/>
  <c r="M1674" i="6"/>
  <c r="T1673" i="6"/>
  <c r="L1673" i="6"/>
  <c r="S1672" i="6"/>
  <c r="H1672" i="6"/>
  <c r="Q1671" i="6"/>
  <c r="D1671" i="6"/>
  <c r="O1670" i="6"/>
  <c r="B1670" i="6"/>
  <c r="N1669" i="6"/>
  <c r="A1669" i="6"/>
  <c r="L1668" i="6"/>
  <c r="S1667" i="6"/>
  <c r="H1667" i="6"/>
  <c r="R1666" i="6"/>
  <c r="E1666" i="6"/>
  <c r="Q1665" i="6"/>
  <c r="D1665" i="6"/>
  <c r="P1664" i="6"/>
  <c r="C1664" i="6"/>
  <c r="O1663" i="6"/>
  <c r="B1663" i="6"/>
  <c r="N1662" i="6"/>
  <c r="A1662" i="6"/>
  <c r="L1661" i="6"/>
  <c r="S1660" i="6"/>
  <c r="H1660" i="6"/>
  <c r="R1659" i="6"/>
  <c r="E1659" i="6"/>
  <c r="Q1658" i="6"/>
  <c r="D1658" i="6"/>
  <c r="P1657" i="6"/>
  <c r="C1657" i="6"/>
  <c r="O1656" i="6"/>
  <c r="B1656" i="6"/>
  <c r="N1655" i="6"/>
  <c r="A1655" i="6"/>
  <c r="M1654" i="6"/>
  <c r="T1653" i="6"/>
  <c r="L1653" i="6"/>
  <c r="S1652" i="6"/>
  <c r="H1652" i="6"/>
  <c r="R1651" i="6"/>
  <c r="E1651" i="6"/>
  <c r="Q1650" i="6"/>
  <c r="D1650" i="6"/>
  <c r="P1649" i="6"/>
  <c r="C1649" i="6"/>
  <c r="O1648" i="6"/>
  <c r="B1648" i="6"/>
  <c r="M1647" i="6"/>
  <c r="S1646" i="6"/>
  <c r="H1646" i="6"/>
  <c r="R1645" i="6"/>
  <c r="E1645" i="6"/>
  <c r="Q1644" i="6"/>
  <c r="D1644" i="6"/>
  <c r="P1643" i="6"/>
  <c r="C1643" i="6"/>
  <c r="O1642" i="6"/>
  <c r="B1642" i="6"/>
  <c r="N1641" i="6"/>
  <c r="A1641" i="6"/>
  <c r="M1640" i="6"/>
  <c r="T1639" i="6"/>
  <c r="L1639" i="6"/>
  <c r="S1638" i="6"/>
  <c r="H1638" i="6"/>
  <c r="R1637" i="6"/>
  <c r="E1637" i="6"/>
  <c r="Q1636" i="6"/>
  <c r="D1636" i="6"/>
  <c r="O1635" i="6"/>
  <c r="B1635" i="6"/>
  <c r="N1634" i="6"/>
  <c r="C1634" i="6"/>
  <c r="O1633" i="6"/>
  <c r="C1633" i="6"/>
  <c r="O1632" i="6"/>
  <c r="D1632" i="6"/>
  <c r="P1631" i="6"/>
  <c r="D1631" i="6"/>
  <c r="P1630" i="6"/>
  <c r="C1630" i="6"/>
  <c r="O1629" i="6"/>
  <c r="B1629" i="6"/>
  <c r="N1628" i="6"/>
  <c r="A1628" i="6"/>
  <c r="M1627" i="6"/>
  <c r="T1626" i="6"/>
  <c r="L1626" i="6"/>
  <c r="S1625" i="6"/>
  <c r="H1625" i="6"/>
  <c r="R1624" i="6"/>
  <c r="E1624" i="6"/>
  <c r="Q1623" i="6"/>
  <c r="D1623" i="6"/>
  <c r="P1622" i="6"/>
  <c r="C1622" i="6"/>
  <c r="O1621" i="6"/>
  <c r="B1621" i="6"/>
  <c r="N1620" i="6"/>
  <c r="B1620" i="6"/>
  <c r="N1619" i="6"/>
  <c r="A1619" i="6"/>
  <c r="M1618" i="6"/>
  <c r="R1685" i="6"/>
  <c r="D1685" i="6"/>
  <c r="N1684" i="6"/>
  <c r="A1684" i="6"/>
  <c r="M1683" i="6"/>
  <c r="A1683" i="6"/>
  <c r="M1682" i="6"/>
  <c r="T1681" i="6"/>
  <c r="L1681" i="6"/>
  <c r="R1680" i="6"/>
  <c r="E1680" i="6"/>
  <c r="Q1679" i="6"/>
  <c r="D1679" i="6"/>
  <c r="P1678" i="6"/>
  <c r="C1678" i="6"/>
  <c r="O1677" i="6"/>
  <c r="B1677" i="6"/>
  <c r="N1676" i="6"/>
  <c r="A1676" i="6"/>
  <c r="M1675" i="6"/>
  <c r="T1674" i="6"/>
  <c r="L1674" i="6"/>
  <c r="S1673" i="6"/>
  <c r="H1673" i="6"/>
  <c r="R1672" i="6"/>
  <c r="E1672" i="6"/>
  <c r="P1671" i="6"/>
  <c r="C1671" i="6"/>
  <c r="N1670" i="6"/>
  <c r="A1670" i="6"/>
  <c r="M1669" i="6"/>
  <c r="S1668" i="6"/>
  <c r="H1668" i="6"/>
  <c r="R1667" i="6"/>
  <c r="E1667" i="6"/>
  <c r="Q1666" i="6"/>
  <c r="D1666" i="6"/>
  <c r="P1665" i="6"/>
  <c r="C1665" i="6"/>
  <c r="O1664" i="6"/>
  <c r="B1664" i="6"/>
  <c r="N1663" i="6"/>
  <c r="A1663" i="6"/>
  <c r="M1662" i="6"/>
  <c r="S1661" i="6"/>
  <c r="H1661" i="6"/>
  <c r="R1660" i="6"/>
  <c r="E1660" i="6"/>
  <c r="Q1659" i="6"/>
  <c r="D1659" i="6"/>
  <c r="P1658" i="6"/>
  <c r="C1658" i="6"/>
  <c r="O1657" i="6"/>
  <c r="B1657" i="6"/>
  <c r="N1656" i="6"/>
  <c r="A1656" i="6"/>
  <c r="M1655" i="6"/>
  <c r="T1654" i="6"/>
  <c r="L1654" i="6"/>
  <c r="S1653" i="6"/>
  <c r="H1653" i="6"/>
  <c r="R1652" i="6"/>
  <c r="E1652" i="6"/>
  <c r="Q1651" i="6"/>
  <c r="D1651" i="6"/>
  <c r="P1650" i="6"/>
  <c r="C1650" i="6"/>
  <c r="O1649" i="6"/>
  <c r="B1649" i="6"/>
  <c r="N1648" i="6"/>
  <c r="A1648" i="6"/>
  <c r="L1647" i="6"/>
  <c r="R1646" i="6"/>
  <c r="E1646" i="6"/>
  <c r="Q1645" i="6"/>
  <c r="D1645" i="6"/>
  <c r="P1644" i="6"/>
  <c r="C1644" i="6"/>
  <c r="O1643" i="6"/>
  <c r="B1643" i="6"/>
  <c r="N1642" i="6"/>
  <c r="A1642" i="6"/>
  <c r="M1641" i="6"/>
  <c r="T1640" i="6"/>
  <c r="L1640" i="6"/>
  <c r="S1639" i="6"/>
  <c r="H1639" i="6"/>
  <c r="R1638" i="6"/>
  <c r="E1638" i="6"/>
  <c r="Q1637" i="6"/>
  <c r="D1637" i="6"/>
  <c r="P1636" i="6"/>
  <c r="C1636" i="6"/>
  <c r="N1635" i="6"/>
  <c r="A1635" i="6"/>
  <c r="M1634" i="6"/>
  <c r="B1634" i="6"/>
  <c r="N1633" i="6"/>
  <c r="B1633" i="6"/>
  <c r="N1632" i="6"/>
  <c r="C1632" i="6"/>
  <c r="O1631" i="6"/>
  <c r="C1631" i="6"/>
  <c r="O1630" i="6"/>
  <c r="B1630" i="6"/>
  <c r="N1629" i="6"/>
  <c r="A1629" i="6"/>
  <c r="M1628" i="6"/>
  <c r="T1627" i="6"/>
  <c r="L1627" i="6"/>
  <c r="S1626" i="6"/>
  <c r="H1626" i="6"/>
  <c r="R1625" i="6"/>
  <c r="E1625" i="6"/>
  <c r="Q1624" i="6"/>
  <c r="D1624" i="6"/>
  <c r="P1623" i="6"/>
  <c r="C1623" i="6"/>
  <c r="O1622" i="6"/>
  <c r="B1622" i="6"/>
  <c r="N1621" i="6"/>
  <c r="A1621" i="6"/>
  <c r="M1620" i="6"/>
  <c r="A1620" i="6"/>
  <c r="M1619" i="6"/>
  <c r="T1618" i="6"/>
  <c r="L1618" i="6"/>
  <c r="Q1685" i="6"/>
  <c r="C1685" i="6"/>
  <c r="M1684" i="6"/>
  <c r="T1683" i="6"/>
  <c r="L1683" i="6"/>
  <c r="T1682" i="6"/>
  <c r="L1682" i="6"/>
  <c r="S1681" i="6"/>
  <c r="H1681" i="6"/>
  <c r="Q1680" i="6"/>
  <c r="D1680" i="6"/>
  <c r="P1679" i="6"/>
  <c r="C1679" i="6"/>
  <c r="O1678" i="6"/>
  <c r="B1678" i="6"/>
  <c r="N1677" i="6"/>
  <c r="A1677" i="6"/>
  <c r="M1676" i="6"/>
  <c r="T1675" i="6"/>
  <c r="L1675" i="6"/>
  <c r="S1674" i="6"/>
  <c r="H1674" i="6"/>
  <c r="R1673" i="6"/>
  <c r="E1673" i="6"/>
  <c r="Q1672" i="6"/>
  <c r="D1672" i="6"/>
  <c r="O1671" i="6"/>
  <c r="B1671" i="6"/>
  <c r="M1670" i="6"/>
  <c r="T1669" i="6"/>
  <c r="L1669" i="6"/>
  <c r="R1668" i="6"/>
  <c r="E1668" i="6"/>
  <c r="Q1667" i="6"/>
  <c r="D1667" i="6"/>
  <c r="P1666" i="6"/>
  <c r="C1666" i="6"/>
  <c r="O1665" i="6"/>
  <c r="B1665" i="6"/>
  <c r="N1664" i="6"/>
  <c r="A1664" i="6"/>
  <c r="M1663" i="6"/>
  <c r="T1662" i="6"/>
  <c r="L1662" i="6"/>
  <c r="R1661" i="6"/>
  <c r="E1661" i="6"/>
  <c r="Q1660" i="6"/>
  <c r="D1660" i="6"/>
  <c r="P1659" i="6"/>
  <c r="C1659" i="6"/>
  <c r="O1658" i="6"/>
  <c r="B1658" i="6"/>
  <c r="N1657" i="6"/>
  <c r="A1657" i="6"/>
  <c r="M1656" i="6"/>
  <c r="T1655" i="6"/>
  <c r="L1655" i="6"/>
  <c r="S1654" i="6"/>
  <c r="H1654" i="6"/>
  <c r="R1653" i="6"/>
  <c r="E1653" i="6"/>
  <c r="Q1652" i="6"/>
  <c r="D1652" i="6"/>
  <c r="P1651" i="6"/>
  <c r="C1651" i="6"/>
  <c r="O1650" i="6"/>
  <c r="B1650" i="6"/>
  <c r="N1649" i="6"/>
  <c r="A1649" i="6"/>
  <c r="M1648" i="6"/>
  <c r="S1647" i="6"/>
  <c r="H1647" i="6"/>
  <c r="Q1646" i="6"/>
  <c r="D1646" i="6"/>
  <c r="P1645" i="6"/>
  <c r="C1645" i="6"/>
  <c r="O1644" i="6"/>
  <c r="B1644" i="6"/>
  <c r="N1643" i="6"/>
  <c r="A1643" i="6"/>
  <c r="M1642" i="6"/>
  <c r="T1641" i="6"/>
  <c r="L1641" i="6"/>
  <c r="S1640" i="6"/>
  <c r="H1640" i="6"/>
  <c r="R1639" i="6"/>
  <c r="E1639" i="6"/>
  <c r="Q1638" i="6"/>
  <c r="D1638" i="6"/>
  <c r="P1637" i="6"/>
  <c r="C1637" i="6"/>
  <c r="O1636" i="6"/>
  <c r="B1636" i="6"/>
  <c r="M1635" i="6"/>
  <c r="T1634" i="6"/>
  <c r="L1634" i="6"/>
  <c r="A1634" i="6"/>
  <c r="M1633" i="6"/>
  <c r="A1633" i="6"/>
  <c r="M1632" i="6"/>
  <c r="B1632" i="6"/>
  <c r="N1631" i="6"/>
  <c r="B1631" i="6"/>
  <c r="N1630" i="6"/>
  <c r="A1630" i="6"/>
  <c r="M1629" i="6"/>
  <c r="T1628" i="6"/>
  <c r="L1628" i="6"/>
  <c r="S1627" i="6"/>
  <c r="H1627" i="6"/>
  <c r="R1626" i="6"/>
  <c r="E1626" i="6"/>
  <c r="Q1625" i="6"/>
  <c r="D1625" i="6"/>
  <c r="P1624" i="6"/>
  <c r="C1624" i="6"/>
  <c r="O1623" i="6"/>
  <c r="B1623" i="6"/>
  <c r="N1622" i="6"/>
  <c r="A1622" i="6"/>
  <c r="M1621" i="6"/>
  <c r="T1620" i="6"/>
  <c r="L1620" i="6"/>
  <c r="T1619" i="6"/>
  <c r="L1619" i="6"/>
  <c r="S1618" i="6"/>
  <c r="H1618" i="6"/>
  <c r="P1685" i="6"/>
  <c r="B1685" i="6"/>
  <c r="L1684" i="6"/>
  <c r="S1683" i="6"/>
  <c r="I1683" i="6"/>
  <c r="S1682" i="6"/>
  <c r="H1682" i="6"/>
  <c r="R1681" i="6"/>
  <c r="E1681" i="6"/>
  <c r="P1680" i="6"/>
  <c r="C1680" i="6"/>
  <c r="O1679" i="6"/>
  <c r="B1679" i="6"/>
  <c r="N1678" i="6"/>
  <c r="A1678" i="6"/>
  <c r="M1677" i="6"/>
  <c r="T1676" i="6"/>
  <c r="L1676" i="6"/>
  <c r="S1675" i="6"/>
  <c r="H1675" i="6"/>
  <c r="R1674" i="6"/>
  <c r="E1674" i="6"/>
  <c r="Q1673" i="6"/>
  <c r="D1673" i="6"/>
  <c r="P1672" i="6"/>
  <c r="C1672" i="6"/>
  <c r="N1671" i="6"/>
  <c r="A1671" i="6"/>
  <c r="L1670" i="6"/>
  <c r="S1669" i="6"/>
  <c r="H1669" i="6"/>
  <c r="Q1668" i="6"/>
  <c r="D1668" i="6"/>
  <c r="P1667" i="6"/>
  <c r="C1667" i="6"/>
  <c r="O1666" i="6"/>
  <c r="B1666" i="6"/>
  <c r="N1665" i="6"/>
  <c r="A1665" i="6"/>
  <c r="M1664" i="6"/>
  <c r="T1663" i="6"/>
  <c r="L1663" i="6"/>
  <c r="S1662" i="6"/>
  <c r="H1662" i="6"/>
  <c r="Q1661" i="6"/>
  <c r="D1661" i="6"/>
  <c r="P1660" i="6"/>
  <c r="C1660" i="6"/>
  <c r="O1659" i="6"/>
  <c r="B1659" i="6"/>
  <c r="N1658" i="6"/>
  <c r="A1658" i="6"/>
  <c r="M1657" i="6"/>
  <c r="T1656" i="6"/>
  <c r="L1656" i="6"/>
  <c r="S1655" i="6"/>
  <c r="H1655" i="6"/>
  <c r="R1654" i="6"/>
  <c r="E1654" i="6"/>
  <c r="Q1653" i="6"/>
  <c r="D1653" i="6"/>
  <c r="P1652" i="6"/>
  <c r="C1652" i="6"/>
  <c r="O1651" i="6"/>
  <c r="B1651" i="6"/>
  <c r="N1650" i="6"/>
  <c r="A1650" i="6"/>
  <c r="M1649" i="6"/>
  <c r="T1648" i="6"/>
  <c r="L1648" i="6"/>
  <c r="R1647" i="6"/>
  <c r="E1647" i="6"/>
  <c r="P1646" i="6"/>
  <c r="C1646" i="6"/>
  <c r="O1645" i="6"/>
  <c r="B1645" i="6"/>
  <c r="N1644" i="6"/>
  <c r="A1644" i="6"/>
  <c r="M1643" i="6"/>
  <c r="T1642" i="6"/>
  <c r="L1642" i="6"/>
  <c r="S1641" i="6"/>
  <c r="H1641" i="6"/>
  <c r="R1640" i="6"/>
  <c r="E1640" i="6"/>
  <c r="Q1639" i="6"/>
  <c r="D1639" i="6"/>
  <c r="P1638" i="6"/>
  <c r="C1638" i="6"/>
  <c r="O1637" i="6"/>
  <c r="B1637" i="6"/>
  <c r="N1636" i="6"/>
  <c r="A1636" i="6"/>
  <c r="L1635" i="6"/>
  <c r="S1634" i="6"/>
  <c r="I1634" i="6"/>
  <c r="T1633" i="6"/>
  <c r="L1633" i="6"/>
  <c r="T1632" i="6"/>
  <c r="L1632" i="6"/>
  <c r="A1632" i="6"/>
  <c r="M1631" i="6"/>
  <c r="A1631" i="6"/>
  <c r="M1630" i="6"/>
  <c r="T1629" i="6"/>
  <c r="L1629" i="6"/>
  <c r="S1628" i="6"/>
  <c r="H1628" i="6"/>
  <c r="R1627" i="6"/>
  <c r="E1627" i="6"/>
  <c r="Q1626" i="6"/>
  <c r="D1626" i="6"/>
  <c r="P1625" i="6"/>
  <c r="C1625" i="6"/>
  <c r="O1624" i="6"/>
  <c r="B1624" i="6"/>
  <c r="N1623" i="6"/>
  <c r="A1623" i="6"/>
  <c r="M1622" i="6"/>
  <c r="T1621" i="6"/>
  <c r="L1621" i="6"/>
  <c r="S1620" i="6"/>
  <c r="I1620" i="6"/>
  <c r="S1619" i="6"/>
  <c r="H1619" i="6"/>
  <c r="R1618" i="6"/>
  <c r="E1617" i="6"/>
  <c r="D1616" i="6"/>
  <c r="G1615" i="6"/>
  <c r="Q1614" i="6"/>
  <c r="D1614" i="6"/>
  <c r="O1613" i="6"/>
  <c r="T1612" i="6"/>
  <c r="L1612" i="6"/>
  <c r="S1611" i="6"/>
  <c r="H1611" i="6"/>
  <c r="R1610" i="6"/>
  <c r="E1610" i="6"/>
  <c r="Q1609" i="6"/>
  <c r="D1609" i="6"/>
  <c r="P1608" i="6"/>
  <c r="C1608" i="6"/>
  <c r="O1607" i="6"/>
  <c r="B1607" i="6"/>
  <c r="N1606" i="6"/>
  <c r="A1606" i="6"/>
  <c r="M1605" i="6"/>
  <c r="T1604" i="6"/>
  <c r="L1604" i="6"/>
  <c r="S1603" i="6"/>
  <c r="H1603" i="6"/>
  <c r="R1602" i="6"/>
  <c r="E1602" i="6"/>
  <c r="Q1601" i="6"/>
  <c r="D1601" i="6"/>
  <c r="P1600" i="6"/>
  <c r="C1600" i="6"/>
  <c r="O1599" i="6"/>
  <c r="B1599" i="6"/>
  <c r="N1598" i="6"/>
  <c r="A1598" i="6"/>
  <c r="M1597" i="6"/>
  <c r="T1596" i="6"/>
  <c r="L1596" i="6"/>
  <c r="S1595" i="6"/>
  <c r="H1595" i="6"/>
  <c r="R1594" i="6"/>
  <c r="E1594" i="6"/>
  <c r="Q1593" i="6"/>
  <c r="E1593" i="6"/>
  <c r="Q1592" i="6"/>
  <c r="G1592" i="6"/>
  <c r="R1591" i="6"/>
  <c r="F1591" i="6"/>
  <c r="Q1590" i="6"/>
  <c r="D1590" i="6"/>
  <c r="P1589" i="6"/>
  <c r="C1589" i="6"/>
  <c r="O1588" i="6"/>
  <c r="B1588" i="6"/>
  <c r="N1587" i="6"/>
  <c r="A1587" i="6"/>
  <c r="M1586" i="6"/>
  <c r="T1585" i="6"/>
  <c r="L1585" i="6"/>
  <c r="S1584" i="6"/>
  <c r="H1584" i="6"/>
  <c r="R1583" i="6"/>
  <c r="E1583" i="6"/>
  <c r="Q1582" i="6"/>
  <c r="D1582" i="6"/>
  <c r="O1581" i="6"/>
  <c r="B1581" i="6"/>
  <c r="M1580" i="6"/>
  <c r="T1579" i="6"/>
  <c r="L1579" i="6"/>
  <c r="S1578" i="6"/>
  <c r="H1578" i="6"/>
  <c r="R1577" i="6"/>
  <c r="E1577" i="6"/>
  <c r="Q1576" i="6"/>
  <c r="D1576" i="6"/>
  <c r="P1575" i="6"/>
  <c r="C1575" i="6"/>
  <c r="O1574" i="6"/>
  <c r="B1574" i="6"/>
  <c r="N1573" i="6"/>
  <c r="A1573" i="6"/>
  <c r="M1572" i="6"/>
  <c r="T1571" i="6"/>
  <c r="L1571" i="6"/>
  <c r="S1570" i="6"/>
  <c r="H1570" i="6"/>
  <c r="S1569" i="6"/>
  <c r="H1569" i="6"/>
  <c r="S1568" i="6"/>
  <c r="H1568" i="6"/>
  <c r="R1567" i="6"/>
  <c r="G1567" i="6"/>
  <c r="Q1566" i="6"/>
  <c r="E1566" i="6"/>
  <c r="Q1565" i="6"/>
  <c r="D1565" i="6"/>
  <c r="P1564" i="6"/>
  <c r="C1564" i="6"/>
  <c r="O1563" i="6"/>
  <c r="B1563" i="6"/>
  <c r="N1562" i="6"/>
  <c r="B1562" i="6"/>
  <c r="N1561" i="6"/>
  <c r="B1561" i="6"/>
  <c r="N1560" i="6"/>
  <c r="B1560" i="6"/>
  <c r="N1559" i="6"/>
  <c r="B1559" i="6"/>
  <c r="N1558" i="6"/>
  <c r="A1558" i="6"/>
  <c r="M1557" i="6"/>
  <c r="T1556" i="6"/>
  <c r="L1556" i="6"/>
  <c r="T1555" i="6"/>
  <c r="L1555" i="6"/>
  <c r="T1554" i="6"/>
  <c r="L1554" i="6"/>
  <c r="S1553" i="6"/>
  <c r="I1553" i="6"/>
  <c r="S1552" i="6"/>
  <c r="I1552" i="6"/>
  <c r="S1551" i="6"/>
  <c r="I1551" i="6"/>
  <c r="S1550" i="6"/>
  <c r="H1550" i="6"/>
  <c r="R1549" i="6"/>
  <c r="E1549" i="6"/>
  <c r="Q1548" i="6"/>
  <c r="E1618" i="6"/>
  <c r="D1617" i="6"/>
  <c r="C1616" i="6"/>
  <c r="E1615" i="6"/>
  <c r="P1614" i="6"/>
  <c r="C1614" i="6"/>
  <c r="M1613" i="6"/>
  <c r="S1612" i="6"/>
  <c r="H1612" i="6"/>
  <c r="R1611" i="6"/>
  <c r="E1611" i="6"/>
  <c r="Q1610" i="6"/>
  <c r="D1610" i="6"/>
  <c r="P1609" i="6"/>
  <c r="C1609" i="6"/>
  <c r="O1608" i="6"/>
  <c r="B1608" i="6"/>
  <c r="N1607" i="6"/>
  <c r="A1607" i="6"/>
  <c r="M1606" i="6"/>
  <c r="T1605" i="6"/>
  <c r="L1605" i="6"/>
  <c r="S1604" i="6"/>
  <c r="H1604" i="6"/>
  <c r="R1603" i="6"/>
  <c r="E1603" i="6"/>
  <c r="Q1602" i="6"/>
  <c r="D1602" i="6"/>
  <c r="P1601" i="6"/>
  <c r="C1601" i="6"/>
  <c r="O1600" i="6"/>
  <c r="B1600" i="6"/>
  <c r="N1599" i="6"/>
  <c r="A1599" i="6"/>
  <c r="M1598" i="6"/>
  <c r="T1597" i="6"/>
  <c r="L1597" i="6"/>
  <c r="S1596" i="6"/>
  <c r="H1596" i="6"/>
  <c r="R1595" i="6"/>
  <c r="E1595" i="6"/>
  <c r="Q1594" i="6"/>
  <c r="D1594" i="6"/>
  <c r="P1593" i="6"/>
  <c r="D1593" i="6"/>
  <c r="P1592" i="6"/>
  <c r="E1592" i="6"/>
  <c r="Q1591" i="6"/>
  <c r="E1591" i="6"/>
  <c r="P1590" i="6"/>
  <c r="C1590" i="6"/>
  <c r="O1589" i="6"/>
  <c r="B1589" i="6"/>
  <c r="N1588" i="6"/>
  <c r="A1588" i="6"/>
  <c r="M1587" i="6"/>
  <c r="T1586" i="6"/>
  <c r="L1586" i="6"/>
  <c r="S1585" i="6"/>
  <c r="H1585" i="6"/>
  <c r="R1584" i="6"/>
  <c r="E1584" i="6"/>
  <c r="Q1583" i="6"/>
  <c r="D1583" i="6"/>
  <c r="P1582" i="6"/>
  <c r="C1582" i="6"/>
  <c r="N1581" i="6"/>
  <c r="A1581" i="6"/>
  <c r="L1580" i="6"/>
  <c r="S1579" i="6"/>
  <c r="H1579" i="6"/>
  <c r="R1578" i="6"/>
  <c r="E1578" i="6"/>
  <c r="Q1577" i="6"/>
  <c r="D1577" i="6"/>
  <c r="P1576" i="6"/>
  <c r="C1576" i="6"/>
  <c r="O1575" i="6"/>
  <c r="B1575" i="6"/>
  <c r="N1574" i="6"/>
  <c r="A1574" i="6"/>
  <c r="M1573" i="6"/>
  <c r="T1572" i="6"/>
  <c r="L1572" i="6"/>
  <c r="S1571" i="6"/>
  <c r="H1571" i="6"/>
  <c r="R1570" i="6"/>
  <c r="G1570" i="6"/>
  <c r="R1569" i="6"/>
  <c r="F1569" i="6"/>
  <c r="R1568" i="6"/>
  <c r="E1568" i="6"/>
  <c r="Q1567" i="6"/>
  <c r="E1567" i="6"/>
  <c r="P1566" i="6"/>
  <c r="D1566" i="6"/>
  <c r="P1565" i="6"/>
  <c r="C1565" i="6"/>
  <c r="O1564" i="6"/>
  <c r="B1564" i="6"/>
  <c r="N1563" i="6"/>
  <c r="A1563" i="6"/>
  <c r="M1562" i="6"/>
  <c r="A1562" i="6"/>
  <c r="M1561" i="6"/>
  <c r="A1561" i="6"/>
  <c r="M1560" i="6"/>
  <c r="A1560" i="6"/>
  <c r="M1559" i="6"/>
  <c r="A1559" i="6"/>
  <c r="M1558" i="6"/>
  <c r="T1557" i="6"/>
  <c r="L1557" i="6"/>
  <c r="S1556" i="6"/>
  <c r="H1556" i="6"/>
  <c r="S1555" i="6"/>
  <c r="H1555" i="6"/>
  <c r="S1554" i="6"/>
  <c r="H1554" i="6"/>
  <c r="R1553" i="6"/>
  <c r="H1553" i="6"/>
  <c r="R1552" i="6"/>
  <c r="H1552" i="6"/>
  <c r="R1551" i="6"/>
  <c r="H1551" i="6"/>
  <c r="R1550" i="6"/>
  <c r="E1550" i="6"/>
  <c r="Q1549" i="6"/>
  <c r="D1549" i="6"/>
  <c r="T1617" i="6"/>
  <c r="S1616" i="6"/>
  <c r="R1615" i="6"/>
  <c r="D1615" i="6"/>
  <c r="O1614" i="6"/>
  <c r="A1614" i="6"/>
  <c r="L1613" i="6"/>
  <c r="R1612" i="6"/>
  <c r="E1612" i="6"/>
  <c r="Q1611" i="6"/>
  <c r="D1611" i="6"/>
  <c r="P1610" i="6"/>
  <c r="C1610" i="6"/>
  <c r="O1609" i="6"/>
  <c r="B1609" i="6"/>
  <c r="N1608" i="6"/>
  <c r="A1608" i="6"/>
  <c r="M1607" i="6"/>
  <c r="T1606" i="6"/>
  <c r="L1606" i="6"/>
  <c r="S1605" i="6"/>
  <c r="H1605" i="6"/>
  <c r="R1604" i="6"/>
  <c r="E1604" i="6"/>
  <c r="Q1603" i="6"/>
  <c r="D1603" i="6"/>
  <c r="P1602" i="6"/>
  <c r="C1602" i="6"/>
  <c r="O1601" i="6"/>
  <c r="B1601" i="6"/>
  <c r="N1600" i="6"/>
  <c r="A1600" i="6"/>
  <c r="M1599" i="6"/>
  <c r="T1598" i="6"/>
  <c r="L1598" i="6"/>
  <c r="S1597" i="6"/>
  <c r="H1597" i="6"/>
  <c r="R1596" i="6"/>
  <c r="E1596" i="6"/>
  <c r="Q1595" i="6"/>
  <c r="D1595" i="6"/>
  <c r="P1594" i="6"/>
  <c r="C1594" i="6"/>
  <c r="O1593" i="6"/>
  <c r="C1593" i="6"/>
  <c r="O1592" i="6"/>
  <c r="D1592" i="6"/>
  <c r="P1591" i="6"/>
  <c r="D1591" i="6"/>
  <c r="O1590" i="6"/>
  <c r="B1590" i="6"/>
  <c r="N1589" i="6"/>
  <c r="A1589" i="6"/>
  <c r="M1588" i="6"/>
  <c r="T1587" i="6"/>
  <c r="L1587" i="6"/>
  <c r="S1586" i="6"/>
  <c r="H1586" i="6"/>
  <c r="R1585" i="6"/>
  <c r="E1585" i="6"/>
  <c r="Q1584" i="6"/>
  <c r="D1584" i="6"/>
  <c r="P1583" i="6"/>
  <c r="C1583" i="6"/>
  <c r="O1582" i="6"/>
  <c r="B1582" i="6"/>
  <c r="M1581" i="6"/>
  <c r="S1580" i="6"/>
  <c r="H1580" i="6"/>
  <c r="R1579" i="6"/>
  <c r="E1579" i="6"/>
  <c r="Q1578" i="6"/>
  <c r="D1578" i="6"/>
  <c r="P1577" i="6"/>
  <c r="C1577" i="6"/>
  <c r="O1576" i="6"/>
  <c r="B1576" i="6"/>
  <c r="N1575" i="6"/>
  <c r="A1575" i="6"/>
  <c r="M1574" i="6"/>
  <c r="T1573" i="6"/>
  <c r="L1573" i="6"/>
  <c r="S1572" i="6"/>
  <c r="H1572" i="6"/>
  <c r="R1571" i="6"/>
  <c r="E1571" i="6"/>
  <c r="Q1570" i="6"/>
  <c r="E1570" i="6"/>
  <c r="Q1569" i="6"/>
  <c r="E1569" i="6"/>
  <c r="Q1568" i="6"/>
  <c r="D1568" i="6"/>
  <c r="P1567" i="6"/>
  <c r="D1567" i="6"/>
  <c r="O1566" i="6"/>
  <c r="C1566" i="6"/>
  <c r="O1565" i="6"/>
  <c r="B1565" i="6"/>
  <c r="N1564" i="6"/>
  <c r="A1564" i="6"/>
  <c r="M1563" i="6"/>
  <c r="T1562" i="6"/>
  <c r="L1562" i="6"/>
  <c r="T1561" i="6"/>
  <c r="L1561" i="6"/>
  <c r="T1560" i="6"/>
  <c r="L1560" i="6"/>
  <c r="T1559" i="6"/>
  <c r="L1559" i="6"/>
  <c r="T1558" i="6"/>
  <c r="L1558" i="6"/>
  <c r="S1557" i="6"/>
  <c r="H1557" i="6"/>
  <c r="R1556" i="6"/>
  <c r="G1556" i="6"/>
  <c r="R1555" i="6"/>
  <c r="F1555" i="6"/>
  <c r="R1554" i="6"/>
  <c r="E1554" i="6"/>
  <c r="Q1553" i="6"/>
  <c r="E1553" i="6"/>
  <c r="Q1552" i="6"/>
  <c r="E1552" i="6"/>
  <c r="Q1551" i="6"/>
  <c r="E1551" i="6"/>
  <c r="Q1550" i="6"/>
  <c r="D1550" i="6"/>
  <c r="P1549" i="6"/>
  <c r="C1549" i="6"/>
  <c r="O1548" i="6"/>
  <c r="S1617" i="6"/>
  <c r="R1616" i="6"/>
  <c r="Q1615" i="6"/>
  <c r="C1615" i="6"/>
  <c r="M1614" i="6"/>
  <c r="T1613" i="6"/>
  <c r="H1613" i="6"/>
  <c r="Q1612" i="6"/>
  <c r="D1612" i="6"/>
  <c r="P1611" i="6"/>
  <c r="C1611" i="6"/>
  <c r="O1610" i="6"/>
  <c r="B1610" i="6"/>
  <c r="N1609" i="6"/>
  <c r="A1609" i="6"/>
  <c r="M1608" i="6"/>
  <c r="T1607" i="6"/>
  <c r="L1607" i="6"/>
  <c r="S1606" i="6"/>
  <c r="H1606" i="6"/>
  <c r="R1605" i="6"/>
  <c r="E1605" i="6"/>
  <c r="Q1604" i="6"/>
  <c r="D1604" i="6"/>
  <c r="P1603" i="6"/>
  <c r="C1603" i="6"/>
  <c r="O1602" i="6"/>
  <c r="B1602" i="6"/>
  <c r="N1601" i="6"/>
  <c r="A1601" i="6"/>
  <c r="M1600" i="6"/>
  <c r="T1599" i="6"/>
  <c r="L1599" i="6"/>
  <c r="S1598" i="6"/>
  <c r="H1598" i="6"/>
  <c r="R1597" i="6"/>
  <c r="E1597" i="6"/>
  <c r="Q1596" i="6"/>
  <c r="D1596" i="6"/>
  <c r="P1595" i="6"/>
  <c r="C1595" i="6"/>
  <c r="O1594" i="6"/>
  <c r="B1594" i="6"/>
  <c r="N1593" i="6"/>
  <c r="B1593" i="6"/>
  <c r="N1592" i="6"/>
  <c r="C1592" i="6"/>
  <c r="O1591" i="6"/>
  <c r="C1591" i="6"/>
  <c r="N1590" i="6"/>
  <c r="A1590" i="6"/>
  <c r="M1589" i="6"/>
  <c r="T1588" i="6"/>
  <c r="L1588" i="6"/>
  <c r="S1587" i="6"/>
  <c r="H1587" i="6"/>
  <c r="R1586" i="6"/>
  <c r="E1586" i="6"/>
  <c r="Q1585" i="6"/>
  <c r="D1585" i="6"/>
  <c r="P1584" i="6"/>
  <c r="C1584" i="6"/>
  <c r="O1583" i="6"/>
  <c r="B1583" i="6"/>
  <c r="N1582" i="6"/>
  <c r="A1582" i="6"/>
  <c r="L1581" i="6"/>
  <c r="R1580" i="6"/>
  <c r="E1580" i="6"/>
  <c r="Q1579" i="6"/>
  <c r="D1579" i="6"/>
  <c r="P1578" i="6"/>
  <c r="C1578" i="6"/>
  <c r="O1577" i="6"/>
  <c r="B1577" i="6"/>
  <c r="N1576" i="6"/>
  <c r="A1576" i="6"/>
  <c r="M1575" i="6"/>
  <c r="T1574" i="6"/>
  <c r="L1574" i="6"/>
  <c r="S1573" i="6"/>
  <c r="H1573" i="6"/>
  <c r="R1572" i="6"/>
  <c r="E1572" i="6"/>
  <c r="Q1571" i="6"/>
  <c r="D1571" i="6"/>
  <c r="P1570" i="6"/>
  <c r="D1570" i="6"/>
  <c r="P1569" i="6"/>
  <c r="D1569" i="6"/>
  <c r="P1568" i="6"/>
  <c r="C1568" i="6"/>
  <c r="O1567" i="6"/>
  <c r="C1567" i="6"/>
  <c r="N1566" i="6"/>
  <c r="B1566" i="6"/>
  <c r="N1565" i="6"/>
  <c r="A1565" i="6"/>
  <c r="M1564" i="6"/>
  <c r="T1563" i="6"/>
  <c r="L1563" i="6"/>
  <c r="S1562" i="6"/>
  <c r="H1562" i="6"/>
  <c r="S1561" i="6"/>
  <c r="H1561" i="6"/>
  <c r="S1560" i="6"/>
  <c r="H1560" i="6"/>
  <c r="S1559" i="6"/>
  <c r="H1559" i="6"/>
  <c r="S1558" i="6"/>
  <c r="H1558" i="6"/>
  <c r="R1557" i="6"/>
  <c r="E1557" i="6"/>
  <c r="Q1556" i="6"/>
  <c r="E1556" i="6"/>
  <c r="Q1555" i="6"/>
  <c r="E1555" i="6"/>
  <c r="Q1554" i="6"/>
  <c r="D1554" i="6"/>
  <c r="P1553" i="6"/>
  <c r="D1553" i="6"/>
  <c r="P1552" i="6"/>
  <c r="D1552" i="6"/>
  <c r="P1551" i="6"/>
  <c r="D1551" i="6"/>
  <c r="P1550" i="6"/>
  <c r="C1550" i="6"/>
  <c r="O1549" i="6"/>
  <c r="B1549" i="6"/>
  <c r="N1548" i="6"/>
  <c r="R1617" i="6"/>
  <c r="Q1616" i="6"/>
  <c r="P1615" i="6"/>
  <c r="A1615" i="6"/>
  <c r="L1614" i="6"/>
  <c r="S1613" i="6"/>
  <c r="E1613" i="6"/>
  <c r="P1612" i="6"/>
  <c r="C1612" i="6"/>
  <c r="O1611" i="6"/>
  <c r="B1611" i="6"/>
  <c r="N1610" i="6"/>
  <c r="A1610" i="6"/>
  <c r="M1609" i="6"/>
  <c r="T1608" i="6"/>
  <c r="L1608" i="6"/>
  <c r="S1607" i="6"/>
  <c r="H1607" i="6"/>
  <c r="R1606" i="6"/>
  <c r="E1606" i="6"/>
  <c r="Q1605" i="6"/>
  <c r="D1605" i="6"/>
  <c r="P1604" i="6"/>
  <c r="C1604" i="6"/>
  <c r="O1603" i="6"/>
  <c r="B1603" i="6"/>
  <c r="N1602" i="6"/>
  <c r="A1602" i="6"/>
  <c r="M1601" i="6"/>
  <c r="T1600" i="6"/>
  <c r="L1600" i="6"/>
  <c r="S1599" i="6"/>
  <c r="H1599" i="6"/>
  <c r="R1598" i="6"/>
  <c r="E1598" i="6"/>
  <c r="Q1597" i="6"/>
  <c r="D1597" i="6"/>
  <c r="P1596" i="6"/>
  <c r="C1596" i="6"/>
  <c r="O1595" i="6"/>
  <c r="B1595" i="6"/>
  <c r="N1594" i="6"/>
  <c r="A1594" i="6"/>
  <c r="M1593" i="6"/>
  <c r="A1593" i="6"/>
  <c r="M1592" i="6"/>
  <c r="B1592" i="6"/>
  <c r="N1591" i="6"/>
  <c r="B1591" i="6"/>
  <c r="M1590" i="6"/>
  <c r="T1589" i="6"/>
  <c r="L1589" i="6"/>
  <c r="S1588" i="6"/>
  <c r="H1588" i="6"/>
  <c r="R1587" i="6"/>
  <c r="E1587" i="6"/>
  <c r="Q1586" i="6"/>
  <c r="D1586" i="6"/>
  <c r="P1585" i="6"/>
  <c r="C1585" i="6"/>
  <c r="O1584" i="6"/>
  <c r="B1584" i="6"/>
  <c r="N1583" i="6"/>
  <c r="A1583" i="6"/>
  <c r="M1582" i="6"/>
  <c r="S1581" i="6"/>
  <c r="H1581" i="6"/>
  <c r="Q1580" i="6"/>
  <c r="D1580" i="6"/>
  <c r="P1579" i="6"/>
  <c r="C1579" i="6"/>
  <c r="O1578" i="6"/>
  <c r="B1578" i="6"/>
  <c r="N1577" i="6"/>
  <c r="A1577" i="6"/>
  <c r="M1576" i="6"/>
  <c r="T1575" i="6"/>
  <c r="L1575" i="6"/>
  <c r="S1574" i="6"/>
  <c r="H1574" i="6"/>
  <c r="R1573" i="6"/>
  <c r="E1573" i="6"/>
  <c r="Q1572" i="6"/>
  <c r="D1572" i="6"/>
  <c r="P1571" i="6"/>
  <c r="C1571" i="6"/>
  <c r="O1570" i="6"/>
  <c r="C1570" i="6"/>
  <c r="O1569" i="6"/>
  <c r="C1569" i="6"/>
  <c r="O1568" i="6"/>
  <c r="B1568" i="6"/>
  <c r="N1567" i="6"/>
  <c r="B1567" i="6"/>
  <c r="M1566" i="6"/>
  <c r="A1566" i="6"/>
  <c r="M1565" i="6"/>
  <c r="T1564" i="6"/>
  <c r="L1564" i="6"/>
  <c r="S1563" i="6"/>
  <c r="H1563" i="6"/>
  <c r="R1562" i="6"/>
  <c r="G1562" i="6"/>
  <c r="R1561" i="6"/>
  <c r="F1561" i="6"/>
  <c r="R1560" i="6"/>
  <c r="G1560" i="6"/>
  <c r="R1559" i="6"/>
  <c r="F1559" i="6"/>
  <c r="R1558" i="6"/>
  <c r="E1558" i="6"/>
  <c r="Q1557" i="6"/>
  <c r="D1557" i="6"/>
  <c r="P1556" i="6"/>
  <c r="D1556" i="6"/>
  <c r="P1555" i="6"/>
  <c r="D1555" i="6"/>
  <c r="P1554" i="6"/>
  <c r="C1554" i="6"/>
  <c r="O1553" i="6"/>
  <c r="C1553" i="6"/>
  <c r="O1552" i="6"/>
  <c r="C1552" i="6"/>
  <c r="O1551" i="6"/>
  <c r="C1551" i="6"/>
  <c r="O1550" i="6"/>
  <c r="B1550" i="6"/>
  <c r="N1549" i="6"/>
  <c r="A1549" i="6"/>
  <c r="Q1617" i="6"/>
  <c r="P1616" i="6"/>
  <c r="O1615" i="6"/>
  <c r="T1614" i="6"/>
  <c r="H1614" i="6"/>
  <c r="R1613" i="6"/>
  <c r="D1613" i="6"/>
  <c r="O1612" i="6"/>
  <c r="B1612" i="6"/>
  <c r="N1611" i="6"/>
  <c r="A1611" i="6"/>
  <c r="M1610" i="6"/>
  <c r="T1609" i="6"/>
  <c r="L1609" i="6"/>
  <c r="S1608" i="6"/>
  <c r="H1608" i="6"/>
  <c r="R1607" i="6"/>
  <c r="E1607" i="6"/>
  <c r="Q1606" i="6"/>
  <c r="D1606" i="6"/>
  <c r="P1605" i="6"/>
  <c r="C1605" i="6"/>
  <c r="O1604" i="6"/>
  <c r="B1604" i="6"/>
  <c r="N1603" i="6"/>
  <c r="A1603" i="6"/>
  <c r="M1602" i="6"/>
  <c r="T1601" i="6"/>
  <c r="L1601" i="6"/>
  <c r="S1600" i="6"/>
  <c r="H1600" i="6"/>
  <c r="R1599" i="6"/>
  <c r="E1599" i="6"/>
  <c r="Q1598" i="6"/>
  <c r="D1598" i="6"/>
  <c r="P1597" i="6"/>
  <c r="C1597" i="6"/>
  <c r="O1596" i="6"/>
  <c r="B1596" i="6"/>
  <c r="N1595" i="6"/>
  <c r="A1595" i="6"/>
  <c r="M1594" i="6"/>
  <c r="T1593" i="6"/>
  <c r="L1593" i="6"/>
  <c r="T1592" i="6"/>
  <c r="L1592" i="6"/>
  <c r="A1592" i="6"/>
  <c r="M1591" i="6"/>
  <c r="A1591" i="6"/>
  <c r="L1590" i="6"/>
  <c r="S1589" i="6"/>
  <c r="H1589" i="6"/>
  <c r="R1588" i="6"/>
  <c r="E1588" i="6"/>
  <c r="Q1587" i="6"/>
  <c r="D1587" i="6"/>
  <c r="P1586" i="6"/>
  <c r="C1586" i="6"/>
  <c r="O1585" i="6"/>
  <c r="B1585" i="6"/>
  <c r="N1584" i="6"/>
  <c r="A1584" i="6"/>
  <c r="M1583" i="6"/>
  <c r="T1582" i="6"/>
  <c r="L1582" i="6"/>
  <c r="R1581" i="6"/>
  <c r="E1581" i="6"/>
  <c r="P1580" i="6"/>
  <c r="C1580" i="6"/>
  <c r="O1579" i="6"/>
  <c r="B1579" i="6"/>
  <c r="N1578" i="6"/>
  <c r="A1578" i="6"/>
  <c r="M1577" i="6"/>
  <c r="T1576" i="6"/>
  <c r="L1576" i="6"/>
  <c r="S1575" i="6"/>
  <c r="H1575" i="6"/>
  <c r="R1574" i="6"/>
  <c r="E1574" i="6"/>
  <c r="Q1573" i="6"/>
  <c r="D1573" i="6"/>
  <c r="P1572" i="6"/>
  <c r="C1572" i="6"/>
  <c r="O1571" i="6"/>
  <c r="B1571" i="6"/>
  <c r="N1570" i="6"/>
  <c r="B1570" i="6"/>
  <c r="N1569" i="6"/>
  <c r="B1569" i="6"/>
  <c r="N1568" i="6"/>
  <c r="A1568" i="6"/>
  <c r="M1567" i="6"/>
  <c r="A1567" i="6"/>
  <c r="L1566" i="6"/>
  <c r="T1565" i="6"/>
  <c r="L1565" i="6"/>
  <c r="S1564" i="6"/>
  <c r="H1564" i="6"/>
  <c r="R1563" i="6"/>
  <c r="E1563" i="6"/>
  <c r="Q1562" i="6"/>
  <c r="E1562" i="6"/>
  <c r="Q1561" i="6"/>
  <c r="E1561" i="6"/>
  <c r="Q1560" i="6"/>
  <c r="E1560" i="6"/>
  <c r="Q1559" i="6"/>
  <c r="E1559" i="6"/>
  <c r="Q1558" i="6"/>
  <c r="D1558" i="6"/>
  <c r="P1557" i="6"/>
  <c r="C1557" i="6"/>
  <c r="O1556" i="6"/>
  <c r="C1556" i="6"/>
  <c r="O1555" i="6"/>
  <c r="C1555" i="6"/>
  <c r="O1554" i="6"/>
  <c r="B1554" i="6"/>
  <c r="N1553" i="6"/>
  <c r="B1553" i="6"/>
  <c r="N1552" i="6"/>
  <c r="B1552" i="6"/>
  <c r="N1551" i="6"/>
  <c r="B1551" i="6"/>
  <c r="N1550" i="6"/>
  <c r="A1550" i="6"/>
  <c r="M1549" i="6"/>
  <c r="L1617" i="6"/>
  <c r="H1616" i="6"/>
  <c r="M1615" i="6"/>
  <c r="S1614" i="6"/>
  <c r="F1614" i="6"/>
  <c r="Q1613" i="6"/>
  <c r="C1613" i="6"/>
  <c r="N1612" i="6"/>
  <c r="A1612" i="6"/>
  <c r="M1611" i="6"/>
  <c r="T1610" i="6"/>
  <c r="L1610" i="6"/>
  <c r="S1609" i="6"/>
  <c r="H1609" i="6"/>
  <c r="R1608" i="6"/>
  <c r="E1608" i="6"/>
  <c r="Q1607" i="6"/>
  <c r="D1607" i="6"/>
  <c r="P1606" i="6"/>
  <c r="C1606" i="6"/>
  <c r="O1605" i="6"/>
  <c r="B1605" i="6"/>
  <c r="N1604" i="6"/>
  <c r="A1604" i="6"/>
  <c r="M1603" i="6"/>
  <c r="T1602" i="6"/>
  <c r="L1602" i="6"/>
  <c r="S1601" i="6"/>
  <c r="H1601" i="6"/>
  <c r="R1600" i="6"/>
  <c r="E1600" i="6"/>
  <c r="Q1599" i="6"/>
  <c r="D1599" i="6"/>
  <c r="P1598" i="6"/>
  <c r="C1598" i="6"/>
  <c r="O1597" i="6"/>
  <c r="B1597" i="6"/>
  <c r="N1596" i="6"/>
  <c r="A1596" i="6"/>
  <c r="M1595" i="6"/>
  <c r="T1594" i="6"/>
  <c r="L1594" i="6"/>
  <c r="S1593" i="6"/>
  <c r="I1593" i="6"/>
  <c r="S1592" i="6"/>
  <c r="I1592" i="6"/>
  <c r="T1591" i="6"/>
  <c r="L1591" i="6"/>
  <c r="S1590" i="6"/>
  <c r="H1590" i="6"/>
  <c r="R1589" i="6"/>
  <c r="E1589" i="6"/>
  <c r="Q1588" i="6"/>
  <c r="D1588" i="6"/>
  <c r="P1587" i="6"/>
  <c r="C1587" i="6"/>
  <c r="O1586" i="6"/>
  <c r="B1586" i="6"/>
  <c r="N1585" i="6"/>
  <c r="A1585" i="6"/>
  <c r="M1584" i="6"/>
  <c r="T1583" i="6"/>
  <c r="L1583" i="6"/>
  <c r="S1582" i="6"/>
  <c r="H1582" i="6"/>
  <c r="Q1581" i="6"/>
  <c r="D1581" i="6"/>
  <c r="O1580" i="6"/>
  <c r="B1580" i="6"/>
  <c r="N1579" i="6"/>
  <c r="A1579" i="6"/>
  <c r="M1578" i="6"/>
  <c r="T1577" i="6"/>
  <c r="L1577" i="6"/>
  <c r="S1576" i="6"/>
  <c r="H1576" i="6"/>
  <c r="R1575" i="6"/>
  <c r="E1575" i="6"/>
  <c r="Q1574" i="6"/>
  <c r="D1574" i="6"/>
  <c r="P1573" i="6"/>
  <c r="C1573" i="6"/>
  <c r="O1572" i="6"/>
  <c r="B1572" i="6"/>
  <c r="N1571" i="6"/>
  <c r="A1571" i="6"/>
  <c r="M1570" i="6"/>
  <c r="A1570" i="6"/>
  <c r="M1569" i="6"/>
  <c r="A1569" i="6"/>
  <c r="M1568" i="6"/>
  <c r="T1567" i="6"/>
  <c r="L1567" i="6"/>
  <c r="S1566" i="6"/>
  <c r="H1566" i="6"/>
  <c r="S1565" i="6"/>
  <c r="H1565" i="6"/>
  <c r="R1564" i="6"/>
  <c r="E1564" i="6"/>
  <c r="Q1563" i="6"/>
  <c r="D1563" i="6"/>
  <c r="P1562" i="6"/>
  <c r="D1562" i="6"/>
  <c r="P1561" i="6"/>
  <c r="D1561" i="6"/>
  <c r="P1560" i="6"/>
  <c r="D1560" i="6"/>
  <c r="P1559" i="6"/>
  <c r="D1559" i="6"/>
  <c r="P1558" i="6"/>
  <c r="C1558" i="6"/>
  <c r="O1557" i="6"/>
  <c r="B1557" i="6"/>
  <c r="N1556" i="6"/>
  <c r="B1556" i="6"/>
  <c r="N1555" i="6"/>
  <c r="B1555" i="6"/>
  <c r="N1554" i="6"/>
  <c r="A1554" i="6"/>
  <c r="M1553" i="6"/>
  <c r="A1553" i="6"/>
  <c r="M1552" i="6"/>
  <c r="A1552" i="6"/>
  <c r="M1551" i="6"/>
  <c r="A1551" i="6"/>
  <c r="M1550" i="6"/>
  <c r="T1549" i="6"/>
  <c r="L1549" i="6"/>
  <c r="S1548" i="6"/>
  <c r="H1617" i="6"/>
  <c r="E1616" i="6"/>
  <c r="L1615" i="6"/>
  <c r="R1614" i="6"/>
  <c r="E1614" i="6"/>
  <c r="P1613" i="6"/>
  <c r="B1613" i="6"/>
  <c r="M1612" i="6"/>
  <c r="T1611" i="6"/>
  <c r="L1611" i="6"/>
  <c r="S1610" i="6"/>
  <c r="H1610" i="6"/>
  <c r="R1609" i="6"/>
  <c r="E1609" i="6"/>
  <c r="Q1608" i="6"/>
  <c r="D1608" i="6"/>
  <c r="P1607" i="6"/>
  <c r="C1607" i="6"/>
  <c r="O1606" i="6"/>
  <c r="B1606" i="6"/>
  <c r="N1605" i="6"/>
  <c r="A1605" i="6"/>
  <c r="M1604" i="6"/>
  <c r="T1603" i="6"/>
  <c r="L1603" i="6"/>
  <c r="S1602" i="6"/>
  <c r="H1602" i="6"/>
  <c r="R1601" i="6"/>
  <c r="E1601" i="6"/>
  <c r="Q1600" i="6"/>
  <c r="D1600" i="6"/>
  <c r="P1599" i="6"/>
  <c r="C1599" i="6"/>
  <c r="O1598" i="6"/>
  <c r="B1598" i="6"/>
  <c r="N1597" i="6"/>
  <c r="A1597" i="6"/>
  <c r="M1596" i="6"/>
  <c r="T1595" i="6"/>
  <c r="L1595" i="6"/>
  <c r="S1594" i="6"/>
  <c r="H1594" i="6"/>
  <c r="R1593" i="6"/>
  <c r="H1593" i="6"/>
  <c r="R1592" i="6"/>
  <c r="H1592" i="6"/>
  <c r="S1591" i="6"/>
  <c r="H1591" i="6"/>
  <c r="R1590" i="6"/>
  <c r="E1590" i="6"/>
  <c r="Q1589" i="6"/>
  <c r="D1589" i="6"/>
  <c r="P1588" i="6"/>
  <c r="C1588" i="6"/>
  <c r="O1587" i="6"/>
  <c r="B1587" i="6"/>
  <c r="N1586" i="6"/>
  <c r="A1586" i="6"/>
  <c r="M1585" i="6"/>
  <c r="T1584" i="6"/>
  <c r="L1584" i="6"/>
  <c r="S1583" i="6"/>
  <c r="H1583" i="6"/>
  <c r="R1582" i="6"/>
  <c r="E1582" i="6"/>
  <c r="P1581" i="6"/>
  <c r="C1581" i="6"/>
  <c r="N1580" i="6"/>
  <c r="A1580" i="6"/>
  <c r="M1579" i="6"/>
  <c r="T1578" i="6"/>
  <c r="L1578" i="6"/>
  <c r="S1577" i="6"/>
  <c r="H1577" i="6"/>
  <c r="R1576" i="6"/>
  <c r="E1576" i="6"/>
  <c r="Q1575" i="6"/>
  <c r="D1575" i="6"/>
  <c r="P1574" i="6"/>
  <c r="C1574" i="6"/>
  <c r="O1573" i="6"/>
  <c r="B1573" i="6"/>
  <c r="N1572" i="6"/>
  <c r="A1572" i="6"/>
  <c r="M1571" i="6"/>
  <c r="T1570" i="6"/>
  <c r="L1570" i="6"/>
  <c r="T1569" i="6"/>
  <c r="L1569" i="6"/>
  <c r="T1568" i="6"/>
  <c r="L1568" i="6"/>
  <c r="S1567" i="6"/>
  <c r="H1567" i="6"/>
  <c r="R1566" i="6"/>
  <c r="F1566" i="6"/>
  <c r="R1565" i="6"/>
  <c r="E1565" i="6"/>
  <c r="Q1564" i="6"/>
  <c r="D1564" i="6"/>
  <c r="P1563" i="6"/>
  <c r="C1563" i="6"/>
  <c r="O1562" i="6"/>
  <c r="C1562" i="6"/>
  <c r="O1561" i="6"/>
  <c r="C1561" i="6"/>
  <c r="O1560" i="6"/>
  <c r="C1560" i="6"/>
  <c r="O1559" i="6"/>
  <c r="C1559" i="6"/>
  <c r="O1558" i="6"/>
  <c r="B1558" i="6"/>
  <c r="N1557" i="6"/>
  <c r="A1557" i="6"/>
  <c r="M1556" i="6"/>
  <c r="A1556" i="6"/>
  <c r="M1555" i="6"/>
  <c r="A1555" i="6"/>
  <c r="M1554" i="6"/>
  <c r="T1553" i="6"/>
  <c r="L1553" i="6"/>
  <c r="T1552" i="6"/>
  <c r="L1552" i="6"/>
  <c r="T1551" i="6"/>
  <c r="L1551" i="6"/>
  <c r="T1550" i="6"/>
  <c r="L1550" i="6"/>
  <c r="S1549" i="6"/>
  <c r="H1549" i="6"/>
  <c r="D1548" i="6"/>
  <c r="P1547" i="6"/>
  <c r="C1547" i="6"/>
  <c r="O1546" i="6"/>
  <c r="B1546" i="6"/>
  <c r="N1545" i="6"/>
  <c r="A1545" i="6"/>
  <c r="M1544" i="6"/>
  <c r="T1543" i="6"/>
  <c r="L1543" i="6"/>
  <c r="S1542" i="6"/>
  <c r="H1542" i="6"/>
  <c r="R1541" i="6"/>
  <c r="H1541" i="6"/>
  <c r="R1540" i="6"/>
  <c r="H1540" i="6"/>
  <c r="R1539" i="6"/>
  <c r="E1539" i="6"/>
  <c r="Q1538" i="6"/>
  <c r="D1538" i="6"/>
  <c r="P1537" i="6"/>
  <c r="C1537" i="6"/>
  <c r="O1536" i="6"/>
  <c r="B1536" i="6"/>
  <c r="N1535" i="6"/>
  <c r="A1535" i="6"/>
  <c r="M1534" i="6"/>
  <c r="A1534" i="6"/>
  <c r="M1533" i="6"/>
  <c r="A1533" i="6"/>
  <c r="M1532" i="6"/>
  <c r="T1531" i="6"/>
  <c r="L1531" i="6"/>
  <c r="S1530" i="6"/>
  <c r="H1530" i="6"/>
  <c r="R1529" i="6"/>
  <c r="E1529" i="6"/>
  <c r="Q1528" i="6"/>
  <c r="D1528" i="6"/>
  <c r="P1527" i="6"/>
  <c r="C1527" i="6"/>
  <c r="O1526" i="6"/>
  <c r="B1526" i="6"/>
  <c r="N1525" i="6"/>
  <c r="A1525" i="6"/>
  <c r="M1524" i="6"/>
  <c r="T1523" i="6"/>
  <c r="L1523" i="6"/>
  <c r="S1522" i="6"/>
  <c r="H1522" i="6"/>
  <c r="R1521" i="6"/>
  <c r="E1521" i="6"/>
  <c r="Q1520" i="6"/>
  <c r="D1520" i="6"/>
  <c r="P1519" i="6"/>
  <c r="C1519" i="6"/>
  <c r="O1518" i="6"/>
  <c r="B1518" i="6"/>
  <c r="N1517" i="6"/>
  <c r="A1517" i="6"/>
  <c r="M1516" i="6"/>
  <c r="T1515" i="6"/>
  <c r="L1515" i="6"/>
  <c r="R1514" i="6"/>
  <c r="H1514" i="6"/>
  <c r="R1513" i="6"/>
  <c r="E1513" i="6"/>
  <c r="Q1512" i="6"/>
  <c r="D1512" i="6"/>
  <c r="P1511" i="6"/>
  <c r="C1511" i="6"/>
  <c r="O1510" i="6"/>
  <c r="B1510" i="6"/>
  <c r="N1509" i="6"/>
  <c r="A1509" i="6"/>
  <c r="M1508" i="6"/>
  <c r="T1507" i="6"/>
  <c r="L1507" i="6"/>
  <c r="S1506" i="6"/>
  <c r="H1506" i="6"/>
  <c r="R1505" i="6"/>
  <c r="E1505" i="6"/>
  <c r="Q1504" i="6"/>
  <c r="D1504" i="6"/>
  <c r="P1503" i="6"/>
  <c r="C1503" i="6"/>
  <c r="O1502" i="6"/>
  <c r="B1502" i="6"/>
  <c r="N1501" i="6"/>
  <c r="A1501" i="6"/>
  <c r="M1500" i="6"/>
  <c r="T1499" i="6"/>
  <c r="L1499" i="6"/>
  <c r="S1498" i="6"/>
  <c r="H1498" i="6"/>
  <c r="R1497" i="6"/>
  <c r="E1497" i="6"/>
  <c r="Q1496" i="6"/>
  <c r="D1496" i="6"/>
  <c r="P1495" i="6"/>
  <c r="C1495" i="6"/>
  <c r="O1494" i="6"/>
  <c r="B1494" i="6"/>
  <c r="N1493" i="6"/>
  <c r="A1493" i="6"/>
  <c r="M1492" i="6"/>
  <c r="T1491" i="6"/>
  <c r="L1491" i="6"/>
  <c r="T1490" i="6"/>
  <c r="L1490" i="6"/>
  <c r="S1489" i="6"/>
  <c r="H1489" i="6"/>
  <c r="R1488" i="6"/>
  <c r="E1488" i="6"/>
  <c r="Q1487" i="6"/>
  <c r="E1487" i="6"/>
  <c r="Q1486" i="6"/>
  <c r="D1486" i="6"/>
  <c r="P1485" i="6"/>
  <c r="C1485" i="6"/>
  <c r="O1484" i="6"/>
  <c r="B1484" i="6"/>
  <c r="N1483" i="6"/>
  <c r="B1483" i="6"/>
  <c r="N1482" i="6"/>
  <c r="B1482" i="6"/>
  <c r="N1481" i="6"/>
  <c r="B1481" i="6"/>
  <c r="N1480" i="6"/>
  <c r="B1480" i="6"/>
  <c r="N1479" i="6"/>
  <c r="B1479" i="6"/>
  <c r="N1478" i="6"/>
  <c r="B1478" i="6"/>
  <c r="N1477" i="6"/>
  <c r="B1477" i="6"/>
  <c r="N1476" i="6"/>
  <c r="B1476" i="6"/>
  <c r="N1475" i="6"/>
  <c r="C1475" i="6"/>
  <c r="O1474" i="6"/>
  <c r="D1474" i="6"/>
  <c r="P1473" i="6"/>
  <c r="D1473" i="6"/>
  <c r="P1472" i="6"/>
  <c r="D1472" i="6"/>
  <c r="P1471" i="6"/>
  <c r="D1471" i="6"/>
  <c r="P1470" i="6"/>
  <c r="E1470" i="6"/>
  <c r="Q1469" i="6"/>
  <c r="F1469" i="6"/>
  <c r="R1468" i="6"/>
  <c r="H1468" i="6"/>
  <c r="R1467" i="6"/>
  <c r="H1467" i="6"/>
  <c r="R1466" i="6"/>
  <c r="H1466" i="6"/>
  <c r="S1465" i="6"/>
  <c r="I1465" i="6"/>
  <c r="T1464" i="6"/>
  <c r="L1464" i="6"/>
  <c r="T1463" i="6"/>
  <c r="L1463" i="6"/>
  <c r="T1462" i="6"/>
  <c r="L1462" i="6"/>
  <c r="T1461" i="6"/>
  <c r="L1461" i="6"/>
  <c r="T1460" i="6"/>
  <c r="L1460" i="6"/>
  <c r="T1459" i="6"/>
  <c r="L1459" i="6"/>
  <c r="T1458" i="6"/>
  <c r="L1458" i="6"/>
  <c r="T1457" i="6"/>
  <c r="L1457" i="6"/>
  <c r="T1456" i="6"/>
  <c r="L1456" i="6"/>
  <c r="T1455" i="6"/>
  <c r="L1455" i="6"/>
  <c r="T1454" i="6"/>
  <c r="L1454" i="6"/>
  <c r="T1453" i="6"/>
  <c r="L1453" i="6"/>
  <c r="T1452" i="6"/>
  <c r="L1452" i="6"/>
  <c r="T1451" i="6"/>
  <c r="L1451" i="6"/>
  <c r="T1450" i="6"/>
  <c r="L1450" i="6"/>
  <c r="T1449" i="6"/>
  <c r="L1449" i="6"/>
  <c r="T1448" i="6"/>
  <c r="L1448" i="6"/>
  <c r="T1447" i="6"/>
  <c r="L1447" i="6"/>
  <c r="A1447" i="6"/>
  <c r="M1446" i="6"/>
  <c r="B1446" i="6"/>
  <c r="N1445" i="6"/>
  <c r="B1445" i="6"/>
  <c r="N1444" i="6"/>
  <c r="B1444" i="6"/>
  <c r="N1443" i="6"/>
  <c r="B1443" i="6"/>
  <c r="N1442" i="6"/>
  <c r="B1442" i="6"/>
  <c r="N1441" i="6"/>
  <c r="B1441" i="6"/>
  <c r="N1440" i="6"/>
  <c r="B1440" i="6"/>
  <c r="N1439" i="6"/>
  <c r="B1439" i="6"/>
  <c r="N1438" i="6"/>
  <c r="A1438" i="6"/>
  <c r="M1437" i="6"/>
  <c r="T1436" i="6"/>
  <c r="L1436" i="6"/>
  <c r="S1435" i="6"/>
  <c r="H1435" i="6"/>
  <c r="R1434" i="6"/>
  <c r="E1434" i="6"/>
  <c r="Q1433" i="6"/>
  <c r="D1433" i="6"/>
  <c r="P1432" i="6"/>
  <c r="C1432" i="6"/>
  <c r="O1431" i="6"/>
  <c r="B1431" i="6"/>
  <c r="N1430" i="6"/>
  <c r="A1430" i="6"/>
  <c r="M1429" i="6"/>
  <c r="T1428" i="6"/>
  <c r="L1428" i="6"/>
  <c r="S1427" i="6"/>
  <c r="H1427" i="6"/>
  <c r="R1426" i="6"/>
  <c r="G1426" i="6"/>
  <c r="R1425" i="6"/>
  <c r="F1425" i="6"/>
  <c r="R1424" i="6"/>
  <c r="G1424" i="6"/>
  <c r="R1423" i="6"/>
  <c r="F1423" i="6"/>
  <c r="R1422" i="6"/>
  <c r="E1422" i="6"/>
  <c r="Q1421" i="6"/>
  <c r="D1421" i="6"/>
  <c r="P1420" i="6"/>
  <c r="D1420" i="6"/>
  <c r="P1419" i="6"/>
  <c r="D1419" i="6"/>
  <c r="P1418" i="6"/>
  <c r="C1418" i="6"/>
  <c r="O1417" i="6"/>
  <c r="T1548" i="6"/>
  <c r="C1548" i="6"/>
  <c r="O1547" i="6"/>
  <c r="B1547" i="6"/>
  <c r="N1546" i="6"/>
  <c r="A1546" i="6"/>
  <c r="M1545" i="6"/>
  <c r="T1544" i="6"/>
  <c r="L1544" i="6"/>
  <c r="S1543" i="6"/>
  <c r="H1543" i="6"/>
  <c r="R1542" i="6"/>
  <c r="E1542" i="6"/>
  <c r="Q1541" i="6"/>
  <c r="E1541" i="6"/>
  <c r="Q1540" i="6"/>
  <c r="E1540" i="6"/>
  <c r="Q1539" i="6"/>
  <c r="D1539" i="6"/>
  <c r="P1538" i="6"/>
  <c r="C1538" i="6"/>
  <c r="O1537" i="6"/>
  <c r="B1537" i="6"/>
  <c r="N1536" i="6"/>
  <c r="A1536" i="6"/>
  <c r="M1535" i="6"/>
  <c r="T1534" i="6"/>
  <c r="L1534" i="6"/>
  <c r="T1533" i="6"/>
  <c r="L1533" i="6"/>
  <c r="T1532" i="6"/>
  <c r="L1532" i="6"/>
  <c r="S1531" i="6"/>
  <c r="H1531" i="6"/>
  <c r="R1530" i="6"/>
  <c r="E1530" i="6"/>
  <c r="Q1529" i="6"/>
  <c r="D1529" i="6"/>
  <c r="P1528" i="6"/>
  <c r="C1528" i="6"/>
  <c r="O1527" i="6"/>
  <c r="B1527" i="6"/>
  <c r="N1526" i="6"/>
  <c r="A1526" i="6"/>
  <c r="M1525" i="6"/>
  <c r="T1524" i="6"/>
  <c r="L1524" i="6"/>
  <c r="S1523" i="6"/>
  <c r="H1523" i="6"/>
  <c r="R1522" i="6"/>
  <c r="E1522" i="6"/>
  <c r="Q1521" i="6"/>
  <c r="D1521" i="6"/>
  <c r="P1520" i="6"/>
  <c r="C1520" i="6"/>
  <c r="O1519" i="6"/>
  <c r="B1519" i="6"/>
  <c r="N1518" i="6"/>
  <c r="A1518" i="6"/>
  <c r="M1517" i="6"/>
  <c r="T1516" i="6"/>
  <c r="L1516" i="6"/>
  <c r="S1515" i="6"/>
  <c r="H1515" i="6"/>
  <c r="Q1514" i="6"/>
  <c r="E1514" i="6"/>
  <c r="Q1513" i="6"/>
  <c r="D1513" i="6"/>
  <c r="P1512" i="6"/>
  <c r="C1512" i="6"/>
  <c r="O1511" i="6"/>
  <c r="B1511" i="6"/>
  <c r="N1510" i="6"/>
  <c r="A1510" i="6"/>
  <c r="M1509" i="6"/>
  <c r="T1508" i="6"/>
  <c r="L1508" i="6"/>
  <c r="S1507" i="6"/>
  <c r="H1507" i="6"/>
  <c r="R1506" i="6"/>
  <c r="E1506" i="6"/>
  <c r="Q1505" i="6"/>
  <c r="D1505" i="6"/>
  <c r="P1504" i="6"/>
  <c r="C1504" i="6"/>
  <c r="O1503" i="6"/>
  <c r="B1503" i="6"/>
  <c r="N1502" i="6"/>
  <c r="A1502" i="6"/>
  <c r="M1501" i="6"/>
  <c r="T1500" i="6"/>
  <c r="L1500" i="6"/>
  <c r="S1499" i="6"/>
  <c r="H1499" i="6"/>
  <c r="R1498" i="6"/>
  <c r="E1498" i="6"/>
  <c r="Q1497" i="6"/>
  <c r="D1497" i="6"/>
  <c r="P1496" i="6"/>
  <c r="C1496" i="6"/>
  <c r="O1495" i="6"/>
  <c r="B1495" i="6"/>
  <c r="N1494" i="6"/>
  <c r="A1494" i="6"/>
  <c r="M1493" i="6"/>
  <c r="T1492" i="6"/>
  <c r="L1492" i="6"/>
  <c r="S1491" i="6"/>
  <c r="I1491" i="6"/>
  <c r="S1490" i="6"/>
  <c r="H1490" i="6"/>
  <c r="R1489" i="6"/>
  <c r="E1489" i="6"/>
  <c r="Q1488" i="6"/>
  <c r="D1488" i="6"/>
  <c r="P1487" i="6"/>
  <c r="D1487" i="6"/>
  <c r="P1486" i="6"/>
  <c r="C1486" i="6"/>
  <c r="O1485" i="6"/>
  <c r="B1485" i="6"/>
  <c r="N1484" i="6"/>
  <c r="A1484" i="6"/>
  <c r="M1483" i="6"/>
  <c r="A1483" i="6"/>
  <c r="M1482" i="6"/>
  <c r="A1482" i="6"/>
  <c r="M1481" i="6"/>
  <c r="A1481" i="6"/>
  <c r="M1480" i="6"/>
  <c r="A1480" i="6"/>
  <c r="M1479" i="6"/>
  <c r="A1479" i="6"/>
  <c r="M1478" i="6"/>
  <c r="A1478" i="6"/>
  <c r="M1477" i="6"/>
  <c r="A1477" i="6"/>
  <c r="M1476" i="6"/>
  <c r="A1476" i="6"/>
  <c r="M1475" i="6"/>
  <c r="B1475" i="6"/>
  <c r="N1474" i="6"/>
  <c r="C1474" i="6"/>
  <c r="O1473" i="6"/>
  <c r="C1473" i="6"/>
  <c r="O1472" i="6"/>
  <c r="C1472" i="6"/>
  <c r="O1471" i="6"/>
  <c r="C1471" i="6"/>
  <c r="O1470" i="6"/>
  <c r="D1470" i="6"/>
  <c r="P1469" i="6"/>
  <c r="E1469" i="6"/>
  <c r="Q1468" i="6"/>
  <c r="E1468" i="6"/>
  <c r="Q1467" i="6"/>
  <c r="E1467" i="6"/>
  <c r="Q1466" i="6"/>
  <c r="G1466" i="6"/>
  <c r="R1465" i="6"/>
  <c r="H1465" i="6"/>
  <c r="S1464" i="6"/>
  <c r="I1464" i="6"/>
  <c r="S1463" i="6"/>
  <c r="I1463" i="6"/>
  <c r="S1462" i="6"/>
  <c r="I1462" i="6"/>
  <c r="S1461" i="6"/>
  <c r="I1461" i="6"/>
  <c r="S1460" i="6"/>
  <c r="I1460" i="6"/>
  <c r="S1459" i="6"/>
  <c r="I1459" i="6"/>
  <c r="S1458" i="6"/>
  <c r="I1458" i="6"/>
  <c r="S1457" i="6"/>
  <c r="I1457" i="6"/>
  <c r="S1456" i="6"/>
  <c r="I1456" i="6"/>
  <c r="S1455" i="6"/>
  <c r="I1455" i="6"/>
  <c r="S1454" i="6"/>
  <c r="I1454" i="6"/>
  <c r="S1453" i="6"/>
  <c r="I1453" i="6"/>
  <c r="S1452" i="6"/>
  <c r="I1452" i="6"/>
  <c r="S1451" i="6"/>
  <c r="I1451" i="6"/>
  <c r="S1450" i="6"/>
  <c r="I1450" i="6"/>
  <c r="S1449" i="6"/>
  <c r="I1449" i="6"/>
  <c r="S1448" i="6"/>
  <c r="I1448" i="6"/>
  <c r="S1447" i="6"/>
  <c r="I1447" i="6"/>
  <c r="T1446" i="6"/>
  <c r="L1446" i="6"/>
  <c r="A1446" i="6"/>
  <c r="M1445" i="6"/>
  <c r="A1445" i="6"/>
  <c r="M1444" i="6"/>
  <c r="A1444" i="6"/>
  <c r="M1443" i="6"/>
  <c r="A1443" i="6"/>
  <c r="M1442" i="6"/>
  <c r="A1442" i="6"/>
  <c r="M1441" i="6"/>
  <c r="A1441" i="6"/>
  <c r="M1440" i="6"/>
  <c r="A1440" i="6"/>
  <c r="M1439" i="6"/>
  <c r="A1439" i="6"/>
  <c r="M1438" i="6"/>
  <c r="T1437" i="6"/>
  <c r="L1437" i="6"/>
  <c r="S1436" i="6"/>
  <c r="H1436" i="6"/>
  <c r="R1435" i="6"/>
  <c r="E1435" i="6"/>
  <c r="Q1434" i="6"/>
  <c r="D1434" i="6"/>
  <c r="P1433" i="6"/>
  <c r="C1433" i="6"/>
  <c r="O1432" i="6"/>
  <c r="B1432" i="6"/>
  <c r="N1431" i="6"/>
  <c r="A1431" i="6"/>
  <c r="M1430" i="6"/>
  <c r="T1429" i="6"/>
  <c r="L1429" i="6"/>
  <c r="S1428" i="6"/>
  <c r="H1428" i="6"/>
  <c r="R1427" i="6"/>
  <c r="E1427" i="6"/>
  <c r="Q1426" i="6"/>
  <c r="E1426" i="6"/>
  <c r="Q1425" i="6"/>
  <c r="E1425" i="6"/>
  <c r="Q1424" i="6"/>
  <c r="E1424" i="6"/>
  <c r="Q1423" i="6"/>
  <c r="E1423" i="6"/>
  <c r="Q1422" i="6"/>
  <c r="D1422" i="6"/>
  <c r="P1421" i="6"/>
  <c r="C1421" i="6"/>
  <c r="O1420" i="6"/>
  <c r="C1420" i="6"/>
  <c r="R1548" i="6"/>
  <c r="B1548" i="6"/>
  <c r="N1547" i="6"/>
  <c r="A1547" i="6"/>
  <c r="M1546" i="6"/>
  <c r="T1545" i="6"/>
  <c r="L1545" i="6"/>
  <c r="S1544" i="6"/>
  <c r="H1544" i="6"/>
  <c r="R1543" i="6"/>
  <c r="E1543" i="6"/>
  <c r="Q1542" i="6"/>
  <c r="D1542" i="6"/>
  <c r="P1541" i="6"/>
  <c r="D1541" i="6"/>
  <c r="P1540" i="6"/>
  <c r="D1540" i="6"/>
  <c r="P1539" i="6"/>
  <c r="C1539" i="6"/>
  <c r="O1538" i="6"/>
  <c r="B1538" i="6"/>
  <c r="N1537" i="6"/>
  <c r="A1537" i="6"/>
  <c r="M1536" i="6"/>
  <c r="T1535" i="6"/>
  <c r="L1535" i="6"/>
  <c r="S1534" i="6"/>
  <c r="I1534" i="6"/>
  <c r="S1533" i="6"/>
  <c r="I1533" i="6"/>
  <c r="S1532" i="6"/>
  <c r="H1532" i="6"/>
  <c r="R1531" i="6"/>
  <c r="E1531" i="6"/>
  <c r="Q1530" i="6"/>
  <c r="D1530" i="6"/>
  <c r="P1529" i="6"/>
  <c r="C1529" i="6"/>
  <c r="O1528" i="6"/>
  <c r="B1528" i="6"/>
  <c r="N1527" i="6"/>
  <c r="A1527" i="6"/>
  <c r="M1526" i="6"/>
  <c r="T1525" i="6"/>
  <c r="L1525" i="6"/>
  <c r="S1524" i="6"/>
  <c r="H1524" i="6"/>
  <c r="R1523" i="6"/>
  <c r="E1523" i="6"/>
  <c r="Q1522" i="6"/>
  <c r="D1522" i="6"/>
  <c r="P1521" i="6"/>
  <c r="C1521" i="6"/>
  <c r="O1520" i="6"/>
  <c r="B1520" i="6"/>
  <c r="N1519" i="6"/>
  <c r="A1519" i="6"/>
  <c r="M1518" i="6"/>
  <c r="T1517" i="6"/>
  <c r="L1517" i="6"/>
  <c r="S1516" i="6"/>
  <c r="H1516" i="6"/>
  <c r="R1515" i="6"/>
  <c r="E1515" i="6"/>
  <c r="P1514" i="6"/>
  <c r="D1514" i="6"/>
  <c r="P1513" i="6"/>
  <c r="C1513" i="6"/>
  <c r="O1512" i="6"/>
  <c r="B1512" i="6"/>
  <c r="N1511" i="6"/>
  <c r="A1511" i="6"/>
  <c r="M1510" i="6"/>
  <c r="T1509" i="6"/>
  <c r="L1509" i="6"/>
  <c r="S1508" i="6"/>
  <c r="H1508" i="6"/>
  <c r="R1507" i="6"/>
  <c r="E1507" i="6"/>
  <c r="Q1506" i="6"/>
  <c r="D1506" i="6"/>
  <c r="P1505" i="6"/>
  <c r="C1505" i="6"/>
  <c r="O1504" i="6"/>
  <c r="B1504" i="6"/>
  <c r="N1503" i="6"/>
  <c r="A1503" i="6"/>
  <c r="M1502" i="6"/>
  <c r="T1501" i="6"/>
  <c r="L1501" i="6"/>
  <c r="S1500" i="6"/>
  <c r="H1500" i="6"/>
  <c r="R1499" i="6"/>
  <c r="E1499" i="6"/>
  <c r="Q1498" i="6"/>
  <c r="D1498" i="6"/>
  <c r="P1497" i="6"/>
  <c r="C1497" i="6"/>
  <c r="O1496" i="6"/>
  <c r="B1496" i="6"/>
  <c r="N1495" i="6"/>
  <c r="A1495" i="6"/>
  <c r="M1494" i="6"/>
  <c r="T1493" i="6"/>
  <c r="L1493" i="6"/>
  <c r="S1492" i="6"/>
  <c r="H1492" i="6"/>
  <c r="R1491" i="6"/>
  <c r="H1491" i="6"/>
  <c r="R1490" i="6"/>
  <c r="E1490" i="6"/>
  <c r="Q1489" i="6"/>
  <c r="D1489" i="6"/>
  <c r="P1488" i="6"/>
  <c r="C1488" i="6"/>
  <c r="O1487" i="6"/>
  <c r="C1487" i="6"/>
  <c r="O1486" i="6"/>
  <c r="B1486" i="6"/>
  <c r="N1485" i="6"/>
  <c r="A1485" i="6"/>
  <c r="M1484" i="6"/>
  <c r="T1483" i="6"/>
  <c r="L1483" i="6"/>
  <c r="T1482" i="6"/>
  <c r="L1482" i="6"/>
  <c r="T1481" i="6"/>
  <c r="L1481" i="6"/>
  <c r="T1480" i="6"/>
  <c r="L1480" i="6"/>
  <c r="T1479" i="6"/>
  <c r="L1479" i="6"/>
  <c r="T1478" i="6"/>
  <c r="L1478" i="6"/>
  <c r="T1477" i="6"/>
  <c r="L1477" i="6"/>
  <c r="T1476" i="6"/>
  <c r="L1476" i="6"/>
  <c r="T1475" i="6"/>
  <c r="L1475" i="6"/>
  <c r="A1475" i="6"/>
  <c r="M1474" i="6"/>
  <c r="B1474" i="6"/>
  <c r="N1473" i="6"/>
  <c r="B1473" i="6"/>
  <c r="N1472" i="6"/>
  <c r="B1472" i="6"/>
  <c r="N1471" i="6"/>
  <c r="B1471" i="6"/>
  <c r="N1470" i="6"/>
  <c r="C1470" i="6"/>
  <c r="O1469" i="6"/>
  <c r="D1469" i="6"/>
  <c r="P1468" i="6"/>
  <c r="D1468" i="6"/>
  <c r="P1467" i="6"/>
  <c r="D1467" i="6"/>
  <c r="P1466" i="6"/>
  <c r="E1466" i="6"/>
  <c r="Q1465" i="6"/>
  <c r="F1465" i="6"/>
  <c r="R1464" i="6"/>
  <c r="H1464" i="6"/>
  <c r="R1463" i="6"/>
  <c r="H1463" i="6"/>
  <c r="R1462" i="6"/>
  <c r="H1462" i="6"/>
  <c r="R1461" i="6"/>
  <c r="H1461" i="6"/>
  <c r="R1460" i="6"/>
  <c r="H1460" i="6"/>
  <c r="R1459" i="6"/>
  <c r="H1459" i="6"/>
  <c r="R1458" i="6"/>
  <c r="H1458" i="6"/>
  <c r="R1457" i="6"/>
  <c r="H1457" i="6"/>
  <c r="R1456" i="6"/>
  <c r="H1456" i="6"/>
  <c r="R1455" i="6"/>
  <c r="H1455" i="6"/>
  <c r="R1454" i="6"/>
  <c r="H1454" i="6"/>
  <c r="R1453" i="6"/>
  <c r="H1453" i="6"/>
  <c r="R1452" i="6"/>
  <c r="H1452" i="6"/>
  <c r="R1451" i="6"/>
  <c r="H1451" i="6"/>
  <c r="R1450" i="6"/>
  <c r="H1450" i="6"/>
  <c r="R1449" i="6"/>
  <c r="H1449" i="6"/>
  <c r="R1448" i="6"/>
  <c r="H1448" i="6"/>
  <c r="R1447" i="6"/>
  <c r="H1447" i="6"/>
  <c r="S1446" i="6"/>
  <c r="I1446" i="6"/>
  <c r="T1445" i="6"/>
  <c r="L1445" i="6"/>
  <c r="T1444" i="6"/>
  <c r="L1444" i="6"/>
  <c r="T1443" i="6"/>
  <c r="L1443" i="6"/>
  <c r="T1442" i="6"/>
  <c r="L1442" i="6"/>
  <c r="T1441" i="6"/>
  <c r="L1441" i="6"/>
  <c r="T1440" i="6"/>
  <c r="L1440" i="6"/>
  <c r="T1439" i="6"/>
  <c r="L1439" i="6"/>
  <c r="T1438" i="6"/>
  <c r="L1438" i="6"/>
  <c r="S1437" i="6"/>
  <c r="H1437" i="6"/>
  <c r="R1436" i="6"/>
  <c r="E1436" i="6"/>
  <c r="Q1435" i="6"/>
  <c r="D1435" i="6"/>
  <c r="P1434" i="6"/>
  <c r="C1434" i="6"/>
  <c r="O1433" i="6"/>
  <c r="B1433" i="6"/>
  <c r="N1432" i="6"/>
  <c r="A1432" i="6"/>
  <c r="M1431" i="6"/>
  <c r="T1430" i="6"/>
  <c r="L1430" i="6"/>
  <c r="S1429" i="6"/>
  <c r="H1429" i="6"/>
  <c r="R1428" i="6"/>
  <c r="E1428" i="6"/>
  <c r="Q1427" i="6"/>
  <c r="D1427" i="6"/>
  <c r="P1426" i="6"/>
  <c r="D1426" i="6"/>
  <c r="P1425" i="6"/>
  <c r="D1425" i="6"/>
  <c r="P1424" i="6"/>
  <c r="D1424" i="6"/>
  <c r="P1423" i="6"/>
  <c r="D1423" i="6"/>
  <c r="P1422" i="6"/>
  <c r="C1422" i="6"/>
  <c r="O1421" i="6"/>
  <c r="B1421" i="6"/>
  <c r="N1420" i="6"/>
  <c r="B1420" i="6"/>
  <c r="N1419" i="6"/>
  <c r="B1419" i="6"/>
  <c r="N1418" i="6"/>
  <c r="A1418" i="6"/>
  <c r="M1417" i="6"/>
  <c r="P1548" i="6"/>
  <c r="A1548" i="6"/>
  <c r="M1547" i="6"/>
  <c r="T1546" i="6"/>
  <c r="L1546" i="6"/>
  <c r="S1545" i="6"/>
  <c r="H1545" i="6"/>
  <c r="R1544" i="6"/>
  <c r="E1544" i="6"/>
  <c r="Q1543" i="6"/>
  <c r="D1543" i="6"/>
  <c r="P1542" i="6"/>
  <c r="C1542" i="6"/>
  <c r="O1541" i="6"/>
  <c r="C1541" i="6"/>
  <c r="O1540" i="6"/>
  <c r="C1540" i="6"/>
  <c r="O1539" i="6"/>
  <c r="B1539" i="6"/>
  <c r="N1538" i="6"/>
  <c r="A1538" i="6"/>
  <c r="M1537" i="6"/>
  <c r="T1536" i="6"/>
  <c r="L1536" i="6"/>
  <c r="S1535" i="6"/>
  <c r="H1535" i="6"/>
  <c r="R1534" i="6"/>
  <c r="H1534" i="6"/>
  <c r="R1533" i="6"/>
  <c r="H1533" i="6"/>
  <c r="R1532" i="6"/>
  <c r="E1532" i="6"/>
  <c r="Q1531" i="6"/>
  <c r="D1531" i="6"/>
  <c r="P1530" i="6"/>
  <c r="C1530" i="6"/>
  <c r="O1529" i="6"/>
  <c r="B1529" i="6"/>
  <c r="N1528" i="6"/>
  <c r="A1528" i="6"/>
  <c r="M1527" i="6"/>
  <c r="T1526" i="6"/>
  <c r="L1526" i="6"/>
  <c r="S1525" i="6"/>
  <c r="H1525" i="6"/>
  <c r="R1524" i="6"/>
  <c r="E1524" i="6"/>
  <c r="Q1523" i="6"/>
  <c r="D1523" i="6"/>
  <c r="P1522" i="6"/>
  <c r="C1522" i="6"/>
  <c r="O1521" i="6"/>
  <c r="B1521" i="6"/>
  <c r="N1520" i="6"/>
  <c r="A1520" i="6"/>
  <c r="M1519" i="6"/>
  <c r="T1518" i="6"/>
  <c r="L1518" i="6"/>
  <c r="S1517" i="6"/>
  <c r="H1517" i="6"/>
  <c r="R1516" i="6"/>
  <c r="E1516" i="6"/>
  <c r="Q1515" i="6"/>
  <c r="D1515" i="6"/>
  <c r="O1514" i="6"/>
  <c r="C1514" i="6"/>
  <c r="O1513" i="6"/>
  <c r="B1513" i="6"/>
  <c r="N1512" i="6"/>
  <c r="A1512" i="6"/>
  <c r="M1511" i="6"/>
  <c r="T1510" i="6"/>
  <c r="L1510" i="6"/>
  <c r="S1509" i="6"/>
  <c r="H1509" i="6"/>
  <c r="R1508" i="6"/>
  <c r="E1508" i="6"/>
  <c r="Q1507" i="6"/>
  <c r="D1507" i="6"/>
  <c r="P1506" i="6"/>
  <c r="C1506" i="6"/>
  <c r="O1505" i="6"/>
  <c r="B1505" i="6"/>
  <c r="N1504" i="6"/>
  <c r="A1504" i="6"/>
  <c r="M1503" i="6"/>
  <c r="T1502" i="6"/>
  <c r="L1502" i="6"/>
  <c r="S1501" i="6"/>
  <c r="H1501" i="6"/>
  <c r="R1500" i="6"/>
  <c r="E1500" i="6"/>
  <c r="Q1499" i="6"/>
  <c r="D1499" i="6"/>
  <c r="P1498" i="6"/>
  <c r="C1498" i="6"/>
  <c r="O1497" i="6"/>
  <c r="B1497" i="6"/>
  <c r="N1496" i="6"/>
  <c r="A1496" i="6"/>
  <c r="M1495" i="6"/>
  <c r="T1494" i="6"/>
  <c r="L1494" i="6"/>
  <c r="S1493" i="6"/>
  <c r="H1493" i="6"/>
  <c r="R1492" i="6"/>
  <c r="E1492" i="6"/>
  <c r="Q1491" i="6"/>
  <c r="E1491" i="6"/>
  <c r="Q1490" i="6"/>
  <c r="D1490" i="6"/>
  <c r="P1489" i="6"/>
  <c r="C1489" i="6"/>
  <c r="O1488" i="6"/>
  <c r="B1488" i="6"/>
  <c r="N1487" i="6"/>
  <c r="B1487" i="6"/>
  <c r="N1486" i="6"/>
  <c r="A1486" i="6"/>
  <c r="M1485" i="6"/>
  <c r="T1484" i="6"/>
  <c r="L1484" i="6"/>
  <c r="S1483" i="6"/>
  <c r="I1483" i="6"/>
  <c r="S1482" i="6"/>
  <c r="I1482" i="6"/>
  <c r="S1481" i="6"/>
  <c r="I1481" i="6"/>
  <c r="S1480" i="6"/>
  <c r="I1480" i="6"/>
  <c r="S1479" i="6"/>
  <c r="I1479" i="6"/>
  <c r="S1478" i="6"/>
  <c r="I1478" i="6"/>
  <c r="S1477" i="6"/>
  <c r="I1477" i="6"/>
  <c r="S1476" i="6"/>
  <c r="I1476" i="6"/>
  <c r="S1475" i="6"/>
  <c r="I1475" i="6"/>
  <c r="T1474" i="6"/>
  <c r="L1474" i="6"/>
  <c r="A1474" i="6"/>
  <c r="M1473" i="6"/>
  <c r="A1473" i="6"/>
  <c r="M1472" i="6"/>
  <c r="A1472" i="6"/>
  <c r="M1471" i="6"/>
  <c r="A1471" i="6"/>
  <c r="M1470" i="6"/>
  <c r="B1470" i="6"/>
  <c r="N1469" i="6"/>
  <c r="C1469" i="6"/>
  <c r="O1468" i="6"/>
  <c r="C1468" i="6"/>
  <c r="O1467" i="6"/>
  <c r="C1467" i="6"/>
  <c r="O1466" i="6"/>
  <c r="D1466" i="6"/>
  <c r="P1465" i="6"/>
  <c r="E1465" i="6"/>
  <c r="Q1464" i="6"/>
  <c r="E1464" i="6"/>
  <c r="Q1463" i="6"/>
  <c r="E1463" i="6"/>
  <c r="Q1462" i="6"/>
  <c r="E1462" i="6"/>
  <c r="Q1461" i="6"/>
  <c r="E1461" i="6"/>
  <c r="Q1460" i="6"/>
  <c r="E1460" i="6"/>
  <c r="Q1459" i="6"/>
  <c r="E1459" i="6"/>
  <c r="Q1458" i="6"/>
  <c r="E1458" i="6"/>
  <c r="Q1457" i="6"/>
  <c r="E1457" i="6"/>
  <c r="Q1456" i="6"/>
  <c r="E1456" i="6"/>
  <c r="Q1455" i="6"/>
  <c r="E1455" i="6"/>
  <c r="Q1454" i="6"/>
  <c r="E1454" i="6"/>
  <c r="Q1453" i="6"/>
  <c r="E1453" i="6"/>
  <c r="Q1452" i="6"/>
  <c r="E1452" i="6"/>
  <c r="Q1451" i="6"/>
  <c r="E1451" i="6"/>
  <c r="Q1450" i="6"/>
  <c r="E1450" i="6"/>
  <c r="Q1449" i="6"/>
  <c r="E1449" i="6"/>
  <c r="Q1448" i="6"/>
  <c r="E1448" i="6"/>
  <c r="Q1447" i="6"/>
  <c r="G1447" i="6"/>
  <c r="R1446" i="6"/>
  <c r="H1446" i="6"/>
  <c r="S1445" i="6"/>
  <c r="I1445" i="6"/>
  <c r="S1444" i="6"/>
  <c r="I1444" i="6"/>
  <c r="S1443" i="6"/>
  <c r="I1443" i="6"/>
  <c r="S1442" i="6"/>
  <c r="I1442" i="6"/>
  <c r="S1441" i="6"/>
  <c r="I1441" i="6"/>
  <c r="S1440" i="6"/>
  <c r="I1440" i="6"/>
  <c r="S1439" i="6"/>
  <c r="I1439" i="6"/>
  <c r="S1438" i="6"/>
  <c r="H1438" i="6"/>
  <c r="R1437" i="6"/>
  <c r="E1437" i="6"/>
  <c r="Q1436" i="6"/>
  <c r="D1436" i="6"/>
  <c r="P1435" i="6"/>
  <c r="C1435" i="6"/>
  <c r="O1434" i="6"/>
  <c r="B1434" i="6"/>
  <c r="N1433" i="6"/>
  <c r="A1433" i="6"/>
  <c r="M1432" i="6"/>
  <c r="T1431" i="6"/>
  <c r="L1431" i="6"/>
  <c r="S1430" i="6"/>
  <c r="H1430" i="6"/>
  <c r="R1429" i="6"/>
  <c r="E1429" i="6"/>
  <c r="Q1428" i="6"/>
  <c r="D1428" i="6"/>
  <c r="P1427" i="6"/>
  <c r="C1427" i="6"/>
  <c r="O1426" i="6"/>
  <c r="C1426" i="6"/>
  <c r="O1425" i="6"/>
  <c r="C1425" i="6"/>
  <c r="O1424" i="6"/>
  <c r="C1424" i="6"/>
  <c r="O1423" i="6"/>
  <c r="C1423" i="6"/>
  <c r="O1422" i="6"/>
  <c r="B1422" i="6"/>
  <c r="N1421" i="6"/>
  <c r="A1421" i="6"/>
  <c r="M1420" i="6"/>
  <c r="A1420" i="6"/>
  <c r="M1419" i="6"/>
  <c r="M1548" i="6"/>
  <c r="T1547" i="6"/>
  <c r="L1547" i="6"/>
  <c r="S1546" i="6"/>
  <c r="H1546" i="6"/>
  <c r="R1545" i="6"/>
  <c r="E1545" i="6"/>
  <c r="Q1544" i="6"/>
  <c r="D1544" i="6"/>
  <c r="P1543" i="6"/>
  <c r="C1543" i="6"/>
  <c r="O1542" i="6"/>
  <c r="B1542" i="6"/>
  <c r="N1541" i="6"/>
  <c r="B1541" i="6"/>
  <c r="N1540" i="6"/>
  <c r="B1540" i="6"/>
  <c r="N1539" i="6"/>
  <c r="A1539" i="6"/>
  <c r="M1538" i="6"/>
  <c r="T1537" i="6"/>
  <c r="L1537" i="6"/>
  <c r="S1536" i="6"/>
  <c r="H1536" i="6"/>
  <c r="R1535" i="6"/>
  <c r="E1535" i="6"/>
  <c r="Q1534" i="6"/>
  <c r="E1534" i="6"/>
  <c r="Q1533" i="6"/>
  <c r="E1533" i="6"/>
  <c r="Q1532" i="6"/>
  <c r="D1532" i="6"/>
  <c r="P1531" i="6"/>
  <c r="C1531" i="6"/>
  <c r="O1530" i="6"/>
  <c r="B1530" i="6"/>
  <c r="N1529" i="6"/>
  <c r="A1529" i="6"/>
  <c r="M1528" i="6"/>
  <c r="T1527" i="6"/>
  <c r="L1527" i="6"/>
  <c r="S1526" i="6"/>
  <c r="H1526" i="6"/>
  <c r="R1525" i="6"/>
  <c r="E1525" i="6"/>
  <c r="Q1524" i="6"/>
  <c r="D1524" i="6"/>
  <c r="P1523" i="6"/>
  <c r="C1523" i="6"/>
  <c r="O1522" i="6"/>
  <c r="B1522" i="6"/>
  <c r="N1521" i="6"/>
  <c r="A1521" i="6"/>
  <c r="M1520" i="6"/>
  <c r="T1519" i="6"/>
  <c r="L1519" i="6"/>
  <c r="S1518" i="6"/>
  <c r="H1518" i="6"/>
  <c r="R1517" i="6"/>
  <c r="E1517" i="6"/>
  <c r="Q1516" i="6"/>
  <c r="D1516" i="6"/>
  <c r="P1515" i="6"/>
  <c r="C1515" i="6"/>
  <c r="N1514" i="6"/>
  <c r="B1514" i="6"/>
  <c r="N1513" i="6"/>
  <c r="A1513" i="6"/>
  <c r="M1512" i="6"/>
  <c r="T1511" i="6"/>
  <c r="L1511" i="6"/>
  <c r="S1510" i="6"/>
  <c r="H1510" i="6"/>
  <c r="R1509" i="6"/>
  <c r="E1509" i="6"/>
  <c r="Q1508" i="6"/>
  <c r="D1508" i="6"/>
  <c r="P1507" i="6"/>
  <c r="C1507" i="6"/>
  <c r="O1506" i="6"/>
  <c r="B1506" i="6"/>
  <c r="N1505" i="6"/>
  <c r="A1505" i="6"/>
  <c r="M1504" i="6"/>
  <c r="T1503" i="6"/>
  <c r="L1503" i="6"/>
  <c r="S1502" i="6"/>
  <c r="H1502" i="6"/>
  <c r="R1501" i="6"/>
  <c r="E1501" i="6"/>
  <c r="Q1500" i="6"/>
  <c r="D1500" i="6"/>
  <c r="P1499" i="6"/>
  <c r="C1499" i="6"/>
  <c r="O1498" i="6"/>
  <c r="B1498" i="6"/>
  <c r="N1497" i="6"/>
  <c r="A1497" i="6"/>
  <c r="M1496" i="6"/>
  <c r="T1495" i="6"/>
  <c r="L1495" i="6"/>
  <c r="S1494" i="6"/>
  <c r="H1494" i="6"/>
  <c r="R1493" i="6"/>
  <c r="E1493" i="6"/>
  <c r="Q1492" i="6"/>
  <c r="D1492" i="6"/>
  <c r="P1491" i="6"/>
  <c r="D1491" i="6"/>
  <c r="P1490" i="6"/>
  <c r="C1490" i="6"/>
  <c r="O1489" i="6"/>
  <c r="B1489" i="6"/>
  <c r="N1488" i="6"/>
  <c r="A1488" i="6"/>
  <c r="M1487" i="6"/>
  <c r="A1487" i="6"/>
  <c r="M1486" i="6"/>
  <c r="T1485" i="6"/>
  <c r="L1485" i="6"/>
  <c r="S1484" i="6"/>
  <c r="H1484" i="6"/>
  <c r="R1483" i="6"/>
  <c r="H1483" i="6"/>
  <c r="R1482" i="6"/>
  <c r="H1482" i="6"/>
  <c r="R1481" i="6"/>
  <c r="H1481" i="6"/>
  <c r="R1480" i="6"/>
  <c r="H1480" i="6"/>
  <c r="R1479" i="6"/>
  <c r="H1479" i="6"/>
  <c r="R1478" i="6"/>
  <c r="H1478" i="6"/>
  <c r="R1477" i="6"/>
  <c r="H1477" i="6"/>
  <c r="R1476" i="6"/>
  <c r="H1476" i="6"/>
  <c r="R1475" i="6"/>
  <c r="H1475" i="6"/>
  <c r="S1474" i="6"/>
  <c r="I1474" i="6"/>
  <c r="T1473" i="6"/>
  <c r="L1473" i="6"/>
  <c r="T1472" i="6"/>
  <c r="L1472" i="6"/>
  <c r="T1471" i="6"/>
  <c r="L1471" i="6"/>
  <c r="T1470" i="6"/>
  <c r="L1470" i="6"/>
  <c r="A1470" i="6"/>
  <c r="M1469" i="6"/>
  <c r="B1469" i="6"/>
  <c r="N1468" i="6"/>
  <c r="B1468" i="6"/>
  <c r="N1467" i="6"/>
  <c r="B1467" i="6"/>
  <c r="N1466" i="6"/>
  <c r="C1466" i="6"/>
  <c r="O1465" i="6"/>
  <c r="D1465" i="6"/>
  <c r="P1464" i="6"/>
  <c r="D1464" i="6"/>
  <c r="P1463" i="6"/>
  <c r="D1463" i="6"/>
  <c r="P1462" i="6"/>
  <c r="D1462" i="6"/>
  <c r="P1461" i="6"/>
  <c r="D1461" i="6"/>
  <c r="P1460" i="6"/>
  <c r="D1460" i="6"/>
  <c r="P1459" i="6"/>
  <c r="D1459" i="6"/>
  <c r="P1458" i="6"/>
  <c r="D1458" i="6"/>
  <c r="P1457" i="6"/>
  <c r="D1457" i="6"/>
  <c r="P1456" i="6"/>
  <c r="D1456" i="6"/>
  <c r="P1455" i="6"/>
  <c r="D1455" i="6"/>
  <c r="P1454" i="6"/>
  <c r="D1454" i="6"/>
  <c r="P1453" i="6"/>
  <c r="D1453" i="6"/>
  <c r="P1452" i="6"/>
  <c r="D1452" i="6"/>
  <c r="P1451" i="6"/>
  <c r="D1451" i="6"/>
  <c r="P1450" i="6"/>
  <c r="D1450" i="6"/>
  <c r="P1449" i="6"/>
  <c r="D1449" i="6"/>
  <c r="P1448" i="6"/>
  <c r="D1448" i="6"/>
  <c r="P1447" i="6"/>
  <c r="E1447" i="6"/>
  <c r="Q1446" i="6"/>
  <c r="F1446" i="6"/>
  <c r="R1445" i="6"/>
  <c r="H1445" i="6"/>
  <c r="R1444" i="6"/>
  <c r="H1444" i="6"/>
  <c r="R1443" i="6"/>
  <c r="H1443" i="6"/>
  <c r="R1442" i="6"/>
  <c r="H1442" i="6"/>
  <c r="R1441" i="6"/>
  <c r="H1441" i="6"/>
  <c r="R1440" i="6"/>
  <c r="H1440" i="6"/>
  <c r="R1439" i="6"/>
  <c r="H1439" i="6"/>
  <c r="R1438" i="6"/>
  <c r="E1438" i="6"/>
  <c r="Q1437" i="6"/>
  <c r="D1437" i="6"/>
  <c r="P1436" i="6"/>
  <c r="C1436" i="6"/>
  <c r="O1435" i="6"/>
  <c r="B1435" i="6"/>
  <c r="N1434" i="6"/>
  <c r="A1434" i="6"/>
  <c r="M1433" i="6"/>
  <c r="T1432" i="6"/>
  <c r="L1432" i="6"/>
  <c r="S1431" i="6"/>
  <c r="H1431" i="6"/>
  <c r="R1430" i="6"/>
  <c r="E1430" i="6"/>
  <c r="Q1429" i="6"/>
  <c r="D1429" i="6"/>
  <c r="P1428" i="6"/>
  <c r="C1428" i="6"/>
  <c r="O1427" i="6"/>
  <c r="B1427" i="6"/>
  <c r="N1426" i="6"/>
  <c r="B1426" i="6"/>
  <c r="N1425" i="6"/>
  <c r="B1425" i="6"/>
  <c r="N1424" i="6"/>
  <c r="B1424" i="6"/>
  <c r="N1423" i="6"/>
  <c r="B1423" i="6"/>
  <c r="N1422" i="6"/>
  <c r="A1422" i="6"/>
  <c r="M1421" i="6"/>
  <c r="T1420" i="6"/>
  <c r="L1420" i="6"/>
  <c r="T1419" i="6"/>
  <c r="L1419" i="6"/>
  <c r="T1418" i="6"/>
  <c r="L1418" i="6"/>
  <c r="S1417" i="6"/>
  <c r="H1417" i="6"/>
  <c r="L1548" i="6"/>
  <c r="S1547" i="6"/>
  <c r="H1547" i="6"/>
  <c r="R1546" i="6"/>
  <c r="E1546" i="6"/>
  <c r="Q1545" i="6"/>
  <c r="D1545" i="6"/>
  <c r="P1544" i="6"/>
  <c r="C1544" i="6"/>
  <c r="O1543" i="6"/>
  <c r="B1543" i="6"/>
  <c r="N1542" i="6"/>
  <c r="A1542" i="6"/>
  <c r="M1541" i="6"/>
  <c r="A1541" i="6"/>
  <c r="M1540" i="6"/>
  <c r="A1540" i="6"/>
  <c r="M1539" i="6"/>
  <c r="T1538" i="6"/>
  <c r="L1538" i="6"/>
  <c r="S1537" i="6"/>
  <c r="H1537" i="6"/>
  <c r="R1536" i="6"/>
  <c r="E1536" i="6"/>
  <c r="Q1535" i="6"/>
  <c r="D1535" i="6"/>
  <c r="P1534" i="6"/>
  <c r="D1534" i="6"/>
  <c r="P1533" i="6"/>
  <c r="D1533" i="6"/>
  <c r="P1532" i="6"/>
  <c r="C1532" i="6"/>
  <c r="O1531" i="6"/>
  <c r="B1531" i="6"/>
  <c r="N1530" i="6"/>
  <c r="A1530" i="6"/>
  <c r="M1529" i="6"/>
  <c r="T1528" i="6"/>
  <c r="L1528" i="6"/>
  <c r="S1527" i="6"/>
  <c r="H1527" i="6"/>
  <c r="R1526" i="6"/>
  <c r="E1526" i="6"/>
  <c r="Q1525" i="6"/>
  <c r="D1525" i="6"/>
  <c r="P1524" i="6"/>
  <c r="C1524" i="6"/>
  <c r="O1523" i="6"/>
  <c r="B1523" i="6"/>
  <c r="N1522" i="6"/>
  <c r="A1522" i="6"/>
  <c r="M1521" i="6"/>
  <c r="T1520" i="6"/>
  <c r="L1520" i="6"/>
  <c r="S1519" i="6"/>
  <c r="H1519" i="6"/>
  <c r="R1518" i="6"/>
  <c r="E1518" i="6"/>
  <c r="Q1517" i="6"/>
  <c r="D1517" i="6"/>
  <c r="P1516" i="6"/>
  <c r="C1516" i="6"/>
  <c r="O1515" i="6"/>
  <c r="B1515" i="6"/>
  <c r="M1514" i="6"/>
  <c r="A1514" i="6"/>
  <c r="M1513" i="6"/>
  <c r="T1512" i="6"/>
  <c r="L1512" i="6"/>
  <c r="S1511" i="6"/>
  <c r="H1511" i="6"/>
  <c r="R1510" i="6"/>
  <c r="E1510" i="6"/>
  <c r="Q1509" i="6"/>
  <c r="D1509" i="6"/>
  <c r="P1508" i="6"/>
  <c r="C1508" i="6"/>
  <c r="O1507" i="6"/>
  <c r="B1507" i="6"/>
  <c r="N1506" i="6"/>
  <c r="A1506" i="6"/>
  <c r="M1505" i="6"/>
  <c r="T1504" i="6"/>
  <c r="L1504" i="6"/>
  <c r="S1503" i="6"/>
  <c r="H1503" i="6"/>
  <c r="R1502" i="6"/>
  <c r="E1502" i="6"/>
  <c r="Q1501" i="6"/>
  <c r="D1501" i="6"/>
  <c r="P1500" i="6"/>
  <c r="C1500" i="6"/>
  <c r="O1499" i="6"/>
  <c r="B1499" i="6"/>
  <c r="N1498" i="6"/>
  <c r="A1498" i="6"/>
  <c r="M1497" i="6"/>
  <c r="T1496" i="6"/>
  <c r="L1496" i="6"/>
  <c r="S1495" i="6"/>
  <c r="H1495" i="6"/>
  <c r="R1494" i="6"/>
  <c r="E1494" i="6"/>
  <c r="Q1493" i="6"/>
  <c r="D1493" i="6"/>
  <c r="P1492" i="6"/>
  <c r="C1492" i="6"/>
  <c r="O1491" i="6"/>
  <c r="C1491" i="6"/>
  <c r="O1490" i="6"/>
  <c r="B1490" i="6"/>
  <c r="N1489" i="6"/>
  <c r="A1489" i="6"/>
  <c r="M1488" i="6"/>
  <c r="T1487" i="6"/>
  <c r="L1487" i="6"/>
  <c r="T1486" i="6"/>
  <c r="L1486" i="6"/>
  <c r="S1485" i="6"/>
  <c r="H1485" i="6"/>
  <c r="R1484" i="6"/>
  <c r="E1484" i="6"/>
  <c r="Q1483" i="6"/>
  <c r="E1483" i="6"/>
  <c r="Q1482" i="6"/>
  <c r="E1482" i="6"/>
  <c r="Q1481" i="6"/>
  <c r="E1481" i="6"/>
  <c r="Q1480" i="6"/>
  <c r="E1480" i="6"/>
  <c r="Q1479" i="6"/>
  <c r="E1479" i="6"/>
  <c r="Q1478" i="6"/>
  <c r="E1478" i="6"/>
  <c r="Q1477" i="6"/>
  <c r="E1477" i="6"/>
  <c r="Q1476" i="6"/>
  <c r="E1476" i="6"/>
  <c r="Q1475" i="6"/>
  <c r="G1475" i="6"/>
  <c r="R1474" i="6"/>
  <c r="H1474" i="6"/>
  <c r="S1473" i="6"/>
  <c r="I1473" i="6"/>
  <c r="S1472" i="6"/>
  <c r="I1472" i="6"/>
  <c r="S1471" i="6"/>
  <c r="I1471" i="6"/>
  <c r="S1470" i="6"/>
  <c r="I1470" i="6"/>
  <c r="T1469" i="6"/>
  <c r="L1469" i="6"/>
  <c r="A1469" i="6"/>
  <c r="M1468" i="6"/>
  <c r="A1468" i="6"/>
  <c r="M1467" i="6"/>
  <c r="A1467" i="6"/>
  <c r="M1466" i="6"/>
  <c r="B1466" i="6"/>
  <c r="N1465" i="6"/>
  <c r="C1465" i="6"/>
  <c r="O1464" i="6"/>
  <c r="C1464" i="6"/>
  <c r="O1463" i="6"/>
  <c r="C1463" i="6"/>
  <c r="O1462" i="6"/>
  <c r="C1462" i="6"/>
  <c r="O1461" i="6"/>
  <c r="C1461" i="6"/>
  <c r="O1460" i="6"/>
  <c r="C1460" i="6"/>
  <c r="O1459" i="6"/>
  <c r="C1459" i="6"/>
  <c r="O1458" i="6"/>
  <c r="C1458" i="6"/>
  <c r="O1457" i="6"/>
  <c r="C1457" i="6"/>
  <c r="O1456" i="6"/>
  <c r="C1456" i="6"/>
  <c r="O1455" i="6"/>
  <c r="C1455" i="6"/>
  <c r="O1454" i="6"/>
  <c r="C1454" i="6"/>
  <c r="O1453" i="6"/>
  <c r="C1453" i="6"/>
  <c r="O1452" i="6"/>
  <c r="C1452" i="6"/>
  <c r="O1451" i="6"/>
  <c r="C1451" i="6"/>
  <c r="O1450" i="6"/>
  <c r="C1450" i="6"/>
  <c r="O1449" i="6"/>
  <c r="C1449" i="6"/>
  <c r="O1448" i="6"/>
  <c r="C1448" i="6"/>
  <c r="O1447" i="6"/>
  <c r="D1447" i="6"/>
  <c r="P1446" i="6"/>
  <c r="E1446" i="6"/>
  <c r="Q1445" i="6"/>
  <c r="E1445" i="6"/>
  <c r="Q1444" i="6"/>
  <c r="E1444" i="6"/>
  <c r="Q1443" i="6"/>
  <c r="E1443" i="6"/>
  <c r="Q1442" i="6"/>
  <c r="E1442" i="6"/>
  <c r="Q1441" i="6"/>
  <c r="E1441" i="6"/>
  <c r="Q1440" i="6"/>
  <c r="E1440" i="6"/>
  <c r="Q1439" i="6"/>
  <c r="E1439" i="6"/>
  <c r="Q1438" i="6"/>
  <c r="D1438" i="6"/>
  <c r="P1437" i="6"/>
  <c r="C1437" i="6"/>
  <c r="O1436" i="6"/>
  <c r="B1436" i="6"/>
  <c r="N1435" i="6"/>
  <c r="A1435" i="6"/>
  <c r="M1434" i="6"/>
  <c r="T1433" i="6"/>
  <c r="L1433" i="6"/>
  <c r="S1432" i="6"/>
  <c r="H1432" i="6"/>
  <c r="R1431" i="6"/>
  <c r="E1431" i="6"/>
  <c r="Q1430" i="6"/>
  <c r="D1430" i="6"/>
  <c r="P1429" i="6"/>
  <c r="C1429" i="6"/>
  <c r="O1428" i="6"/>
  <c r="B1428" i="6"/>
  <c r="N1427" i="6"/>
  <c r="A1427" i="6"/>
  <c r="M1426" i="6"/>
  <c r="A1426" i="6"/>
  <c r="M1425" i="6"/>
  <c r="A1425" i="6"/>
  <c r="M1424" i="6"/>
  <c r="A1424" i="6"/>
  <c r="M1423" i="6"/>
  <c r="A1423" i="6"/>
  <c r="M1422" i="6"/>
  <c r="T1421" i="6"/>
  <c r="L1421" i="6"/>
  <c r="S1420" i="6"/>
  <c r="H1420" i="6"/>
  <c r="S1419" i="6"/>
  <c r="H1419" i="6"/>
  <c r="S1418" i="6"/>
  <c r="H1418" i="6"/>
  <c r="H1548" i="6"/>
  <c r="R1547" i="6"/>
  <c r="E1547" i="6"/>
  <c r="Q1546" i="6"/>
  <c r="D1546" i="6"/>
  <c r="P1545" i="6"/>
  <c r="C1545" i="6"/>
  <c r="O1544" i="6"/>
  <c r="B1544" i="6"/>
  <c r="N1543" i="6"/>
  <c r="A1543" i="6"/>
  <c r="M1542" i="6"/>
  <c r="T1541" i="6"/>
  <c r="L1541" i="6"/>
  <c r="T1540" i="6"/>
  <c r="L1540" i="6"/>
  <c r="T1539" i="6"/>
  <c r="L1539" i="6"/>
  <c r="S1538" i="6"/>
  <c r="H1538" i="6"/>
  <c r="R1537" i="6"/>
  <c r="E1537" i="6"/>
  <c r="Q1536" i="6"/>
  <c r="D1536" i="6"/>
  <c r="P1535" i="6"/>
  <c r="C1535" i="6"/>
  <c r="O1534" i="6"/>
  <c r="C1534" i="6"/>
  <c r="O1533" i="6"/>
  <c r="C1533" i="6"/>
  <c r="O1532" i="6"/>
  <c r="B1532" i="6"/>
  <c r="N1531" i="6"/>
  <c r="A1531" i="6"/>
  <c r="M1530" i="6"/>
  <c r="T1529" i="6"/>
  <c r="L1529" i="6"/>
  <c r="S1528" i="6"/>
  <c r="H1528" i="6"/>
  <c r="R1527" i="6"/>
  <c r="E1527" i="6"/>
  <c r="Q1526" i="6"/>
  <c r="D1526" i="6"/>
  <c r="P1525" i="6"/>
  <c r="C1525" i="6"/>
  <c r="O1524" i="6"/>
  <c r="B1524" i="6"/>
  <c r="N1523" i="6"/>
  <c r="A1523" i="6"/>
  <c r="M1522" i="6"/>
  <c r="T1521" i="6"/>
  <c r="L1521" i="6"/>
  <c r="S1520" i="6"/>
  <c r="H1520" i="6"/>
  <c r="R1519" i="6"/>
  <c r="E1519" i="6"/>
  <c r="Q1518" i="6"/>
  <c r="D1518" i="6"/>
  <c r="P1517" i="6"/>
  <c r="C1517" i="6"/>
  <c r="O1516" i="6"/>
  <c r="B1516" i="6"/>
  <c r="N1515" i="6"/>
  <c r="A1515" i="6"/>
  <c r="L1514" i="6"/>
  <c r="T1513" i="6"/>
  <c r="L1513" i="6"/>
  <c r="S1512" i="6"/>
  <c r="H1512" i="6"/>
  <c r="R1511" i="6"/>
  <c r="E1511" i="6"/>
  <c r="Q1510" i="6"/>
  <c r="D1510" i="6"/>
  <c r="P1509" i="6"/>
  <c r="C1509" i="6"/>
  <c r="O1508" i="6"/>
  <c r="B1508" i="6"/>
  <c r="N1507" i="6"/>
  <c r="A1507" i="6"/>
  <c r="M1506" i="6"/>
  <c r="T1505" i="6"/>
  <c r="L1505" i="6"/>
  <c r="S1504" i="6"/>
  <c r="H1504" i="6"/>
  <c r="R1503" i="6"/>
  <c r="E1503" i="6"/>
  <c r="Q1502" i="6"/>
  <c r="D1502" i="6"/>
  <c r="P1501" i="6"/>
  <c r="C1501" i="6"/>
  <c r="O1500" i="6"/>
  <c r="B1500" i="6"/>
  <c r="N1499" i="6"/>
  <c r="A1499" i="6"/>
  <c r="M1498" i="6"/>
  <c r="T1497" i="6"/>
  <c r="L1497" i="6"/>
  <c r="S1496" i="6"/>
  <c r="H1496" i="6"/>
  <c r="R1495" i="6"/>
  <c r="E1495" i="6"/>
  <c r="Q1494" i="6"/>
  <c r="D1494" i="6"/>
  <c r="P1493" i="6"/>
  <c r="C1493" i="6"/>
  <c r="O1492" i="6"/>
  <c r="B1492" i="6"/>
  <c r="N1491" i="6"/>
  <c r="B1491" i="6"/>
  <c r="N1490" i="6"/>
  <c r="A1490" i="6"/>
  <c r="M1489" i="6"/>
  <c r="T1488" i="6"/>
  <c r="L1488" i="6"/>
  <c r="S1487" i="6"/>
  <c r="I1487" i="6"/>
  <c r="S1486" i="6"/>
  <c r="H1486" i="6"/>
  <c r="R1485" i="6"/>
  <c r="E1485" i="6"/>
  <c r="Q1484" i="6"/>
  <c r="D1484" i="6"/>
  <c r="P1483" i="6"/>
  <c r="D1483" i="6"/>
  <c r="P1482" i="6"/>
  <c r="D1482" i="6"/>
  <c r="P1481" i="6"/>
  <c r="D1481" i="6"/>
  <c r="P1480" i="6"/>
  <c r="D1480" i="6"/>
  <c r="P1479" i="6"/>
  <c r="D1479" i="6"/>
  <c r="P1478" i="6"/>
  <c r="D1478" i="6"/>
  <c r="P1477" i="6"/>
  <c r="D1477" i="6"/>
  <c r="P1476" i="6"/>
  <c r="D1476" i="6"/>
  <c r="P1475" i="6"/>
  <c r="E1475" i="6"/>
  <c r="Q1474" i="6"/>
  <c r="F1474" i="6"/>
  <c r="R1473" i="6"/>
  <c r="H1473" i="6"/>
  <c r="R1472" i="6"/>
  <c r="H1472" i="6"/>
  <c r="R1471" i="6"/>
  <c r="H1471" i="6"/>
  <c r="R1470" i="6"/>
  <c r="H1470" i="6"/>
  <c r="S1469" i="6"/>
  <c r="I1469" i="6"/>
  <c r="T1468" i="6"/>
  <c r="L1468" i="6"/>
  <c r="T1467" i="6"/>
  <c r="L1467" i="6"/>
  <c r="T1466" i="6"/>
  <c r="L1466" i="6"/>
  <c r="A1466" i="6"/>
  <c r="M1465" i="6"/>
  <c r="B1465" i="6"/>
  <c r="N1464" i="6"/>
  <c r="B1464" i="6"/>
  <c r="N1463" i="6"/>
  <c r="B1463" i="6"/>
  <c r="N1462" i="6"/>
  <c r="B1462" i="6"/>
  <c r="N1461" i="6"/>
  <c r="B1461" i="6"/>
  <c r="N1460" i="6"/>
  <c r="B1460" i="6"/>
  <c r="N1459" i="6"/>
  <c r="B1459" i="6"/>
  <c r="N1458" i="6"/>
  <c r="B1458" i="6"/>
  <c r="N1457" i="6"/>
  <c r="B1457" i="6"/>
  <c r="N1456" i="6"/>
  <c r="B1456" i="6"/>
  <c r="N1455" i="6"/>
  <c r="B1455" i="6"/>
  <c r="N1454" i="6"/>
  <c r="B1454" i="6"/>
  <c r="N1453" i="6"/>
  <c r="B1453" i="6"/>
  <c r="N1452" i="6"/>
  <c r="B1452" i="6"/>
  <c r="N1451" i="6"/>
  <c r="B1451" i="6"/>
  <c r="N1450" i="6"/>
  <c r="B1450" i="6"/>
  <c r="N1449" i="6"/>
  <c r="B1449" i="6"/>
  <c r="N1448" i="6"/>
  <c r="B1448" i="6"/>
  <c r="N1447" i="6"/>
  <c r="C1447" i="6"/>
  <c r="O1446" i="6"/>
  <c r="D1446" i="6"/>
  <c r="P1445" i="6"/>
  <c r="D1445" i="6"/>
  <c r="P1444" i="6"/>
  <c r="D1444" i="6"/>
  <c r="P1443" i="6"/>
  <c r="D1443" i="6"/>
  <c r="P1442" i="6"/>
  <c r="D1442" i="6"/>
  <c r="P1441" i="6"/>
  <c r="D1441" i="6"/>
  <c r="P1440" i="6"/>
  <c r="D1440" i="6"/>
  <c r="P1439" i="6"/>
  <c r="D1439" i="6"/>
  <c r="P1438" i="6"/>
  <c r="C1438" i="6"/>
  <c r="O1437" i="6"/>
  <c r="B1437" i="6"/>
  <c r="N1436" i="6"/>
  <c r="A1436" i="6"/>
  <c r="M1435" i="6"/>
  <c r="T1434" i="6"/>
  <c r="L1434" i="6"/>
  <c r="S1433" i="6"/>
  <c r="H1433" i="6"/>
  <c r="R1432" i="6"/>
  <c r="E1432" i="6"/>
  <c r="Q1431" i="6"/>
  <c r="D1431" i="6"/>
  <c r="P1430" i="6"/>
  <c r="C1430" i="6"/>
  <c r="O1429" i="6"/>
  <c r="B1429" i="6"/>
  <c r="N1428" i="6"/>
  <c r="A1428" i="6"/>
  <c r="M1427" i="6"/>
  <c r="T1426" i="6"/>
  <c r="L1426" i="6"/>
  <c r="T1425" i="6"/>
  <c r="L1425" i="6"/>
  <c r="T1424" i="6"/>
  <c r="L1424" i="6"/>
  <c r="T1423" i="6"/>
  <c r="L1423" i="6"/>
  <c r="T1422" i="6"/>
  <c r="L1422" i="6"/>
  <c r="S1421" i="6"/>
  <c r="E1548" i="6"/>
  <c r="A1544" i="6"/>
  <c r="S1539" i="6"/>
  <c r="O1535" i="6"/>
  <c r="M1531" i="6"/>
  <c r="D1527" i="6"/>
  <c r="T1522" i="6"/>
  <c r="P1518" i="6"/>
  <c r="I1514" i="6"/>
  <c r="C1510" i="6"/>
  <c r="S1505" i="6"/>
  <c r="O1501" i="6"/>
  <c r="H1497" i="6"/>
  <c r="B1493" i="6"/>
  <c r="S1488" i="6"/>
  <c r="P1484" i="6"/>
  <c r="O1480" i="6"/>
  <c r="O1476" i="6"/>
  <c r="Q1472" i="6"/>
  <c r="S1468" i="6"/>
  <c r="A1465" i="6"/>
  <c r="A1461" i="6"/>
  <c r="A1457" i="6"/>
  <c r="A1453" i="6"/>
  <c r="A1449" i="6"/>
  <c r="C1445" i="6"/>
  <c r="C1441" i="6"/>
  <c r="A1437" i="6"/>
  <c r="Q1432" i="6"/>
  <c r="M1428" i="6"/>
  <c r="H1424" i="6"/>
  <c r="R1420" i="6"/>
  <c r="E1419" i="6"/>
  <c r="D1418" i="6"/>
  <c r="E1417" i="6"/>
  <c r="Q1416" i="6"/>
  <c r="D1416" i="6"/>
  <c r="P1415" i="6"/>
  <c r="C1415" i="6"/>
  <c r="O1414" i="6"/>
  <c r="B1414" i="6"/>
  <c r="N1413" i="6"/>
  <c r="A1413" i="6"/>
  <c r="M1412" i="6"/>
  <c r="T1411" i="6"/>
  <c r="L1411" i="6"/>
  <c r="S1410" i="6"/>
  <c r="H1410" i="6"/>
  <c r="R1409" i="6"/>
  <c r="E1409" i="6"/>
  <c r="Q1408" i="6"/>
  <c r="D1408" i="6"/>
  <c r="P1407" i="6"/>
  <c r="C1407" i="6"/>
  <c r="O1406" i="6"/>
  <c r="B1406" i="6"/>
  <c r="N1405" i="6"/>
  <c r="B1405" i="6"/>
  <c r="N1404" i="6"/>
  <c r="B1404" i="6"/>
  <c r="N1403" i="6"/>
  <c r="B1403" i="6"/>
  <c r="N1402" i="6"/>
  <c r="A1402" i="6"/>
  <c r="M1401" i="6"/>
  <c r="T1400" i="6"/>
  <c r="L1400" i="6"/>
  <c r="S1399" i="6"/>
  <c r="H1399" i="6"/>
  <c r="R1398" i="6"/>
  <c r="E1398" i="6"/>
  <c r="Q1397" i="6"/>
  <c r="D1397" i="6"/>
  <c r="P1396" i="6"/>
  <c r="C1396" i="6"/>
  <c r="O1395" i="6"/>
  <c r="B1395" i="6"/>
  <c r="N1394" i="6"/>
  <c r="A1394" i="6"/>
  <c r="L1393" i="6"/>
  <c r="R1392" i="6"/>
  <c r="E1392" i="6"/>
  <c r="Q1391" i="6"/>
  <c r="E1391" i="6"/>
  <c r="Q1390" i="6"/>
  <c r="D1390" i="6"/>
  <c r="P1389" i="6"/>
  <c r="C1389" i="6"/>
  <c r="O1388" i="6"/>
  <c r="B1388" i="6"/>
  <c r="N1387" i="6"/>
  <c r="A1387" i="6"/>
  <c r="L1386" i="6"/>
  <c r="T1385" i="6"/>
  <c r="L1385" i="6"/>
  <c r="T1384" i="6"/>
  <c r="L1384" i="6"/>
  <c r="S1383" i="6"/>
  <c r="H1383" i="6"/>
  <c r="R1382" i="6"/>
  <c r="E1382" i="6"/>
  <c r="Q1381" i="6"/>
  <c r="E1381" i="6"/>
  <c r="Q1380" i="6"/>
  <c r="E1380" i="6"/>
  <c r="Q1379" i="6"/>
  <c r="D1379" i="6"/>
  <c r="P1378" i="6"/>
  <c r="C1378" i="6"/>
  <c r="O1377" i="6"/>
  <c r="B1377" i="6"/>
  <c r="M1376" i="6"/>
  <c r="T1375" i="6"/>
  <c r="L1375" i="6"/>
  <c r="S1374" i="6"/>
  <c r="H1374" i="6"/>
  <c r="R1373" i="6"/>
  <c r="E1373" i="6"/>
  <c r="Q1372" i="6"/>
  <c r="E1372" i="6"/>
  <c r="Q1371" i="6"/>
  <c r="E1371" i="6"/>
  <c r="Q1370" i="6"/>
  <c r="D1370" i="6"/>
  <c r="P1369" i="6"/>
  <c r="C1369" i="6"/>
  <c r="O1368" i="6"/>
  <c r="B1368" i="6"/>
  <c r="N1367" i="6"/>
  <c r="A1367" i="6"/>
  <c r="M1366" i="6"/>
  <c r="T1365" i="6"/>
  <c r="L1365" i="6"/>
  <c r="R1364" i="6"/>
  <c r="E1364" i="6"/>
  <c r="O1363" i="6"/>
  <c r="C1363" i="6"/>
  <c r="O1362" i="6"/>
  <c r="C1362" i="6"/>
  <c r="O1361" i="6"/>
  <c r="B1361" i="6"/>
  <c r="N1360" i="6"/>
  <c r="A1360" i="6"/>
  <c r="M1359" i="6"/>
  <c r="S1358" i="6"/>
  <c r="H1358" i="6"/>
  <c r="R1357" i="6"/>
  <c r="E1357" i="6"/>
  <c r="Q1356" i="6"/>
  <c r="D1356" i="6"/>
  <c r="P1355" i="6"/>
  <c r="D1355" i="6"/>
  <c r="P1354" i="6"/>
  <c r="C1354" i="6"/>
  <c r="O1353" i="6"/>
  <c r="B1353" i="6"/>
  <c r="N1352" i="6"/>
  <c r="B1352" i="6"/>
  <c r="N1351" i="6"/>
  <c r="A1351" i="6"/>
  <c r="M1350" i="6"/>
  <c r="T1349" i="6"/>
  <c r="L1349" i="6"/>
  <c r="T1348" i="6"/>
  <c r="L1348" i="6"/>
  <c r="S1347" i="6"/>
  <c r="H1347" i="6"/>
  <c r="R1346" i="6"/>
  <c r="E1346" i="6"/>
  <c r="Q1345" i="6"/>
  <c r="D1345" i="6"/>
  <c r="P1344" i="6"/>
  <c r="D1344" i="6"/>
  <c r="P1343" i="6"/>
  <c r="C1343" i="6"/>
  <c r="O1342" i="6"/>
  <c r="B1342" i="6"/>
  <c r="N1341" i="6"/>
  <c r="A1341" i="6"/>
  <c r="M1340" i="6"/>
  <c r="T1339" i="6"/>
  <c r="L1339" i="6"/>
  <c r="S1338" i="6"/>
  <c r="H1338" i="6"/>
  <c r="R1337" i="6"/>
  <c r="H1337" i="6"/>
  <c r="R1336" i="6"/>
  <c r="E1336" i="6"/>
  <c r="P1335" i="6"/>
  <c r="E1335" i="6"/>
  <c r="Q1334" i="6"/>
  <c r="E1334" i="6"/>
  <c r="Q1333" i="6"/>
  <c r="D1333" i="6"/>
  <c r="P1332" i="6"/>
  <c r="C1332" i="6"/>
  <c r="O1331" i="6"/>
  <c r="B1331" i="6"/>
  <c r="N1330" i="6"/>
  <c r="A1330" i="6"/>
  <c r="M1329" i="6"/>
  <c r="S1328" i="6"/>
  <c r="I1328" i="6"/>
  <c r="R1327" i="6"/>
  <c r="H1327" i="6"/>
  <c r="R1326" i="6"/>
  <c r="E1326" i="6"/>
  <c r="Q1325" i="6"/>
  <c r="D1325" i="6"/>
  <c r="P1324" i="6"/>
  <c r="C1324" i="6"/>
  <c r="N1323" i="6"/>
  <c r="B1323" i="6"/>
  <c r="N1322" i="6"/>
  <c r="A1322" i="6"/>
  <c r="M1321" i="6"/>
  <c r="S1320" i="6"/>
  <c r="H1320" i="6"/>
  <c r="Q1319" i="6"/>
  <c r="D1319" i="6"/>
  <c r="P1318" i="6"/>
  <c r="C1318" i="6"/>
  <c r="O1317" i="6"/>
  <c r="B1317" i="6"/>
  <c r="N1316" i="6"/>
  <c r="A1316" i="6"/>
  <c r="L1315" i="6"/>
  <c r="R1314" i="6"/>
  <c r="E1314" i="6"/>
  <c r="P1313" i="6"/>
  <c r="C1313" i="6"/>
  <c r="N1312" i="6"/>
  <c r="A1312" i="6"/>
  <c r="M1311" i="6"/>
  <c r="T1310" i="6"/>
  <c r="L1310" i="6"/>
  <c r="S1309" i="6"/>
  <c r="H1309" i="6"/>
  <c r="R1308" i="6"/>
  <c r="H1308" i="6"/>
  <c r="R1307" i="6"/>
  <c r="H1307" i="6"/>
  <c r="R1306" i="6"/>
  <c r="E1306" i="6"/>
  <c r="Q1305" i="6"/>
  <c r="E1305" i="6"/>
  <c r="Q1304" i="6"/>
  <c r="D1304" i="6"/>
  <c r="P1303" i="6"/>
  <c r="C1303" i="6"/>
  <c r="O1302" i="6"/>
  <c r="B1302" i="6"/>
  <c r="N1301" i="6"/>
  <c r="Q1547" i="6"/>
  <c r="M1543" i="6"/>
  <c r="H1539" i="6"/>
  <c r="B1535" i="6"/>
  <c r="T1530" i="6"/>
  <c r="P1526" i="6"/>
  <c r="L1522" i="6"/>
  <c r="C1518" i="6"/>
  <c r="S1513" i="6"/>
  <c r="O1509" i="6"/>
  <c r="H1505" i="6"/>
  <c r="B1501" i="6"/>
  <c r="R1496" i="6"/>
  <c r="N1492" i="6"/>
  <c r="H1488" i="6"/>
  <c r="C1484" i="6"/>
  <c r="C1480" i="6"/>
  <c r="C1476" i="6"/>
  <c r="E1472" i="6"/>
  <c r="I1468" i="6"/>
  <c r="M1464" i="6"/>
  <c r="M1460" i="6"/>
  <c r="M1456" i="6"/>
  <c r="M1452" i="6"/>
  <c r="M1448" i="6"/>
  <c r="O1444" i="6"/>
  <c r="O1440" i="6"/>
  <c r="M1436" i="6"/>
  <c r="D1432" i="6"/>
  <c r="T1427" i="6"/>
  <c r="S1423" i="6"/>
  <c r="Q1420" i="6"/>
  <c r="C1419" i="6"/>
  <c r="B1418" i="6"/>
  <c r="D1417" i="6"/>
  <c r="P1416" i="6"/>
  <c r="C1416" i="6"/>
  <c r="O1415" i="6"/>
  <c r="B1415" i="6"/>
  <c r="N1414" i="6"/>
  <c r="A1414" i="6"/>
  <c r="M1413" i="6"/>
  <c r="T1412" i="6"/>
  <c r="L1412" i="6"/>
  <c r="S1411" i="6"/>
  <c r="H1411" i="6"/>
  <c r="R1410" i="6"/>
  <c r="E1410" i="6"/>
  <c r="Q1409" i="6"/>
  <c r="D1409" i="6"/>
  <c r="P1408" i="6"/>
  <c r="C1408" i="6"/>
  <c r="O1407" i="6"/>
  <c r="B1407" i="6"/>
  <c r="N1406" i="6"/>
  <c r="A1406" i="6"/>
  <c r="M1405" i="6"/>
  <c r="A1405" i="6"/>
  <c r="M1404" i="6"/>
  <c r="A1404" i="6"/>
  <c r="M1403" i="6"/>
  <c r="A1403" i="6"/>
  <c r="M1402" i="6"/>
  <c r="T1401" i="6"/>
  <c r="L1401" i="6"/>
  <c r="S1400" i="6"/>
  <c r="H1400" i="6"/>
  <c r="R1399" i="6"/>
  <c r="E1399" i="6"/>
  <c r="Q1398" i="6"/>
  <c r="D1398" i="6"/>
  <c r="P1397" i="6"/>
  <c r="C1397" i="6"/>
  <c r="O1396" i="6"/>
  <c r="B1396" i="6"/>
  <c r="N1395" i="6"/>
  <c r="A1395" i="6"/>
  <c r="M1394" i="6"/>
  <c r="S1393" i="6"/>
  <c r="H1393" i="6"/>
  <c r="Q1392" i="6"/>
  <c r="D1392" i="6"/>
  <c r="P1391" i="6"/>
  <c r="D1391" i="6"/>
  <c r="P1390" i="6"/>
  <c r="C1390" i="6"/>
  <c r="O1389" i="6"/>
  <c r="B1389" i="6"/>
  <c r="N1388" i="6"/>
  <c r="A1388" i="6"/>
  <c r="M1387" i="6"/>
  <c r="S1386" i="6"/>
  <c r="I1386" i="6"/>
  <c r="S1385" i="6"/>
  <c r="I1385" i="6"/>
  <c r="S1384" i="6"/>
  <c r="H1384" i="6"/>
  <c r="R1383" i="6"/>
  <c r="E1383" i="6"/>
  <c r="Q1382" i="6"/>
  <c r="D1382" i="6"/>
  <c r="P1381" i="6"/>
  <c r="D1381" i="6"/>
  <c r="P1380" i="6"/>
  <c r="D1380" i="6"/>
  <c r="P1379" i="6"/>
  <c r="C1379" i="6"/>
  <c r="O1378" i="6"/>
  <c r="B1378" i="6"/>
  <c r="N1377" i="6"/>
  <c r="A1377" i="6"/>
  <c r="L1376" i="6"/>
  <c r="S1375" i="6"/>
  <c r="H1375" i="6"/>
  <c r="R1374" i="6"/>
  <c r="E1374" i="6"/>
  <c r="Q1373" i="6"/>
  <c r="D1373" i="6"/>
  <c r="P1372" i="6"/>
  <c r="D1372" i="6"/>
  <c r="P1371" i="6"/>
  <c r="D1371" i="6"/>
  <c r="P1370" i="6"/>
  <c r="C1370" i="6"/>
  <c r="O1369" i="6"/>
  <c r="B1369" i="6"/>
  <c r="N1368" i="6"/>
  <c r="A1368" i="6"/>
  <c r="M1367" i="6"/>
  <c r="T1366" i="6"/>
  <c r="L1366" i="6"/>
  <c r="S1365" i="6"/>
  <c r="H1365" i="6"/>
  <c r="Q1364" i="6"/>
  <c r="D1364" i="6"/>
  <c r="N1363" i="6"/>
  <c r="B1363" i="6"/>
  <c r="N1362" i="6"/>
  <c r="B1362" i="6"/>
  <c r="N1361" i="6"/>
  <c r="A1361" i="6"/>
  <c r="M1360" i="6"/>
  <c r="T1359" i="6"/>
  <c r="L1359" i="6"/>
  <c r="R1358" i="6"/>
  <c r="E1358" i="6"/>
  <c r="Q1357" i="6"/>
  <c r="D1357" i="6"/>
  <c r="P1356" i="6"/>
  <c r="C1356" i="6"/>
  <c r="O1355" i="6"/>
  <c r="C1355" i="6"/>
  <c r="O1354" i="6"/>
  <c r="B1354" i="6"/>
  <c r="N1353" i="6"/>
  <c r="A1353" i="6"/>
  <c r="M1352" i="6"/>
  <c r="A1352" i="6"/>
  <c r="M1351" i="6"/>
  <c r="T1350" i="6"/>
  <c r="L1350" i="6"/>
  <c r="S1349" i="6"/>
  <c r="I1349" i="6"/>
  <c r="S1348" i="6"/>
  <c r="H1348" i="6"/>
  <c r="R1347" i="6"/>
  <c r="E1347" i="6"/>
  <c r="Q1346" i="6"/>
  <c r="D1346" i="6"/>
  <c r="P1345" i="6"/>
  <c r="C1345" i="6"/>
  <c r="O1344" i="6"/>
  <c r="C1344" i="6"/>
  <c r="O1343" i="6"/>
  <c r="B1343" i="6"/>
  <c r="N1342" i="6"/>
  <c r="A1342" i="6"/>
  <c r="M1341" i="6"/>
  <c r="T1340" i="6"/>
  <c r="L1340" i="6"/>
  <c r="S1339" i="6"/>
  <c r="H1339" i="6"/>
  <c r="R1338" i="6"/>
  <c r="E1338" i="6"/>
  <c r="Q1337" i="6"/>
  <c r="E1337" i="6"/>
  <c r="Q1336" i="6"/>
  <c r="D1336" i="6"/>
  <c r="O1335" i="6"/>
  <c r="D1335" i="6"/>
  <c r="P1334" i="6"/>
  <c r="D1334" i="6"/>
  <c r="P1333" i="6"/>
  <c r="C1333" i="6"/>
  <c r="O1332" i="6"/>
  <c r="B1332" i="6"/>
  <c r="N1331" i="6"/>
  <c r="A1331" i="6"/>
  <c r="M1330" i="6"/>
  <c r="T1329" i="6"/>
  <c r="L1329" i="6"/>
  <c r="R1328" i="6"/>
  <c r="H1328" i="6"/>
  <c r="Q1327" i="6"/>
  <c r="E1327" i="6"/>
  <c r="Q1326" i="6"/>
  <c r="D1326" i="6"/>
  <c r="P1325" i="6"/>
  <c r="C1325" i="6"/>
  <c r="O1324" i="6"/>
  <c r="B1324" i="6"/>
  <c r="M1323" i="6"/>
  <c r="A1323" i="6"/>
  <c r="M1322" i="6"/>
  <c r="T1321" i="6"/>
  <c r="L1321" i="6"/>
  <c r="R1320" i="6"/>
  <c r="E1320" i="6"/>
  <c r="P1319" i="6"/>
  <c r="C1319" i="6"/>
  <c r="O1318" i="6"/>
  <c r="B1318" i="6"/>
  <c r="N1317" i="6"/>
  <c r="A1317" i="6"/>
  <c r="M1316" i="6"/>
  <c r="S1315" i="6"/>
  <c r="H1315" i="6"/>
  <c r="Q1314" i="6"/>
  <c r="D1314" i="6"/>
  <c r="O1313" i="6"/>
  <c r="B1313" i="6"/>
  <c r="M1312" i="6"/>
  <c r="T1311" i="6"/>
  <c r="L1311" i="6"/>
  <c r="S1310" i="6"/>
  <c r="H1310" i="6"/>
  <c r="R1309" i="6"/>
  <c r="E1309" i="6"/>
  <c r="Q1308" i="6"/>
  <c r="E1308" i="6"/>
  <c r="Q1307" i="6"/>
  <c r="E1307" i="6"/>
  <c r="Q1306" i="6"/>
  <c r="D1306" i="6"/>
  <c r="P1305" i="6"/>
  <c r="D1305" i="6"/>
  <c r="P1304" i="6"/>
  <c r="C1304" i="6"/>
  <c r="O1303" i="6"/>
  <c r="B1303" i="6"/>
  <c r="N1302" i="6"/>
  <c r="A1302" i="6"/>
  <c r="M1301" i="6"/>
  <c r="S1300" i="6"/>
  <c r="D1547" i="6"/>
  <c r="T1542" i="6"/>
  <c r="R1538" i="6"/>
  <c r="N1534" i="6"/>
  <c r="L1530" i="6"/>
  <c r="C1526" i="6"/>
  <c r="S1521" i="6"/>
  <c r="O1517" i="6"/>
  <c r="H1513" i="6"/>
  <c r="B1509" i="6"/>
  <c r="R1504" i="6"/>
  <c r="N1500" i="6"/>
  <c r="E1496" i="6"/>
  <c r="A1492" i="6"/>
  <c r="R1487" i="6"/>
  <c r="O1483" i="6"/>
  <c r="O1479" i="6"/>
  <c r="O1475" i="6"/>
  <c r="Q1471" i="6"/>
  <c r="S1467" i="6"/>
  <c r="A1464" i="6"/>
  <c r="A1460" i="6"/>
  <c r="A1456" i="6"/>
  <c r="A1452" i="6"/>
  <c r="A1448" i="6"/>
  <c r="C1444" i="6"/>
  <c r="C1440" i="6"/>
  <c r="T1435" i="6"/>
  <c r="P1431" i="6"/>
  <c r="L1427" i="6"/>
  <c r="H1423" i="6"/>
  <c r="F1420" i="6"/>
  <c r="A1419" i="6"/>
  <c r="T1417" i="6"/>
  <c r="C1417" i="6"/>
  <c r="O1416" i="6"/>
  <c r="B1416" i="6"/>
  <c r="N1415" i="6"/>
  <c r="A1415" i="6"/>
  <c r="M1414" i="6"/>
  <c r="T1413" i="6"/>
  <c r="L1413" i="6"/>
  <c r="S1412" i="6"/>
  <c r="H1412" i="6"/>
  <c r="R1411" i="6"/>
  <c r="E1411" i="6"/>
  <c r="Q1410" i="6"/>
  <c r="D1410" i="6"/>
  <c r="P1409" i="6"/>
  <c r="C1409" i="6"/>
  <c r="O1408" i="6"/>
  <c r="B1408" i="6"/>
  <c r="N1407" i="6"/>
  <c r="A1407" i="6"/>
  <c r="M1406" i="6"/>
  <c r="T1405" i="6"/>
  <c r="L1405" i="6"/>
  <c r="T1404" i="6"/>
  <c r="L1404" i="6"/>
  <c r="T1403" i="6"/>
  <c r="L1403" i="6"/>
  <c r="T1402" i="6"/>
  <c r="L1402" i="6"/>
  <c r="S1401" i="6"/>
  <c r="H1401" i="6"/>
  <c r="R1400" i="6"/>
  <c r="E1400" i="6"/>
  <c r="Q1399" i="6"/>
  <c r="D1399" i="6"/>
  <c r="P1398" i="6"/>
  <c r="C1398" i="6"/>
  <c r="O1397" i="6"/>
  <c r="B1397" i="6"/>
  <c r="N1396" i="6"/>
  <c r="A1396" i="6"/>
  <c r="M1395" i="6"/>
  <c r="T1394" i="6"/>
  <c r="L1394" i="6"/>
  <c r="R1393" i="6"/>
  <c r="E1393" i="6"/>
  <c r="P1392" i="6"/>
  <c r="C1392" i="6"/>
  <c r="O1391" i="6"/>
  <c r="C1391" i="6"/>
  <c r="O1390" i="6"/>
  <c r="B1390" i="6"/>
  <c r="N1389" i="6"/>
  <c r="A1389" i="6"/>
  <c r="M1388" i="6"/>
  <c r="T1387" i="6"/>
  <c r="L1387" i="6"/>
  <c r="R1386" i="6"/>
  <c r="H1386" i="6"/>
  <c r="R1385" i="6"/>
  <c r="H1385" i="6"/>
  <c r="R1384" i="6"/>
  <c r="E1384" i="6"/>
  <c r="Q1383" i="6"/>
  <c r="D1383" i="6"/>
  <c r="P1382" i="6"/>
  <c r="C1382" i="6"/>
  <c r="O1381" i="6"/>
  <c r="C1381" i="6"/>
  <c r="O1380" i="6"/>
  <c r="C1380" i="6"/>
  <c r="O1379" i="6"/>
  <c r="B1379" i="6"/>
  <c r="N1378" i="6"/>
  <c r="A1378" i="6"/>
  <c r="M1377" i="6"/>
  <c r="S1376" i="6"/>
  <c r="H1376" i="6"/>
  <c r="R1375" i="6"/>
  <c r="E1375" i="6"/>
  <c r="Q1374" i="6"/>
  <c r="D1374" i="6"/>
  <c r="P1373" i="6"/>
  <c r="C1373" i="6"/>
  <c r="O1372" i="6"/>
  <c r="C1372" i="6"/>
  <c r="O1371" i="6"/>
  <c r="C1371" i="6"/>
  <c r="O1370" i="6"/>
  <c r="B1370" i="6"/>
  <c r="N1369" i="6"/>
  <c r="A1369" i="6"/>
  <c r="M1368" i="6"/>
  <c r="T1367" i="6"/>
  <c r="L1367" i="6"/>
  <c r="S1366" i="6"/>
  <c r="H1366" i="6"/>
  <c r="R1365" i="6"/>
  <c r="E1365" i="6"/>
  <c r="P1364" i="6"/>
  <c r="C1364" i="6"/>
  <c r="M1363" i="6"/>
  <c r="A1363" i="6"/>
  <c r="M1362" i="6"/>
  <c r="A1362" i="6"/>
  <c r="M1361" i="6"/>
  <c r="T1360" i="6"/>
  <c r="L1360" i="6"/>
  <c r="S1359" i="6"/>
  <c r="H1359" i="6"/>
  <c r="Q1358" i="6"/>
  <c r="D1358" i="6"/>
  <c r="P1357" i="6"/>
  <c r="C1357" i="6"/>
  <c r="O1356" i="6"/>
  <c r="B1356" i="6"/>
  <c r="N1355" i="6"/>
  <c r="B1355" i="6"/>
  <c r="N1354" i="6"/>
  <c r="A1354" i="6"/>
  <c r="M1353" i="6"/>
  <c r="T1352" i="6"/>
  <c r="L1352" i="6"/>
  <c r="T1351" i="6"/>
  <c r="L1351" i="6"/>
  <c r="S1350" i="6"/>
  <c r="H1350" i="6"/>
  <c r="R1349" i="6"/>
  <c r="H1349" i="6"/>
  <c r="R1348" i="6"/>
  <c r="E1348" i="6"/>
  <c r="Q1347" i="6"/>
  <c r="D1347" i="6"/>
  <c r="P1346" i="6"/>
  <c r="C1346" i="6"/>
  <c r="O1345" i="6"/>
  <c r="B1345" i="6"/>
  <c r="N1344" i="6"/>
  <c r="B1344" i="6"/>
  <c r="N1343" i="6"/>
  <c r="A1343" i="6"/>
  <c r="M1342" i="6"/>
  <c r="T1341" i="6"/>
  <c r="L1341" i="6"/>
  <c r="S1340" i="6"/>
  <c r="H1340" i="6"/>
  <c r="R1339" i="6"/>
  <c r="E1339" i="6"/>
  <c r="Q1338" i="6"/>
  <c r="D1338" i="6"/>
  <c r="P1337" i="6"/>
  <c r="D1337" i="6"/>
  <c r="P1336" i="6"/>
  <c r="C1336" i="6"/>
  <c r="N1335" i="6"/>
  <c r="C1335" i="6"/>
  <c r="O1334" i="6"/>
  <c r="C1334" i="6"/>
  <c r="O1333" i="6"/>
  <c r="B1333" i="6"/>
  <c r="N1332" i="6"/>
  <c r="A1332" i="6"/>
  <c r="M1331" i="6"/>
  <c r="T1330" i="6"/>
  <c r="L1330" i="6"/>
  <c r="S1329" i="6"/>
  <c r="H1329" i="6"/>
  <c r="Q1328" i="6"/>
  <c r="E1328" i="6"/>
  <c r="P1327" i="6"/>
  <c r="D1327" i="6"/>
  <c r="P1326" i="6"/>
  <c r="C1326" i="6"/>
  <c r="O1325" i="6"/>
  <c r="B1325" i="6"/>
  <c r="N1324" i="6"/>
  <c r="A1324" i="6"/>
  <c r="L1323" i="6"/>
  <c r="T1322" i="6"/>
  <c r="L1322" i="6"/>
  <c r="S1321" i="6"/>
  <c r="H1321" i="6"/>
  <c r="Q1320" i="6"/>
  <c r="D1320" i="6"/>
  <c r="O1319" i="6"/>
  <c r="B1319" i="6"/>
  <c r="N1318" i="6"/>
  <c r="A1318" i="6"/>
  <c r="M1317" i="6"/>
  <c r="T1316" i="6"/>
  <c r="L1316" i="6"/>
  <c r="R1315" i="6"/>
  <c r="E1315" i="6"/>
  <c r="P1314" i="6"/>
  <c r="C1314" i="6"/>
  <c r="N1313" i="6"/>
  <c r="A1313" i="6"/>
  <c r="L1312" i="6"/>
  <c r="S1311" i="6"/>
  <c r="H1311" i="6"/>
  <c r="R1310" i="6"/>
  <c r="E1310" i="6"/>
  <c r="Q1309" i="6"/>
  <c r="D1309" i="6"/>
  <c r="P1308" i="6"/>
  <c r="D1308" i="6"/>
  <c r="P1307" i="6"/>
  <c r="D1307" i="6"/>
  <c r="P1306" i="6"/>
  <c r="C1306" i="6"/>
  <c r="O1305" i="6"/>
  <c r="C1305" i="6"/>
  <c r="O1304" i="6"/>
  <c r="B1304" i="6"/>
  <c r="N1303" i="6"/>
  <c r="A1303" i="6"/>
  <c r="M1302" i="6"/>
  <c r="T1301" i="6"/>
  <c r="L1301" i="6"/>
  <c r="R1300" i="6"/>
  <c r="P1546" i="6"/>
  <c r="L1542" i="6"/>
  <c r="E1538" i="6"/>
  <c r="B1534" i="6"/>
  <c r="S1529" i="6"/>
  <c r="O1525" i="6"/>
  <c r="H1521" i="6"/>
  <c r="B1517" i="6"/>
  <c r="R1512" i="6"/>
  <c r="N1508" i="6"/>
  <c r="E1504" i="6"/>
  <c r="A1500" i="6"/>
  <c r="Q1495" i="6"/>
  <c r="M1491" i="6"/>
  <c r="H1487" i="6"/>
  <c r="C1483" i="6"/>
  <c r="C1479" i="6"/>
  <c r="D1475" i="6"/>
  <c r="E1471" i="6"/>
  <c r="I1467" i="6"/>
  <c r="M1463" i="6"/>
  <c r="M1459" i="6"/>
  <c r="M1455" i="6"/>
  <c r="M1451" i="6"/>
  <c r="M1447" i="6"/>
  <c r="O1443" i="6"/>
  <c r="O1439" i="6"/>
  <c r="L1435" i="6"/>
  <c r="C1431" i="6"/>
  <c r="S1426" i="6"/>
  <c r="S1422" i="6"/>
  <c r="E1420" i="6"/>
  <c r="R1418" i="6"/>
  <c r="R1417" i="6"/>
  <c r="B1417" i="6"/>
  <c r="N1416" i="6"/>
  <c r="A1416" i="6"/>
  <c r="M1415" i="6"/>
  <c r="T1414" i="6"/>
  <c r="L1414" i="6"/>
  <c r="S1413" i="6"/>
  <c r="H1413" i="6"/>
  <c r="R1412" i="6"/>
  <c r="E1412" i="6"/>
  <c r="Q1411" i="6"/>
  <c r="D1411" i="6"/>
  <c r="P1410" i="6"/>
  <c r="C1410" i="6"/>
  <c r="O1409" i="6"/>
  <c r="B1409" i="6"/>
  <c r="N1408" i="6"/>
  <c r="A1408" i="6"/>
  <c r="M1407" i="6"/>
  <c r="T1406" i="6"/>
  <c r="L1406" i="6"/>
  <c r="S1405" i="6"/>
  <c r="I1405" i="6"/>
  <c r="S1404" i="6"/>
  <c r="I1404" i="6"/>
  <c r="S1403" i="6"/>
  <c r="I1403" i="6"/>
  <c r="S1402" i="6"/>
  <c r="H1402" i="6"/>
  <c r="R1401" i="6"/>
  <c r="E1401" i="6"/>
  <c r="Q1400" i="6"/>
  <c r="D1400" i="6"/>
  <c r="P1399" i="6"/>
  <c r="C1399" i="6"/>
  <c r="O1398" i="6"/>
  <c r="B1398" i="6"/>
  <c r="N1397" i="6"/>
  <c r="A1397" i="6"/>
  <c r="M1396" i="6"/>
  <c r="T1395" i="6"/>
  <c r="L1395" i="6"/>
  <c r="S1394" i="6"/>
  <c r="H1394" i="6"/>
  <c r="Q1393" i="6"/>
  <c r="D1393" i="6"/>
  <c r="O1392" i="6"/>
  <c r="B1392" i="6"/>
  <c r="N1391" i="6"/>
  <c r="B1391" i="6"/>
  <c r="N1390" i="6"/>
  <c r="A1390" i="6"/>
  <c r="M1389" i="6"/>
  <c r="T1388" i="6"/>
  <c r="L1388" i="6"/>
  <c r="S1387" i="6"/>
  <c r="H1387" i="6"/>
  <c r="Q1386" i="6"/>
  <c r="E1386" i="6"/>
  <c r="Q1385" i="6"/>
  <c r="E1385" i="6"/>
  <c r="Q1384" i="6"/>
  <c r="D1384" i="6"/>
  <c r="P1383" i="6"/>
  <c r="C1383" i="6"/>
  <c r="O1382" i="6"/>
  <c r="B1382" i="6"/>
  <c r="N1381" i="6"/>
  <c r="B1381" i="6"/>
  <c r="N1380" i="6"/>
  <c r="B1380" i="6"/>
  <c r="N1379" i="6"/>
  <c r="A1379" i="6"/>
  <c r="M1378" i="6"/>
  <c r="T1377" i="6"/>
  <c r="L1377" i="6"/>
  <c r="R1376" i="6"/>
  <c r="E1376" i="6"/>
  <c r="Q1375" i="6"/>
  <c r="D1375" i="6"/>
  <c r="P1374" i="6"/>
  <c r="C1374" i="6"/>
  <c r="O1373" i="6"/>
  <c r="B1373" i="6"/>
  <c r="N1372" i="6"/>
  <c r="B1372" i="6"/>
  <c r="N1371" i="6"/>
  <c r="B1371" i="6"/>
  <c r="N1370" i="6"/>
  <c r="A1370" i="6"/>
  <c r="M1369" i="6"/>
  <c r="T1368" i="6"/>
  <c r="L1368" i="6"/>
  <c r="S1367" i="6"/>
  <c r="H1367" i="6"/>
  <c r="R1366" i="6"/>
  <c r="E1366" i="6"/>
  <c r="Q1365" i="6"/>
  <c r="D1365" i="6"/>
  <c r="O1364" i="6"/>
  <c r="B1364" i="6"/>
  <c r="L1363" i="6"/>
  <c r="T1362" i="6"/>
  <c r="L1362" i="6"/>
  <c r="T1361" i="6"/>
  <c r="L1361" i="6"/>
  <c r="S1360" i="6"/>
  <c r="H1360" i="6"/>
  <c r="R1359" i="6"/>
  <c r="E1359" i="6"/>
  <c r="P1358" i="6"/>
  <c r="C1358" i="6"/>
  <c r="O1357" i="6"/>
  <c r="B1357" i="6"/>
  <c r="N1356" i="6"/>
  <c r="A1356" i="6"/>
  <c r="M1355" i="6"/>
  <c r="A1355" i="6"/>
  <c r="M1354" i="6"/>
  <c r="T1353" i="6"/>
  <c r="L1353" i="6"/>
  <c r="S1352" i="6"/>
  <c r="I1352" i="6"/>
  <c r="S1351" i="6"/>
  <c r="H1351" i="6"/>
  <c r="R1350" i="6"/>
  <c r="E1350" i="6"/>
  <c r="Q1349" i="6"/>
  <c r="E1349" i="6"/>
  <c r="Q1348" i="6"/>
  <c r="D1348" i="6"/>
  <c r="P1347" i="6"/>
  <c r="C1347" i="6"/>
  <c r="O1346" i="6"/>
  <c r="B1346" i="6"/>
  <c r="N1345" i="6"/>
  <c r="A1345" i="6"/>
  <c r="M1344" i="6"/>
  <c r="A1344" i="6"/>
  <c r="M1343" i="6"/>
  <c r="T1342" i="6"/>
  <c r="L1342" i="6"/>
  <c r="S1341" i="6"/>
  <c r="H1341" i="6"/>
  <c r="R1340" i="6"/>
  <c r="E1340" i="6"/>
  <c r="Q1339" i="6"/>
  <c r="D1339" i="6"/>
  <c r="P1338" i="6"/>
  <c r="C1338" i="6"/>
  <c r="O1337" i="6"/>
  <c r="C1337" i="6"/>
  <c r="O1336" i="6"/>
  <c r="B1336" i="6"/>
  <c r="M1335" i="6"/>
  <c r="B1335" i="6"/>
  <c r="N1334" i="6"/>
  <c r="B1334" i="6"/>
  <c r="N1333" i="6"/>
  <c r="A1333" i="6"/>
  <c r="M1332" i="6"/>
  <c r="T1331" i="6"/>
  <c r="L1331" i="6"/>
  <c r="S1330" i="6"/>
  <c r="H1330" i="6"/>
  <c r="R1329" i="6"/>
  <c r="E1329" i="6"/>
  <c r="P1328" i="6"/>
  <c r="D1328" i="6"/>
  <c r="O1327" i="6"/>
  <c r="C1327" i="6"/>
  <c r="O1326" i="6"/>
  <c r="B1326" i="6"/>
  <c r="N1325" i="6"/>
  <c r="A1325" i="6"/>
  <c r="M1324" i="6"/>
  <c r="S1323" i="6"/>
  <c r="I1323" i="6"/>
  <c r="S1322" i="6"/>
  <c r="H1322" i="6"/>
  <c r="R1321" i="6"/>
  <c r="E1321" i="6"/>
  <c r="P1320" i="6"/>
  <c r="C1320" i="6"/>
  <c r="N1319" i="6"/>
  <c r="A1319" i="6"/>
  <c r="M1318" i="6"/>
  <c r="T1317" i="6"/>
  <c r="L1317" i="6"/>
  <c r="S1316" i="6"/>
  <c r="H1316" i="6"/>
  <c r="Q1315" i="6"/>
  <c r="D1315" i="6"/>
  <c r="O1314" i="6"/>
  <c r="B1314" i="6"/>
  <c r="M1313" i="6"/>
  <c r="S1312" i="6"/>
  <c r="H1312" i="6"/>
  <c r="R1311" i="6"/>
  <c r="E1311" i="6"/>
  <c r="Q1310" i="6"/>
  <c r="D1310" i="6"/>
  <c r="P1309" i="6"/>
  <c r="C1309" i="6"/>
  <c r="O1308" i="6"/>
  <c r="C1308" i="6"/>
  <c r="O1307" i="6"/>
  <c r="C1307" i="6"/>
  <c r="O1306" i="6"/>
  <c r="B1306" i="6"/>
  <c r="N1305" i="6"/>
  <c r="B1305" i="6"/>
  <c r="N1304" i="6"/>
  <c r="A1304" i="6"/>
  <c r="M1303" i="6"/>
  <c r="T1302" i="6"/>
  <c r="L1302" i="6"/>
  <c r="S1301" i="6"/>
  <c r="H1301" i="6"/>
  <c r="C1546" i="6"/>
  <c r="S1541" i="6"/>
  <c r="Q1537" i="6"/>
  <c r="N1533" i="6"/>
  <c r="H1529" i="6"/>
  <c r="B1525" i="6"/>
  <c r="R1520" i="6"/>
  <c r="N1516" i="6"/>
  <c r="E1512" i="6"/>
  <c r="A1508" i="6"/>
  <c r="Q1503" i="6"/>
  <c r="M1499" i="6"/>
  <c r="D1495" i="6"/>
  <c r="A1491" i="6"/>
  <c r="R1486" i="6"/>
  <c r="O1482" i="6"/>
  <c r="O1478" i="6"/>
  <c r="P1474" i="6"/>
  <c r="Q1470" i="6"/>
  <c r="S1466" i="6"/>
  <c r="A1463" i="6"/>
  <c r="A1459" i="6"/>
  <c r="A1455" i="6"/>
  <c r="A1451" i="6"/>
  <c r="B1447" i="6"/>
  <c r="C1443" i="6"/>
  <c r="C1439" i="6"/>
  <c r="S1434" i="6"/>
  <c r="O1430" i="6"/>
  <c r="H1426" i="6"/>
  <c r="H1422" i="6"/>
  <c r="R1419" i="6"/>
  <c r="Q1418" i="6"/>
  <c r="Q1417" i="6"/>
  <c r="A1417" i="6"/>
  <c r="M1416" i="6"/>
  <c r="T1415" i="6"/>
  <c r="L1415" i="6"/>
  <c r="S1414" i="6"/>
  <c r="H1414" i="6"/>
  <c r="R1413" i="6"/>
  <c r="E1413" i="6"/>
  <c r="Q1412" i="6"/>
  <c r="D1412" i="6"/>
  <c r="P1411" i="6"/>
  <c r="C1411" i="6"/>
  <c r="O1410" i="6"/>
  <c r="B1410" i="6"/>
  <c r="N1409" i="6"/>
  <c r="A1409" i="6"/>
  <c r="M1408" i="6"/>
  <c r="T1407" i="6"/>
  <c r="L1407" i="6"/>
  <c r="S1406" i="6"/>
  <c r="H1406" i="6"/>
  <c r="R1405" i="6"/>
  <c r="H1405" i="6"/>
  <c r="R1404" i="6"/>
  <c r="H1404" i="6"/>
  <c r="R1403" i="6"/>
  <c r="H1403" i="6"/>
  <c r="R1402" i="6"/>
  <c r="E1402" i="6"/>
  <c r="Q1401" i="6"/>
  <c r="D1401" i="6"/>
  <c r="P1400" i="6"/>
  <c r="C1400" i="6"/>
  <c r="O1399" i="6"/>
  <c r="B1399" i="6"/>
  <c r="N1398" i="6"/>
  <c r="A1398" i="6"/>
  <c r="M1397" i="6"/>
  <c r="T1396" i="6"/>
  <c r="L1396" i="6"/>
  <c r="S1395" i="6"/>
  <c r="H1395" i="6"/>
  <c r="R1394" i="6"/>
  <c r="E1394" i="6"/>
  <c r="P1393" i="6"/>
  <c r="C1393" i="6"/>
  <c r="N1392" i="6"/>
  <c r="A1392" i="6"/>
  <c r="M1391" i="6"/>
  <c r="A1391" i="6"/>
  <c r="M1390" i="6"/>
  <c r="T1389" i="6"/>
  <c r="L1389" i="6"/>
  <c r="S1388" i="6"/>
  <c r="H1388" i="6"/>
  <c r="R1387" i="6"/>
  <c r="E1387" i="6"/>
  <c r="P1386" i="6"/>
  <c r="D1386" i="6"/>
  <c r="P1385" i="6"/>
  <c r="D1385" i="6"/>
  <c r="P1384" i="6"/>
  <c r="C1384" i="6"/>
  <c r="O1383" i="6"/>
  <c r="B1383" i="6"/>
  <c r="N1382" i="6"/>
  <c r="A1382" i="6"/>
  <c r="M1381" i="6"/>
  <c r="A1381" i="6"/>
  <c r="M1380" i="6"/>
  <c r="A1380" i="6"/>
  <c r="M1379" i="6"/>
  <c r="T1378" i="6"/>
  <c r="L1378" i="6"/>
  <c r="S1377" i="6"/>
  <c r="H1377" i="6"/>
  <c r="Q1376" i="6"/>
  <c r="D1376" i="6"/>
  <c r="P1375" i="6"/>
  <c r="C1375" i="6"/>
  <c r="O1374" i="6"/>
  <c r="B1374" i="6"/>
  <c r="N1373" i="6"/>
  <c r="A1373" i="6"/>
  <c r="M1372" i="6"/>
  <c r="A1372" i="6"/>
  <c r="M1371" i="6"/>
  <c r="A1371" i="6"/>
  <c r="M1370" i="6"/>
  <c r="T1369" i="6"/>
  <c r="L1369" i="6"/>
  <c r="S1368" i="6"/>
  <c r="H1368" i="6"/>
  <c r="R1367" i="6"/>
  <c r="E1367" i="6"/>
  <c r="Q1366" i="6"/>
  <c r="D1366" i="6"/>
  <c r="P1365" i="6"/>
  <c r="C1365" i="6"/>
  <c r="N1364" i="6"/>
  <c r="A1364" i="6"/>
  <c r="H1363" i="6"/>
  <c r="S1362" i="6"/>
  <c r="H1362" i="6"/>
  <c r="S1361" i="6"/>
  <c r="H1361" i="6"/>
  <c r="R1360" i="6"/>
  <c r="E1360" i="6"/>
  <c r="Q1359" i="6"/>
  <c r="D1359" i="6"/>
  <c r="O1358" i="6"/>
  <c r="B1358" i="6"/>
  <c r="N1357" i="6"/>
  <c r="A1357" i="6"/>
  <c r="M1356" i="6"/>
  <c r="T1355" i="6"/>
  <c r="L1355" i="6"/>
  <c r="T1354" i="6"/>
  <c r="L1354" i="6"/>
  <c r="S1353" i="6"/>
  <c r="H1353" i="6"/>
  <c r="R1352" i="6"/>
  <c r="H1352" i="6"/>
  <c r="R1351" i="6"/>
  <c r="E1351" i="6"/>
  <c r="Q1350" i="6"/>
  <c r="D1350" i="6"/>
  <c r="P1349" i="6"/>
  <c r="D1349" i="6"/>
  <c r="P1348" i="6"/>
  <c r="C1348" i="6"/>
  <c r="O1347" i="6"/>
  <c r="B1347" i="6"/>
  <c r="N1346" i="6"/>
  <c r="A1346" i="6"/>
  <c r="M1345" i="6"/>
  <c r="T1344" i="6"/>
  <c r="L1344" i="6"/>
  <c r="T1343" i="6"/>
  <c r="L1343" i="6"/>
  <c r="S1342" i="6"/>
  <c r="H1342" i="6"/>
  <c r="R1341" i="6"/>
  <c r="E1341" i="6"/>
  <c r="Q1340" i="6"/>
  <c r="D1340" i="6"/>
  <c r="P1339" i="6"/>
  <c r="C1339" i="6"/>
  <c r="O1338" i="6"/>
  <c r="B1338" i="6"/>
  <c r="N1337" i="6"/>
  <c r="B1337" i="6"/>
  <c r="N1336" i="6"/>
  <c r="A1336" i="6"/>
  <c r="L1335" i="6"/>
  <c r="A1335" i="6"/>
  <c r="M1334" i="6"/>
  <c r="A1334" i="6"/>
  <c r="M1333" i="6"/>
  <c r="T1332" i="6"/>
  <c r="L1332" i="6"/>
  <c r="S1331" i="6"/>
  <c r="H1331" i="6"/>
  <c r="R1330" i="6"/>
  <c r="E1330" i="6"/>
  <c r="Q1329" i="6"/>
  <c r="D1329" i="6"/>
  <c r="O1328" i="6"/>
  <c r="C1328" i="6"/>
  <c r="N1327" i="6"/>
  <c r="B1327" i="6"/>
  <c r="N1326" i="6"/>
  <c r="A1326" i="6"/>
  <c r="M1325" i="6"/>
  <c r="T1324" i="6"/>
  <c r="L1324" i="6"/>
  <c r="R1323" i="6"/>
  <c r="H1323" i="6"/>
  <c r="R1322" i="6"/>
  <c r="E1322" i="6"/>
  <c r="Q1321" i="6"/>
  <c r="D1321" i="6"/>
  <c r="O1320" i="6"/>
  <c r="B1320" i="6"/>
  <c r="M1319" i="6"/>
  <c r="T1318" i="6"/>
  <c r="L1318" i="6"/>
  <c r="S1317" i="6"/>
  <c r="H1317" i="6"/>
  <c r="R1316" i="6"/>
  <c r="E1316" i="6"/>
  <c r="P1315" i="6"/>
  <c r="C1315" i="6"/>
  <c r="N1314" i="6"/>
  <c r="A1314" i="6"/>
  <c r="L1313" i="6"/>
  <c r="R1312" i="6"/>
  <c r="E1312" i="6"/>
  <c r="Q1311" i="6"/>
  <c r="D1311" i="6"/>
  <c r="P1310" i="6"/>
  <c r="C1310" i="6"/>
  <c r="O1309" i="6"/>
  <c r="B1309" i="6"/>
  <c r="N1308" i="6"/>
  <c r="B1308" i="6"/>
  <c r="N1307" i="6"/>
  <c r="B1307" i="6"/>
  <c r="N1306" i="6"/>
  <c r="A1306" i="6"/>
  <c r="M1305" i="6"/>
  <c r="A1305" i="6"/>
  <c r="M1304" i="6"/>
  <c r="T1303" i="6"/>
  <c r="L1303" i="6"/>
  <c r="S1302" i="6"/>
  <c r="H1302" i="6"/>
  <c r="R1301" i="6"/>
  <c r="E1301" i="6"/>
  <c r="P1300" i="6"/>
  <c r="O1545" i="6"/>
  <c r="I1541" i="6"/>
  <c r="D1537" i="6"/>
  <c r="B1533" i="6"/>
  <c r="R1528" i="6"/>
  <c r="N1524" i="6"/>
  <c r="E1520" i="6"/>
  <c r="A1516" i="6"/>
  <c r="Q1511" i="6"/>
  <c r="M1507" i="6"/>
  <c r="D1503" i="6"/>
  <c r="T1498" i="6"/>
  <c r="P1494" i="6"/>
  <c r="M1490" i="6"/>
  <c r="E1486" i="6"/>
  <c r="C1482" i="6"/>
  <c r="C1478" i="6"/>
  <c r="E1474" i="6"/>
  <c r="G1470" i="6"/>
  <c r="I1466" i="6"/>
  <c r="M1462" i="6"/>
  <c r="M1458" i="6"/>
  <c r="M1454" i="6"/>
  <c r="M1450" i="6"/>
  <c r="N1446" i="6"/>
  <c r="O1442" i="6"/>
  <c r="O1438" i="6"/>
  <c r="H1434" i="6"/>
  <c r="B1430" i="6"/>
  <c r="S1425" i="6"/>
  <c r="R1421" i="6"/>
  <c r="Q1419" i="6"/>
  <c r="O1418" i="6"/>
  <c r="P1417" i="6"/>
  <c r="T1416" i="6"/>
  <c r="L1416" i="6"/>
  <c r="S1415" i="6"/>
  <c r="H1415" i="6"/>
  <c r="R1414" i="6"/>
  <c r="E1414" i="6"/>
  <c r="Q1413" i="6"/>
  <c r="D1413" i="6"/>
  <c r="P1412" i="6"/>
  <c r="C1412" i="6"/>
  <c r="O1411" i="6"/>
  <c r="B1411" i="6"/>
  <c r="N1410" i="6"/>
  <c r="A1410" i="6"/>
  <c r="M1409" i="6"/>
  <c r="T1408" i="6"/>
  <c r="L1408" i="6"/>
  <c r="S1407" i="6"/>
  <c r="H1407" i="6"/>
  <c r="R1406" i="6"/>
  <c r="E1406" i="6"/>
  <c r="Q1405" i="6"/>
  <c r="E1405" i="6"/>
  <c r="Q1404" i="6"/>
  <c r="E1404" i="6"/>
  <c r="Q1403" i="6"/>
  <c r="E1403" i="6"/>
  <c r="Q1402" i="6"/>
  <c r="D1402" i="6"/>
  <c r="P1401" i="6"/>
  <c r="C1401" i="6"/>
  <c r="O1400" i="6"/>
  <c r="B1400" i="6"/>
  <c r="N1399" i="6"/>
  <c r="A1399" i="6"/>
  <c r="M1398" i="6"/>
  <c r="T1397" i="6"/>
  <c r="L1397" i="6"/>
  <c r="S1396" i="6"/>
  <c r="H1396" i="6"/>
  <c r="R1395" i="6"/>
  <c r="E1395" i="6"/>
  <c r="Q1394" i="6"/>
  <c r="D1394" i="6"/>
  <c r="O1393" i="6"/>
  <c r="B1393" i="6"/>
  <c r="M1392" i="6"/>
  <c r="T1391" i="6"/>
  <c r="L1391" i="6"/>
  <c r="T1390" i="6"/>
  <c r="L1390" i="6"/>
  <c r="S1389" i="6"/>
  <c r="H1389" i="6"/>
  <c r="R1388" i="6"/>
  <c r="E1388" i="6"/>
  <c r="Q1387" i="6"/>
  <c r="D1387" i="6"/>
  <c r="O1386" i="6"/>
  <c r="C1386" i="6"/>
  <c r="O1385" i="6"/>
  <c r="C1385" i="6"/>
  <c r="O1384" i="6"/>
  <c r="B1384" i="6"/>
  <c r="N1383" i="6"/>
  <c r="A1383" i="6"/>
  <c r="M1382" i="6"/>
  <c r="T1381" i="6"/>
  <c r="L1381" i="6"/>
  <c r="T1380" i="6"/>
  <c r="L1380" i="6"/>
  <c r="T1379" i="6"/>
  <c r="L1379" i="6"/>
  <c r="S1378" i="6"/>
  <c r="H1378" i="6"/>
  <c r="R1377" i="6"/>
  <c r="E1377" i="6"/>
  <c r="P1376" i="6"/>
  <c r="C1376" i="6"/>
  <c r="O1375" i="6"/>
  <c r="B1375" i="6"/>
  <c r="N1374" i="6"/>
  <c r="A1374" i="6"/>
  <c r="M1373" i="6"/>
  <c r="T1372" i="6"/>
  <c r="L1372" i="6"/>
  <c r="T1371" i="6"/>
  <c r="L1371" i="6"/>
  <c r="T1370" i="6"/>
  <c r="L1370" i="6"/>
  <c r="S1369" i="6"/>
  <c r="H1369" i="6"/>
  <c r="R1368" i="6"/>
  <c r="E1368" i="6"/>
  <c r="Q1367" i="6"/>
  <c r="D1367" i="6"/>
  <c r="P1366" i="6"/>
  <c r="C1366" i="6"/>
  <c r="O1365" i="6"/>
  <c r="B1365" i="6"/>
  <c r="M1364" i="6"/>
  <c r="T1363" i="6"/>
  <c r="F1363" i="6"/>
  <c r="R1362" i="6"/>
  <c r="G1362" i="6"/>
  <c r="R1361" i="6"/>
  <c r="E1361" i="6"/>
  <c r="Q1360" i="6"/>
  <c r="D1360" i="6"/>
  <c r="P1359" i="6"/>
  <c r="C1359" i="6"/>
  <c r="N1358" i="6"/>
  <c r="A1358" i="6"/>
  <c r="M1357" i="6"/>
  <c r="T1356" i="6"/>
  <c r="L1356" i="6"/>
  <c r="S1355" i="6"/>
  <c r="I1355" i="6"/>
  <c r="S1354" i="6"/>
  <c r="H1354" i="6"/>
  <c r="R1353" i="6"/>
  <c r="E1353" i="6"/>
  <c r="Q1352" i="6"/>
  <c r="E1352" i="6"/>
  <c r="Q1351" i="6"/>
  <c r="D1351" i="6"/>
  <c r="P1350" i="6"/>
  <c r="C1350" i="6"/>
  <c r="O1349" i="6"/>
  <c r="C1349" i="6"/>
  <c r="O1348" i="6"/>
  <c r="B1348" i="6"/>
  <c r="N1347" i="6"/>
  <c r="A1347" i="6"/>
  <c r="M1346" i="6"/>
  <c r="T1345" i="6"/>
  <c r="L1345" i="6"/>
  <c r="S1344" i="6"/>
  <c r="I1344" i="6"/>
  <c r="S1343" i="6"/>
  <c r="H1343" i="6"/>
  <c r="R1342" i="6"/>
  <c r="E1342" i="6"/>
  <c r="Q1341" i="6"/>
  <c r="D1341" i="6"/>
  <c r="P1340" i="6"/>
  <c r="C1340" i="6"/>
  <c r="O1339" i="6"/>
  <c r="B1339" i="6"/>
  <c r="N1338" i="6"/>
  <c r="A1338" i="6"/>
  <c r="M1337" i="6"/>
  <c r="A1337" i="6"/>
  <c r="M1336" i="6"/>
  <c r="S1335" i="6"/>
  <c r="I1335" i="6"/>
  <c r="T1334" i="6"/>
  <c r="L1334" i="6"/>
  <c r="T1333" i="6"/>
  <c r="L1333" i="6"/>
  <c r="S1332" i="6"/>
  <c r="H1332" i="6"/>
  <c r="R1331" i="6"/>
  <c r="E1331" i="6"/>
  <c r="Q1330" i="6"/>
  <c r="D1330" i="6"/>
  <c r="P1329" i="6"/>
  <c r="C1329" i="6"/>
  <c r="N1328" i="6"/>
  <c r="B1328" i="6"/>
  <c r="M1327" i="6"/>
  <c r="A1327" i="6"/>
  <c r="M1326" i="6"/>
  <c r="T1325" i="6"/>
  <c r="L1325" i="6"/>
  <c r="S1324" i="6"/>
  <c r="H1324" i="6"/>
  <c r="Q1323" i="6"/>
  <c r="E1323" i="6"/>
  <c r="Q1322" i="6"/>
  <c r="D1322" i="6"/>
  <c r="P1321" i="6"/>
  <c r="C1321" i="6"/>
  <c r="N1320" i="6"/>
  <c r="A1320" i="6"/>
  <c r="L1319" i="6"/>
  <c r="S1318" i="6"/>
  <c r="H1318" i="6"/>
  <c r="R1317" i="6"/>
  <c r="E1317" i="6"/>
  <c r="Q1316" i="6"/>
  <c r="D1316" i="6"/>
  <c r="O1315" i="6"/>
  <c r="B1315" i="6"/>
  <c r="M1314" i="6"/>
  <c r="S1313" i="6"/>
  <c r="H1313" i="6"/>
  <c r="Q1312" i="6"/>
  <c r="D1312" i="6"/>
  <c r="P1311" i="6"/>
  <c r="C1311" i="6"/>
  <c r="O1310" i="6"/>
  <c r="B1310" i="6"/>
  <c r="N1309" i="6"/>
  <c r="A1309" i="6"/>
  <c r="M1308" i="6"/>
  <c r="A1308" i="6"/>
  <c r="M1307" i="6"/>
  <c r="A1307" i="6"/>
  <c r="M1306" i="6"/>
  <c r="T1305" i="6"/>
  <c r="L1305" i="6"/>
  <c r="T1304" i="6"/>
  <c r="L1304" i="6"/>
  <c r="S1303" i="6"/>
  <c r="H1303" i="6"/>
  <c r="R1302" i="6"/>
  <c r="E1302" i="6"/>
  <c r="Q1301" i="6"/>
  <c r="D1301" i="6"/>
  <c r="O1300" i="6"/>
  <c r="B1545" i="6"/>
  <c r="S1540" i="6"/>
  <c r="P1536" i="6"/>
  <c r="N1532" i="6"/>
  <c r="E1528" i="6"/>
  <c r="A1524" i="6"/>
  <c r="Q1519" i="6"/>
  <c r="M1515" i="6"/>
  <c r="D1511" i="6"/>
  <c r="T1506" i="6"/>
  <c r="P1502" i="6"/>
  <c r="L1498" i="6"/>
  <c r="C1494" i="6"/>
  <c r="T1489" i="6"/>
  <c r="Q1485" i="6"/>
  <c r="O1481" i="6"/>
  <c r="O1477" i="6"/>
  <c r="Q1473" i="6"/>
  <c r="R1469" i="6"/>
  <c r="T1465" i="6"/>
  <c r="A1462" i="6"/>
  <c r="A1458" i="6"/>
  <c r="A1454" i="6"/>
  <c r="A1450" i="6"/>
  <c r="C1446" i="6"/>
  <c r="C1442" i="6"/>
  <c r="B1438" i="6"/>
  <c r="R1433" i="6"/>
  <c r="N1429" i="6"/>
  <c r="H1425" i="6"/>
  <c r="H1421" i="6"/>
  <c r="O1419" i="6"/>
  <c r="M1418" i="6"/>
  <c r="N1417" i="6"/>
  <c r="S1416" i="6"/>
  <c r="H1416" i="6"/>
  <c r="R1415" i="6"/>
  <c r="E1415" i="6"/>
  <c r="Q1414" i="6"/>
  <c r="D1414" i="6"/>
  <c r="P1413" i="6"/>
  <c r="C1413" i="6"/>
  <c r="O1412" i="6"/>
  <c r="B1412" i="6"/>
  <c r="N1411" i="6"/>
  <c r="A1411" i="6"/>
  <c r="M1410" i="6"/>
  <c r="T1409" i="6"/>
  <c r="L1409" i="6"/>
  <c r="S1408" i="6"/>
  <c r="H1408" i="6"/>
  <c r="R1407" i="6"/>
  <c r="E1407" i="6"/>
  <c r="Q1406" i="6"/>
  <c r="D1406" i="6"/>
  <c r="P1405" i="6"/>
  <c r="D1405" i="6"/>
  <c r="P1404" i="6"/>
  <c r="D1404" i="6"/>
  <c r="P1403" i="6"/>
  <c r="D1403" i="6"/>
  <c r="P1402" i="6"/>
  <c r="C1402" i="6"/>
  <c r="O1401" i="6"/>
  <c r="B1401" i="6"/>
  <c r="N1400" i="6"/>
  <c r="A1400" i="6"/>
  <c r="M1399" i="6"/>
  <c r="T1398" i="6"/>
  <c r="L1398" i="6"/>
  <c r="S1397" i="6"/>
  <c r="H1397" i="6"/>
  <c r="R1396" i="6"/>
  <c r="E1396" i="6"/>
  <c r="Q1395" i="6"/>
  <c r="D1395" i="6"/>
  <c r="P1394" i="6"/>
  <c r="C1394" i="6"/>
  <c r="N1393" i="6"/>
  <c r="A1393" i="6"/>
  <c r="L1392" i="6"/>
  <c r="S1391" i="6"/>
  <c r="I1391" i="6"/>
  <c r="S1390" i="6"/>
  <c r="H1390" i="6"/>
  <c r="R1389" i="6"/>
  <c r="E1389" i="6"/>
  <c r="Q1388" i="6"/>
  <c r="D1388" i="6"/>
  <c r="P1387" i="6"/>
  <c r="C1387" i="6"/>
  <c r="N1386" i="6"/>
  <c r="B1386" i="6"/>
  <c r="N1385" i="6"/>
  <c r="B1385" i="6"/>
  <c r="N1384" i="6"/>
  <c r="A1384" i="6"/>
  <c r="M1383" i="6"/>
  <c r="T1382" i="6"/>
  <c r="L1382" i="6"/>
  <c r="S1381" i="6"/>
  <c r="H1381" i="6"/>
  <c r="S1380" i="6"/>
  <c r="H1380" i="6"/>
  <c r="S1379" i="6"/>
  <c r="H1379" i="6"/>
  <c r="R1378" i="6"/>
  <c r="E1378" i="6"/>
  <c r="Q1377" i="6"/>
  <c r="D1377" i="6"/>
  <c r="O1376" i="6"/>
  <c r="B1376" i="6"/>
  <c r="N1375" i="6"/>
  <c r="A1375" i="6"/>
  <c r="M1374" i="6"/>
  <c r="T1373" i="6"/>
  <c r="L1373" i="6"/>
  <c r="S1372" i="6"/>
  <c r="H1372" i="6"/>
  <c r="S1371" i="6"/>
  <c r="H1371" i="6"/>
  <c r="S1370" i="6"/>
  <c r="H1370" i="6"/>
  <c r="R1369" i="6"/>
  <c r="E1369" i="6"/>
  <c r="Q1368" i="6"/>
  <c r="D1368" i="6"/>
  <c r="P1367" i="6"/>
  <c r="C1367" i="6"/>
  <c r="O1366" i="6"/>
  <c r="B1366" i="6"/>
  <c r="N1365" i="6"/>
  <c r="A1365" i="6"/>
  <c r="L1364" i="6"/>
  <c r="S1363" i="6"/>
  <c r="E1363" i="6"/>
  <c r="Q1362" i="6"/>
  <c r="E1362" i="6"/>
  <c r="Q1361" i="6"/>
  <c r="D1361" i="6"/>
  <c r="P1360" i="6"/>
  <c r="C1360" i="6"/>
  <c r="O1359" i="6"/>
  <c r="B1359" i="6"/>
  <c r="M1358" i="6"/>
  <c r="T1357" i="6"/>
  <c r="L1357" i="6"/>
  <c r="S1356" i="6"/>
  <c r="H1356" i="6"/>
  <c r="R1355" i="6"/>
  <c r="H1355" i="6"/>
  <c r="R1354" i="6"/>
  <c r="E1354" i="6"/>
  <c r="Q1353" i="6"/>
  <c r="D1353" i="6"/>
  <c r="P1352" i="6"/>
  <c r="D1352" i="6"/>
  <c r="P1351" i="6"/>
  <c r="C1351" i="6"/>
  <c r="O1350" i="6"/>
  <c r="B1350" i="6"/>
  <c r="N1349" i="6"/>
  <c r="B1349" i="6"/>
  <c r="N1348" i="6"/>
  <c r="A1348" i="6"/>
  <c r="M1347" i="6"/>
  <c r="T1346" i="6"/>
  <c r="L1346" i="6"/>
  <c r="S1345" i="6"/>
  <c r="H1345" i="6"/>
  <c r="R1344" i="6"/>
  <c r="H1344" i="6"/>
  <c r="R1343" i="6"/>
  <c r="E1343" i="6"/>
  <c r="Q1342" i="6"/>
  <c r="D1342" i="6"/>
  <c r="P1341" i="6"/>
  <c r="C1341" i="6"/>
  <c r="O1340" i="6"/>
  <c r="B1340" i="6"/>
  <c r="N1339" i="6"/>
  <c r="A1339" i="6"/>
  <c r="M1338" i="6"/>
  <c r="T1337" i="6"/>
  <c r="L1337" i="6"/>
  <c r="T1336" i="6"/>
  <c r="L1336" i="6"/>
  <c r="R1335" i="6"/>
  <c r="H1335" i="6"/>
  <c r="S1334" i="6"/>
  <c r="H1334" i="6"/>
  <c r="S1333" i="6"/>
  <c r="H1333" i="6"/>
  <c r="R1332" i="6"/>
  <c r="E1332" i="6"/>
  <c r="Q1331" i="6"/>
  <c r="D1331" i="6"/>
  <c r="P1330" i="6"/>
  <c r="C1330" i="6"/>
  <c r="O1329" i="6"/>
  <c r="B1329" i="6"/>
  <c r="M1328" i="6"/>
  <c r="A1328" i="6"/>
  <c r="L1327" i="6"/>
  <c r="T1326" i="6"/>
  <c r="L1326" i="6"/>
  <c r="S1325" i="6"/>
  <c r="H1325" i="6"/>
  <c r="R1324" i="6"/>
  <c r="E1324" i="6"/>
  <c r="P1323" i="6"/>
  <c r="D1323" i="6"/>
  <c r="P1322" i="6"/>
  <c r="C1322" i="6"/>
  <c r="O1321" i="6"/>
  <c r="B1321" i="6"/>
  <c r="M1320" i="6"/>
  <c r="S1319" i="6"/>
  <c r="H1319" i="6"/>
  <c r="R1318" i="6"/>
  <c r="E1318" i="6"/>
  <c r="Q1317" i="6"/>
  <c r="D1317" i="6"/>
  <c r="P1316" i="6"/>
  <c r="C1316" i="6"/>
  <c r="N1315" i="6"/>
  <c r="A1315" i="6"/>
  <c r="L1314" i="6"/>
  <c r="R1313" i="6"/>
  <c r="E1313" i="6"/>
  <c r="P1312" i="6"/>
  <c r="C1312" i="6"/>
  <c r="O1311" i="6"/>
  <c r="B1311" i="6"/>
  <c r="N1310" i="6"/>
  <c r="A1310" i="6"/>
  <c r="M1309" i="6"/>
  <c r="T1308" i="6"/>
  <c r="L1308" i="6"/>
  <c r="T1307" i="6"/>
  <c r="L1307" i="6"/>
  <c r="T1306" i="6"/>
  <c r="L1306" i="6"/>
  <c r="S1305" i="6"/>
  <c r="I1305" i="6"/>
  <c r="S1304" i="6"/>
  <c r="H1304" i="6"/>
  <c r="R1303" i="6"/>
  <c r="E1303" i="6"/>
  <c r="Q1302" i="6"/>
  <c r="D1302" i="6"/>
  <c r="P1301" i="6"/>
  <c r="C1301" i="6"/>
  <c r="N1300" i="6"/>
  <c r="B1300" i="6"/>
  <c r="N1544" i="6"/>
  <c r="P1510" i="6"/>
  <c r="C1477" i="6"/>
  <c r="O1445" i="6"/>
  <c r="E1418" i="6"/>
  <c r="O1413" i="6"/>
  <c r="H1409" i="6"/>
  <c r="C1405" i="6"/>
  <c r="A1401" i="6"/>
  <c r="Q1396" i="6"/>
  <c r="H1392" i="6"/>
  <c r="C1388" i="6"/>
  <c r="T1383" i="6"/>
  <c r="R1379" i="6"/>
  <c r="M1375" i="6"/>
  <c r="G1371" i="6"/>
  <c r="B1367" i="6"/>
  <c r="P1362" i="6"/>
  <c r="L1358" i="6"/>
  <c r="D1354" i="6"/>
  <c r="A1350" i="6"/>
  <c r="R1345" i="6"/>
  <c r="O1341" i="6"/>
  <c r="I1337" i="6"/>
  <c r="E1333" i="6"/>
  <c r="A1329" i="6"/>
  <c r="Q1324" i="6"/>
  <c r="L1320" i="6"/>
  <c r="B1316" i="6"/>
  <c r="N1311" i="6"/>
  <c r="I1307" i="6"/>
  <c r="D1303" i="6"/>
  <c r="L1300" i="6"/>
  <c r="S1299" i="6"/>
  <c r="H1299" i="6"/>
  <c r="R1298" i="6"/>
  <c r="E1298" i="6"/>
  <c r="Q1297" i="6"/>
  <c r="D1297" i="6"/>
  <c r="P1296" i="6"/>
  <c r="C1296" i="6"/>
  <c r="N1295" i="6"/>
  <c r="A1295" i="6"/>
  <c r="L1294" i="6"/>
  <c r="S1293" i="6"/>
  <c r="H1293" i="6"/>
  <c r="R1292" i="6"/>
  <c r="H1292" i="6"/>
  <c r="R1291" i="6"/>
  <c r="E1291" i="6"/>
  <c r="Q1290" i="6"/>
  <c r="D1290" i="6"/>
  <c r="P1289" i="6"/>
  <c r="C1289" i="6"/>
  <c r="O1288" i="6"/>
  <c r="B1288" i="6"/>
  <c r="N1287" i="6"/>
  <c r="B1287" i="6"/>
  <c r="N1286" i="6"/>
  <c r="A1286" i="6"/>
  <c r="M1285" i="6"/>
  <c r="T1284" i="6"/>
  <c r="L1284" i="6"/>
  <c r="S1283" i="6"/>
  <c r="H1283" i="6"/>
  <c r="R1282" i="6"/>
  <c r="H1282" i="6"/>
  <c r="R1281" i="6"/>
  <c r="E1281" i="6"/>
  <c r="P1280" i="6"/>
  <c r="C1280" i="6"/>
  <c r="N1279" i="6"/>
  <c r="B1279" i="6"/>
  <c r="M1278" i="6"/>
  <c r="S1277" i="6"/>
  <c r="H1277" i="6"/>
  <c r="R1276" i="6"/>
  <c r="E1276" i="6"/>
  <c r="Q1275" i="6"/>
  <c r="D1275" i="6"/>
  <c r="P1274" i="6"/>
  <c r="C1274" i="6"/>
  <c r="O1273" i="6"/>
  <c r="B1273" i="6"/>
  <c r="N1272" i="6"/>
  <c r="A1272" i="6"/>
  <c r="M1271" i="6"/>
  <c r="T1270" i="6"/>
  <c r="L1270" i="6"/>
  <c r="R1269" i="6"/>
  <c r="H1269" i="6"/>
  <c r="R1268" i="6"/>
  <c r="E1268" i="6"/>
  <c r="P1267" i="6"/>
  <c r="D1267" i="6"/>
  <c r="P1266" i="6"/>
  <c r="C1266" i="6"/>
  <c r="O1265" i="6"/>
  <c r="B1265" i="6"/>
  <c r="N1264" i="6"/>
  <c r="A1264" i="6"/>
  <c r="M1263" i="6"/>
  <c r="T1262" i="6"/>
  <c r="L1262" i="6"/>
  <c r="S1261" i="6"/>
  <c r="H1261" i="6"/>
  <c r="R1260" i="6"/>
  <c r="E1260" i="6"/>
  <c r="Q1259" i="6"/>
  <c r="D1259" i="6"/>
  <c r="P1258" i="6"/>
  <c r="C1258" i="6"/>
  <c r="O1257" i="6"/>
  <c r="B1257" i="6"/>
  <c r="M1256" i="6"/>
  <c r="S1255" i="6"/>
  <c r="I1255" i="6"/>
  <c r="S1254" i="6"/>
  <c r="H1254" i="6"/>
  <c r="R1253" i="6"/>
  <c r="E1253" i="6"/>
  <c r="Q1252" i="6"/>
  <c r="D1252" i="6"/>
  <c r="P1251" i="6"/>
  <c r="C1251" i="6"/>
  <c r="O1250" i="6"/>
  <c r="B1250" i="6"/>
  <c r="N1249" i="6"/>
  <c r="A1249" i="6"/>
  <c r="L1248" i="6"/>
  <c r="S1247" i="6"/>
  <c r="I1247" i="6"/>
  <c r="S1246" i="6"/>
  <c r="H1246" i="6"/>
  <c r="R1245" i="6"/>
  <c r="H1245" i="6"/>
  <c r="R1244" i="6"/>
  <c r="E1244" i="6"/>
  <c r="Q1243" i="6"/>
  <c r="D1243" i="6"/>
  <c r="P1242" i="6"/>
  <c r="D1242" i="6"/>
  <c r="P1241" i="6"/>
  <c r="D1241" i="6"/>
  <c r="O1240" i="6"/>
  <c r="D1240" i="6"/>
  <c r="P1239" i="6"/>
  <c r="D1239" i="6"/>
  <c r="P1238" i="6"/>
  <c r="C1238" i="6"/>
  <c r="O1237" i="6"/>
  <c r="B1237" i="6"/>
  <c r="N1236" i="6"/>
  <c r="A1236" i="6"/>
  <c r="M1235" i="6"/>
  <c r="T1234" i="6"/>
  <c r="L1234" i="6"/>
  <c r="S1233" i="6"/>
  <c r="H1233" i="6"/>
  <c r="R1232" i="6"/>
  <c r="E1232" i="6"/>
  <c r="Q1231" i="6"/>
  <c r="D1231" i="6"/>
  <c r="P1230" i="6"/>
  <c r="C1230" i="6"/>
  <c r="O1229" i="6"/>
  <c r="B1229" i="6"/>
  <c r="N1228" i="6"/>
  <c r="A1228" i="6"/>
  <c r="M1227" i="6"/>
  <c r="T1226" i="6"/>
  <c r="L1226" i="6"/>
  <c r="S1225" i="6"/>
  <c r="H1225" i="6"/>
  <c r="R1224" i="6"/>
  <c r="E1224" i="6"/>
  <c r="Q1223" i="6"/>
  <c r="D1223" i="6"/>
  <c r="P1222" i="6"/>
  <c r="C1222" i="6"/>
  <c r="O1221" i="6"/>
  <c r="B1221" i="6"/>
  <c r="N1220" i="6"/>
  <c r="A1220" i="6"/>
  <c r="M1219" i="6"/>
  <c r="T1218" i="6"/>
  <c r="L1218" i="6"/>
  <c r="S1217" i="6"/>
  <c r="H1217" i="6"/>
  <c r="R1216" i="6"/>
  <c r="E1216" i="6"/>
  <c r="Q1215" i="6"/>
  <c r="D1215" i="6"/>
  <c r="P1214" i="6"/>
  <c r="C1214" i="6"/>
  <c r="O1213" i="6"/>
  <c r="B1213" i="6"/>
  <c r="N1212" i="6"/>
  <c r="A1212" i="6"/>
  <c r="M1211" i="6"/>
  <c r="T1210" i="6"/>
  <c r="L1210" i="6"/>
  <c r="S1209" i="6"/>
  <c r="H1209" i="6"/>
  <c r="R1208" i="6"/>
  <c r="E1208" i="6"/>
  <c r="Q1207" i="6"/>
  <c r="D1207" i="6"/>
  <c r="P1206" i="6"/>
  <c r="C1206" i="6"/>
  <c r="O1205" i="6"/>
  <c r="B1205" i="6"/>
  <c r="N1204" i="6"/>
  <c r="A1204" i="6"/>
  <c r="M1203" i="6"/>
  <c r="A1203" i="6"/>
  <c r="M1202" i="6"/>
  <c r="A1202" i="6"/>
  <c r="M1201" i="6"/>
  <c r="T1200" i="6"/>
  <c r="L1200" i="6"/>
  <c r="S1199" i="6"/>
  <c r="H1199" i="6"/>
  <c r="R1198" i="6"/>
  <c r="E1198" i="6"/>
  <c r="Q1197" i="6"/>
  <c r="D1197" i="6"/>
  <c r="P1196" i="6"/>
  <c r="C1196" i="6"/>
  <c r="O1195" i="6"/>
  <c r="B1195" i="6"/>
  <c r="N1194" i="6"/>
  <c r="A1194" i="6"/>
  <c r="M1193" i="6"/>
  <c r="T1192" i="6"/>
  <c r="L1192" i="6"/>
  <c r="S1191" i="6"/>
  <c r="H1191" i="6"/>
  <c r="R1190" i="6"/>
  <c r="E1190" i="6"/>
  <c r="Q1189" i="6"/>
  <c r="D1189" i="6"/>
  <c r="P1188" i="6"/>
  <c r="C1188" i="6"/>
  <c r="O1187" i="6"/>
  <c r="B1187" i="6"/>
  <c r="I1540" i="6"/>
  <c r="L1506" i="6"/>
  <c r="E1473" i="6"/>
  <c r="O1441" i="6"/>
  <c r="L1417" i="6"/>
  <c r="B1413" i="6"/>
  <c r="R1408" i="6"/>
  <c r="O1404" i="6"/>
  <c r="M1400" i="6"/>
  <c r="D1396" i="6"/>
  <c r="R1391" i="6"/>
  <c r="O1387" i="6"/>
  <c r="L1383" i="6"/>
  <c r="E1379" i="6"/>
  <c r="T1374" i="6"/>
  <c r="R1370" i="6"/>
  <c r="N1366" i="6"/>
  <c r="D1362" i="6"/>
  <c r="S1357" i="6"/>
  <c r="P1353" i="6"/>
  <c r="M1349" i="6"/>
  <c r="E1345" i="6"/>
  <c r="B1341" i="6"/>
  <c r="S1336" i="6"/>
  <c r="Q1332" i="6"/>
  <c r="L1328" i="6"/>
  <c r="D1324" i="6"/>
  <c r="R1319" i="6"/>
  <c r="M1315" i="6"/>
  <c r="A1311" i="6"/>
  <c r="S1306" i="6"/>
  <c r="P1302" i="6"/>
  <c r="I1300" i="6"/>
  <c r="R1299" i="6"/>
  <c r="E1299" i="6"/>
  <c r="Q1298" i="6"/>
  <c r="D1298" i="6"/>
  <c r="P1297" i="6"/>
  <c r="C1297" i="6"/>
  <c r="O1296" i="6"/>
  <c r="B1296" i="6"/>
  <c r="M1295" i="6"/>
  <c r="S1294" i="6"/>
  <c r="H1294" i="6"/>
  <c r="R1293" i="6"/>
  <c r="E1293" i="6"/>
  <c r="Q1292" i="6"/>
  <c r="E1292" i="6"/>
  <c r="Q1291" i="6"/>
  <c r="D1291" i="6"/>
  <c r="P1290" i="6"/>
  <c r="C1290" i="6"/>
  <c r="O1289" i="6"/>
  <c r="B1289" i="6"/>
  <c r="N1288" i="6"/>
  <c r="A1288" i="6"/>
  <c r="M1287" i="6"/>
  <c r="A1287" i="6"/>
  <c r="M1286" i="6"/>
  <c r="T1285" i="6"/>
  <c r="L1285" i="6"/>
  <c r="S1284" i="6"/>
  <c r="H1284" i="6"/>
  <c r="R1283" i="6"/>
  <c r="E1283" i="6"/>
  <c r="Q1282" i="6"/>
  <c r="E1282" i="6"/>
  <c r="Q1281" i="6"/>
  <c r="D1281" i="6"/>
  <c r="O1280" i="6"/>
  <c r="B1280" i="6"/>
  <c r="M1279" i="6"/>
  <c r="A1279" i="6"/>
  <c r="L1278" i="6"/>
  <c r="R1277" i="6"/>
  <c r="E1277" i="6"/>
  <c r="Q1276" i="6"/>
  <c r="D1276" i="6"/>
  <c r="P1275" i="6"/>
  <c r="C1275" i="6"/>
  <c r="O1274" i="6"/>
  <c r="B1274" i="6"/>
  <c r="N1273" i="6"/>
  <c r="A1273" i="6"/>
  <c r="M1272" i="6"/>
  <c r="T1271" i="6"/>
  <c r="L1271" i="6"/>
  <c r="S1270" i="6"/>
  <c r="H1270" i="6"/>
  <c r="Q1269" i="6"/>
  <c r="E1269" i="6"/>
  <c r="Q1268" i="6"/>
  <c r="D1268" i="6"/>
  <c r="O1267" i="6"/>
  <c r="C1267" i="6"/>
  <c r="O1266" i="6"/>
  <c r="B1266" i="6"/>
  <c r="N1265" i="6"/>
  <c r="A1265" i="6"/>
  <c r="M1264" i="6"/>
  <c r="T1263" i="6"/>
  <c r="L1263" i="6"/>
  <c r="S1262" i="6"/>
  <c r="H1262" i="6"/>
  <c r="R1261" i="6"/>
  <c r="E1261" i="6"/>
  <c r="Q1260" i="6"/>
  <c r="D1260" i="6"/>
  <c r="P1259" i="6"/>
  <c r="C1259" i="6"/>
  <c r="O1258" i="6"/>
  <c r="B1258" i="6"/>
  <c r="N1257" i="6"/>
  <c r="A1257" i="6"/>
  <c r="L1256" i="6"/>
  <c r="R1255" i="6"/>
  <c r="H1255" i="6"/>
  <c r="R1254" i="6"/>
  <c r="E1254" i="6"/>
  <c r="Q1253" i="6"/>
  <c r="D1253" i="6"/>
  <c r="P1252" i="6"/>
  <c r="C1252" i="6"/>
  <c r="O1251" i="6"/>
  <c r="B1251" i="6"/>
  <c r="N1250" i="6"/>
  <c r="A1250" i="6"/>
  <c r="M1249" i="6"/>
  <c r="S1248" i="6"/>
  <c r="H1248" i="6"/>
  <c r="R1247" i="6"/>
  <c r="H1247" i="6"/>
  <c r="R1246" i="6"/>
  <c r="E1246" i="6"/>
  <c r="Q1245" i="6"/>
  <c r="E1245" i="6"/>
  <c r="Q1244" i="6"/>
  <c r="D1244" i="6"/>
  <c r="P1243" i="6"/>
  <c r="C1243" i="6"/>
  <c r="O1242" i="6"/>
  <c r="C1242" i="6"/>
  <c r="O1241" i="6"/>
  <c r="C1241" i="6"/>
  <c r="N1240" i="6"/>
  <c r="C1240" i="6"/>
  <c r="O1239" i="6"/>
  <c r="C1239" i="6"/>
  <c r="O1238" i="6"/>
  <c r="B1238" i="6"/>
  <c r="N1237" i="6"/>
  <c r="A1237" i="6"/>
  <c r="M1236" i="6"/>
  <c r="T1235" i="6"/>
  <c r="L1235" i="6"/>
  <c r="S1234" i="6"/>
  <c r="H1234" i="6"/>
  <c r="R1233" i="6"/>
  <c r="E1233" i="6"/>
  <c r="Q1232" i="6"/>
  <c r="D1232" i="6"/>
  <c r="P1231" i="6"/>
  <c r="C1231" i="6"/>
  <c r="O1230" i="6"/>
  <c r="B1230" i="6"/>
  <c r="N1229" i="6"/>
  <c r="A1229" i="6"/>
  <c r="M1228" i="6"/>
  <c r="T1227" i="6"/>
  <c r="L1227" i="6"/>
  <c r="S1226" i="6"/>
  <c r="H1226" i="6"/>
  <c r="R1225" i="6"/>
  <c r="E1225" i="6"/>
  <c r="Q1224" i="6"/>
  <c r="D1224" i="6"/>
  <c r="P1223" i="6"/>
  <c r="C1223" i="6"/>
  <c r="O1222" i="6"/>
  <c r="B1222" i="6"/>
  <c r="N1221" i="6"/>
  <c r="A1221" i="6"/>
  <c r="M1220" i="6"/>
  <c r="T1219" i="6"/>
  <c r="L1219" i="6"/>
  <c r="S1218" i="6"/>
  <c r="H1218" i="6"/>
  <c r="R1217" i="6"/>
  <c r="E1217" i="6"/>
  <c r="Q1216" i="6"/>
  <c r="D1216" i="6"/>
  <c r="P1215" i="6"/>
  <c r="C1215" i="6"/>
  <c r="O1214" i="6"/>
  <c r="B1214" i="6"/>
  <c r="N1213" i="6"/>
  <c r="A1213" i="6"/>
  <c r="M1212" i="6"/>
  <c r="T1211" i="6"/>
  <c r="L1211" i="6"/>
  <c r="S1210" i="6"/>
  <c r="H1210" i="6"/>
  <c r="R1209" i="6"/>
  <c r="E1209" i="6"/>
  <c r="Q1208" i="6"/>
  <c r="D1208" i="6"/>
  <c r="P1207" i="6"/>
  <c r="C1207" i="6"/>
  <c r="O1206" i="6"/>
  <c r="B1206" i="6"/>
  <c r="N1205" i="6"/>
  <c r="A1205" i="6"/>
  <c r="M1204" i="6"/>
  <c r="T1203" i="6"/>
  <c r="L1203" i="6"/>
  <c r="T1202" i="6"/>
  <c r="L1202" i="6"/>
  <c r="T1201" i="6"/>
  <c r="L1201" i="6"/>
  <c r="S1200" i="6"/>
  <c r="H1200" i="6"/>
  <c r="R1199" i="6"/>
  <c r="E1199" i="6"/>
  <c r="Q1198" i="6"/>
  <c r="D1198" i="6"/>
  <c r="P1197" i="6"/>
  <c r="C1197" i="6"/>
  <c r="O1196" i="6"/>
  <c r="B1196" i="6"/>
  <c r="N1195" i="6"/>
  <c r="A1195" i="6"/>
  <c r="M1194" i="6"/>
  <c r="T1193" i="6"/>
  <c r="L1193" i="6"/>
  <c r="S1192" i="6"/>
  <c r="H1192" i="6"/>
  <c r="R1191" i="6"/>
  <c r="E1191" i="6"/>
  <c r="Q1190" i="6"/>
  <c r="D1190" i="6"/>
  <c r="P1189" i="6"/>
  <c r="C1189" i="6"/>
  <c r="O1188" i="6"/>
  <c r="B1188" i="6"/>
  <c r="N1187" i="6"/>
  <c r="A1187" i="6"/>
  <c r="M1186" i="6"/>
  <c r="T1185" i="6"/>
  <c r="L1185" i="6"/>
  <c r="S1184" i="6"/>
  <c r="C1536" i="6"/>
  <c r="C1502" i="6"/>
  <c r="H1469" i="6"/>
  <c r="N1437" i="6"/>
  <c r="R1416" i="6"/>
  <c r="N1412" i="6"/>
  <c r="E1408" i="6"/>
  <c r="C1404" i="6"/>
  <c r="T1399" i="6"/>
  <c r="P1395" i="6"/>
  <c r="H1391" i="6"/>
  <c r="B1387" i="6"/>
  <c r="S1382" i="6"/>
  <c r="Q1378" i="6"/>
  <c r="L1374" i="6"/>
  <c r="E1370" i="6"/>
  <c r="A1366" i="6"/>
  <c r="P1361" i="6"/>
  <c r="H1357" i="6"/>
  <c r="C1353" i="6"/>
  <c r="A1349" i="6"/>
  <c r="Q1344" i="6"/>
  <c r="N1340" i="6"/>
  <c r="H1336" i="6"/>
  <c r="D1332" i="6"/>
  <c r="S1327" i="6"/>
  <c r="O1323" i="6"/>
  <c r="E1319" i="6"/>
  <c r="S1314" i="6"/>
  <c r="M1310" i="6"/>
  <c r="H1306" i="6"/>
  <c r="C1302" i="6"/>
  <c r="H1300" i="6"/>
  <c r="Q1299" i="6"/>
  <c r="D1299" i="6"/>
  <c r="P1298" i="6"/>
  <c r="C1298" i="6"/>
  <c r="O1297" i="6"/>
  <c r="B1297" i="6"/>
  <c r="N1296" i="6"/>
  <c r="A1296" i="6"/>
  <c r="L1295" i="6"/>
  <c r="R1294" i="6"/>
  <c r="E1294" i="6"/>
  <c r="Q1293" i="6"/>
  <c r="D1293" i="6"/>
  <c r="P1292" i="6"/>
  <c r="D1292" i="6"/>
  <c r="P1291" i="6"/>
  <c r="C1291" i="6"/>
  <c r="O1290" i="6"/>
  <c r="B1290" i="6"/>
  <c r="N1289" i="6"/>
  <c r="A1289" i="6"/>
  <c r="M1288" i="6"/>
  <c r="T1287" i="6"/>
  <c r="L1287" i="6"/>
  <c r="T1286" i="6"/>
  <c r="L1286" i="6"/>
  <c r="S1285" i="6"/>
  <c r="H1285" i="6"/>
  <c r="R1284" i="6"/>
  <c r="E1284" i="6"/>
  <c r="Q1283" i="6"/>
  <c r="D1283" i="6"/>
  <c r="P1282" i="6"/>
  <c r="D1282" i="6"/>
  <c r="P1281" i="6"/>
  <c r="C1281" i="6"/>
  <c r="N1280" i="6"/>
  <c r="A1280" i="6"/>
  <c r="L1279" i="6"/>
  <c r="S1278" i="6"/>
  <c r="H1278" i="6"/>
  <c r="Q1277" i="6"/>
  <c r="D1277" i="6"/>
  <c r="P1276" i="6"/>
  <c r="C1276" i="6"/>
  <c r="O1275" i="6"/>
  <c r="B1275" i="6"/>
  <c r="N1274" i="6"/>
  <c r="A1274" i="6"/>
  <c r="M1273" i="6"/>
  <c r="T1272" i="6"/>
  <c r="L1272" i="6"/>
  <c r="S1271" i="6"/>
  <c r="H1271" i="6"/>
  <c r="R1270" i="6"/>
  <c r="E1270" i="6"/>
  <c r="P1269" i="6"/>
  <c r="D1269" i="6"/>
  <c r="P1268" i="6"/>
  <c r="C1268" i="6"/>
  <c r="N1267" i="6"/>
  <c r="B1267" i="6"/>
  <c r="N1266" i="6"/>
  <c r="A1266" i="6"/>
  <c r="M1265" i="6"/>
  <c r="T1264" i="6"/>
  <c r="L1264" i="6"/>
  <c r="S1263" i="6"/>
  <c r="H1263" i="6"/>
  <c r="R1262" i="6"/>
  <c r="E1262" i="6"/>
  <c r="Q1261" i="6"/>
  <c r="D1261" i="6"/>
  <c r="P1260" i="6"/>
  <c r="C1260" i="6"/>
  <c r="O1259" i="6"/>
  <c r="B1259" i="6"/>
  <c r="N1258" i="6"/>
  <c r="A1258" i="6"/>
  <c r="M1257" i="6"/>
  <c r="S1256" i="6"/>
  <c r="H1256" i="6"/>
  <c r="Q1255" i="6"/>
  <c r="E1255" i="6"/>
  <c r="Q1254" i="6"/>
  <c r="D1254" i="6"/>
  <c r="P1253" i="6"/>
  <c r="C1253" i="6"/>
  <c r="O1252" i="6"/>
  <c r="B1252" i="6"/>
  <c r="N1251" i="6"/>
  <c r="A1251" i="6"/>
  <c r="M1250" i="6"/>
  <c r="T1249" i="6"/>
  <c r="L1249" i="6"/>
  <c r="R1248" i="6"/>
  <c r="E1248" i="6"/>
  <c r="Q1247" i="6"/>
  <c r="E1247" i="6"/>
  <c r="Q1246" i="6"/>
  <c r="D1246" i="6"/>
  <c r="P1245" i="6"/>
  <c r="D1245" i="6"/>
  <c r="P1244" i="6"/>
  <c r="C1244" i="6"/>
  <c r="O1243" i="6"/>
  <c r="B1243" i="6"/>
  <c r="N1242" i="6"/>
  <c r="B1242" i="6"/>
  <c r="N1241" i="6"/>
  <c r="B1241" i="6"/>
  <c r="M1240" i="6"/>
  <c r="B1240" i="6"/>
  <c r="N1239" i="6"/>
  <c r="B1239" i="6"/>
  <c r="N1238" i="6"/>
  <c r="A1238" i="6"/>
  <c r="M1237" i="6"/>
  <c r="T1236" i="6"/>
  <c r="L1236" i="6"/>
  <c r="S1235" i="6"/>
  <c r="H1235" i="6"/>
  <c r="R1234" i="6"/>
  <c r="E1234" i="6"/>
  <c r="Q1233" i="6"/>
  <c r="D1233" i="6"/>
  <c r="P1232" i="6"/>
  <c r="C1232" i="6"/>
  <c r="O1231" i="6"/>
  <c r="B1231" i="6"/>
  <c r="N1230" i="6"/>
  <c r="A1230" i="6"/>
  <c r="M1229" i="6"/>
  <c r="T1228" i="6"/>
  <c r="L1228" i="6"/>
  <c r="S1227" i="6"/>
  <c r="H1227" i="6"/>
  <c r="R1226" i="6"/>
  <c r="E1226" i="6"/>
  <c r="Q1225" i="6"/>
  <c r="D1225" i="6"/>
  <c r="P1224" i="6"/>
  <c r="C1224" i="6"/>
  <c r="O1223" i="6"/>
  <c r="B1223" i="6"/>
  <c r="N1222" i="6"/>
  <c r="A1222" i="6"/>
  <c r="M1221" i="6"/>
  <c r="T1220" i="6"/>
  <c r="L1220" i="6"/>
  <c r="S1219" i="6"/>
  <c r="H1219" i="6"/>
  <c r="R1218" i="6"/>
  <c r="E1218" i="6"/>
  <c r="Q1217" i="6"/>
  <c r="D1217" i="6"/>
  <c r="P1216" i="6"/>
  <c r="C1216" i="6"/>
  <c r="O1215" i="6"/>
  <c r="B1215" i="6"/>
  <c r="N1214" i="6"/>
  <c r="A1214" i="6"/>
  <c r="M1213" i="6"/>
  <c r="T1212" i="6"/>
  <c r="L1212" i="6"/>
  <c r="S1211" i="6"/>
  <c r="H1211" i="6"/>
  <c r="R1210" i="6"/>
  <c r="E1210" i="6"/>
  <c r="Q1209" i="6"/>
  <c r="D1209" i="6"/>
  <c r="P1208" i="6"/>
  <c r="C1208" i="6"/>
  <c r="O1207" i="6"/>
  <c r="B1207" i="6"/>
  <c r="N1206" i="6"/>
  <c r="A1206" i="6"/>
  <c r="M1205" i="6"/>
  <c r="T1204" i="6"/>
  <c r="L1204" i="6"/>
  <c r="S1203" i="6"/>
  <c r="H1203" i="6"/>
  <c r="S1202" i="6"/>
  <c r="H1202" i="6"/>
  <c r="S1201" i="6"/>
  <c r="H1201" i="6"/>
  <c r="R1200" i="6"/>
  <c r="E1200" i="6"/>
  <c r="Q1199" i="6"/>
  <c r="D1199" i="6"/>
  <c r="P1198" i="6"/>
  <c r="C1198" i="6"/>
  <c r="O1197" i="6"/>
  <c r="B1197" i="6"/>
  <c r="N1196" i="6"/>
  <c r="A1196" i="6"/>
  <c r="M1195" i="6"/>
  <c r="T1194" i="6"/>
  <c r="L1194" i="6"/>
  <c r="S1193" i="6"/>
  <c r="H1193" i="6"/>
  <c r="R1192" i="6"/>
  <c r="E1192" i="6"/>
  <c r="Q1191" i="6"/>
  <c r="D1191" i="6"/>
  <c r="P1190" i="6"/>
  <c r="C1190" i="6"/>
  <c r="O1189" i="6"/>
  <c r="B1189" i="6"/>
  <c r="N1188" i="6"/>
  <c r="A1188" i="6"/>
  <c r="M1187" i="6"/>
  <c r="A1532" i="6"/>
  <c r="S1497" i="6"/>
  <c r="L1465" i="6"/>
  <c r="E1433" i="6"/>
  <c r="E1416" i="6"/>
  <c r="A1412" i="6"/>
  <c r="Q1407" i="6"/>
  <c r="O1403" i="6"/>
  <c r="L1399" i="6"/>
  <c r="C1395" i="6"/>
  <c r="R1390" i="6"/>
  <c r="M1386" i="6"/>
  <c r="H1382" i="6"/>
  <c r="D1378" i="6"/>
  <c r="S1373" i="6"/>
  <c r="Q1369" i="6"/>
  <c r="M1365" i="6"/>
  <c r="C1361" i="6"/>
  <c r="R1356" i="6"/>
  <c r="O1352" i="6"/>
  <c r="M1348" i="6"/>
  <c r="E1344" i="6"/>
  <c r="A1340" i="6"/>
  <c r="Q1335" i="6"/>
  <c r="P1331" i="6"/>
  <c r="I1327" i="6"/>
  <c r="C1323" i="6"/>
  <c r="Q1318" i="6"/>
  <c r="H1314" i="6"/>
  <c r="T1309" i="6"/>
  <c r="R1305" i="6"/>
  <c r="O1301" i="6"/>
  <c r="E1300" i="6"/>
  <c r="P1299" i="6"/>
  <c r="C1299" i="6"/>
  <c r="O1298" i="6"/>
  <c r="B1298" i="6"/>
  <c r="N1297" i="6"/>
  <c r="A1297" i="6"/>
  <c r="M1296" i="6"/>
  <c r="S1295" i="6"/>
  <c r="H1295" i="6"/>
  <c r="Q1294" i="6"/>
  <c r="D1294" i="6"/>
  <c r="P1293" i="6"/>
  <c r="C1293" i="6"/>
  <c r="O1292" i="6"/>
  <c r="C1292" i="6"/>
  <c r="O1291" i="6"/>
  <c r="B1291" i="6"/>
  <c r="N1290" i="6"/>
  <c r="A1290" i="6"/>
  <c r="M1289" i="6"/>
  <c r="T1288" i="6"/>
  <c r="L1288" i="6"/>
  <c r="S1287" i="6"/>
  <c r="I1287" i="6"/>
  <c r="S1286" i="6"/>
  <c r="H1286" i="6"/>
  <c r="R1285" i="6"/>
  <c r="E1285" i="6"/>
  <c r="Q1284" i="6"/>
  <c r="D1284" i="6"/>
  <c r="P1283" i="6"/>
  <c r="C1283" i="6"/>
  <c r="O1282" i="6"/>
  <c r="C1282" i="6"/>
  <c r="O1281" i="6"/>
  <c r="B1281" i="6"/>
  <c r="M1280" i="6"/>
  <c r="S1279" i="6"/>
  <c r="I1279" i="6"/>
  <c r="R1278" i="6"/>
  <c r="E1278" i="6"/>
  <c r="P1277" i="6"/>
  <c r="C1277" i="6"/>
  <c r="O1276" i="6"/>
  <c r="B1276" i="6"/>
  <c r="N1275" i="6"/>
  <c r="A1275" i="6"/>
  <c r="M1274" i="6"/>
  <c r="T1273" i="6"/>
  <c r="L1273" i="6"/>
  <c r="S1272" i="6"/>
  <c r="H1272" i="6"/>
  <c r="R1271" i="6"/>
  <c r="E1271" i="6"/>
  <c r="Q1270" i="6"/>
  <c r="D1270" i="6"/>
  <c r="O1269" i="6"/>
  <c r="C1269" i="6"/>
  <c r="O1268" i="6"/>
  <c r="B1268" i="6"/>
  <c r="M1267" i="6"/>
  <c r="A1267" i="6"/>
  <c r="M1266" i="6"/>
  <c r="T1265" i="6"/>
  <c r="L1265" i="6"/>
  <c r="S1264" i="6"/>
  <c r="H1264" i="6"/>
  <c r="R1263" i="6"/>
  <c r="E1263" i="6"/>
  <c r="Q1262" i="6"/>
  <c r="D1262" i="6"/>
  <c r="P1261" i="6"/>
  <c r="C1261" i="6"/>
  <c r="O1260" i="6"/>
  <c r="B1260" i="6"/>
  <c r="N1259" i="6"/>
  <c r="A1259" i="6"/>
  <c r="M1258" i="6"/>
  <c r="T1257" i="6"/>
  <c r="L1257" i="6"/>
  <c r="R1256" i="6"/>
  <c r="E1256" i="6"/>
  <c r="P1255" i="6"/>
  <c r="D1255" i="6"/>
  <c r="P1254" i="6"/>
  <c r="C1254" i="6"/>
  <c r="O1253" i="6"/>
  <c r="B1253" i="6"/>
  <c r="N1252" i="6"/>
  <c r="A1252" i="6"/>
  <c r="M1251" i="6"/>
  <c r="T1250" i="6"/>
  <c r="L1250" i="6"/>
  <c r="S1249" i="6"/>
  <c r="H1249" i="6"/>
  <c r="Q1248" i="6"/>
  <c r="D1248" i="6"/>
  <c r="P1247" i="6"/>
  <c r="D1247" i="6"/>
  <c r="P1246" i="6"/>
  <c r="C1246" i="6"/>
  <c r="O1245" i="6"/>
  <c r="C1245" i="6"/>
  <c r="O1244" i="6"/>
  <c r="B1244" i="6"/>
  <c r="N1243" i="6"/>
  <c r="A1243" i="6"/>
  <c r="M1242" i="6"/>
  <c r="A1242" i="6"/>
  <c r="M1241" i="6"/>
  <c r="A1241" i="6"/>
  <c r="L1240" i="6"/>
  <c r="A1240" i="6"/>
  <c r="M1239" i="6"/>
  <c r="A1239" i="6"/>
  <c r="M1238" i="6"/>
  <c r="T1237" i="6"/>
  <c r="L1237" i="6"/>
  <c r="S1236" i="6"/>
  <c r="H1236" i="6"/>
  <c r="R1235" i="6"/>
  <c r="E1235" i="6"/>
  <c r="Q1234" i="6"/>
  <c r="D1234" i="6"/>
  <c r="P1233" i="6"/>
  <c r="C1233" i="6"/>
  <c r="O1232" i="6"/>
  <c r="B1232" i="6"/>
  <c r="N1231" i="6"/>
  <c r="A1231" i="6"/>
  <c r="M1230" i="6"/>
  <c r="T1229" i="6"/>
  <c r="L1229" i="6"/>
  <c r="S1228" i="6"/>
  <c r="H1228" i="6"/>
  <c r="R1227" i="6"/>
  <c r="E1227" i="6"/>
  <c r="Q1226" i="6"/>
  <c r="D1226" i="6"/>
  <c r="P1225" i="6"/>
  <c r="C1225" i="6"/>
  <c r="O1224" i="6"/>
  <c r="B1224" i="6"/>
  <c r="N1223" i="6"/>
  <c r="A1223" i="6"/>
  <c r="M1222" i="6"/>
  <c r="T1221" i="6"/>
  <c r="L1221" i="6"/>
  <c r="S1220" i="6"/>
  <c r="H1220" i="6"/>
  <c r="R1219" i="6"/>
  <c r="E1219" i="6"/>
  <c r="Q1218" i="6"/>
  <c r="D1218" i="6"/>
  <c r="P1217" i="6"/>
  <c r="C1217" i="6"/>
  <c r="O1216" i="6"/>
  <c r="B1216" i="6"/>
  <c r="N1215" i="6"/>
  <c r="A1215" i="6"/>
  <c r="M1214" i="6"/>
  <c r="T1213" i="6"/>
  <c r="L1213" i="6"/>
  <c r="S1212" i="6"/>
  <c r="H1212" i="6"/>
  <c r="R1211" i="6"/>
  <c r="E1211" i="6"/>
  <c r="Q1210" i="6"/>
  <c r="D1210" i="6"/>
  <c r="P1209" i="6"/>
  <c r="C1209" i="6"/>
  <c r="O1208" i="6"/>
  <c r="B1208" i="6"/>
  <c r="N1207" i="6"/>
  <c r="A1207" i="6"/>
  <c r="M1206" i="6"/>
  <c r="T1205" i="6"/>
  <c r="L1205" i="6"/>
  <c r="S1204" i="6"/>
  <c r="H1204" i="6"/>
  <c r="R1203" i="6"/>
  <c r="G1203" i="6"/>
  <c r="R1202" i="6"/>
  <c r="F1202" i="6"/>
  <c r="R1201" i="6"/>
  <c r="E1201" i="6"/>
  <c r="Q1200" i="6"/>
  <c r="D1200" i="6"/>
  <c r="P1199" i="6"/>
  <c r="C1199" i="6"/>
  <c r="O1198" i="6"/>
  <c r="B1198" i="6"/>
  <c r="N1197" i="6"/>
  <c r="A1197" i="6"/>
  <c r="M1196" i="6"/>
  <c r="T1195" i="6"/>
  <c r="L1195" i="6"/>
  <c r="S1194" i="6"/>
  <c r="H1194" i="6"/>
  <c r="R1193" i="6"/>
  <c r="E1193" i="6"/>
  <c r="Q1192" i="6"/>
  <c r="D1192" i="6"/>
  <c r="P1191" i="6"/>
  <c r="C1191" i="6"/>
  <c r="O1190" i="6"/>
  <c r="B1190" i="6"/>
  <c r="N1189" i="6"/>
  <c r="A1189" i="6"/>
  <c r="M1188" i="6"/>
  <c r="Q1527" i="6"/>
  <c r="O1493" i="6"/>
  <c r="M1461" i="6"/>
  <c r="A1429" i="6"/>
  <c r="Q1415" i="6"/>
  <c r="M1411" i="6"/>
  <c r="D1407" i="6"/>
  <c r="C1403" i="6"/>
  <c r="S1398" i="6"/>
  <c r="O1394" i="6"/>
  <c r="E1390" i="6"/>
  <c r="A1386" i="6"/>
  <c r="R1381" i="6"/>
  <c r="P1377" i="6"/>
  <c r="H1373" i="6"/>
  <c r="D1369" i="6"/>
  <c r="S1364" i="6"/>
  <c r="O1360" i="6"/>
  <c r="E1356" i="6"/>
  <c r="C1352" i="6"/>
  <c r="T1347" i="6"/>
  <c r="Q1343" i="6"/>
  <c r="M1339" i="6"/>
  <c r="F1335" i="6"/>
  <c r="C1331" i="6"/>
  <c r="S1326" i="6"/>
  <c r="O1322" i="6"/>
  <c r="D1318" i="6"/>
  <c r="Q1313" i="6"/>
  <c r="L1309" i="6"/>
  <c r="H1305" i="6"/>
  <c r="B1301" i="6"/>
  <c r="D1300" i="6"/>
  <c r="O1299" i="6"/>
  <c r="B1299" i="6"/>
  <c r="N1298" i="6"/>
  <c r="A1298" i="6"/>
  <c r="M1297" i="6"/>
  <c r="T1296" i="6"/>
  <c r="L1296" i="6"/>
  <c r="R1295" i="6"/>
  <c r="E1295" i="6"/>
  <c r="P1294" i="6"/>
  <c r="C1294" i="6"/>
  <c r="O1293" i="6"/>
  <c r="B1293" i="6"/>
  <c r="N1292" i="6"/>
  <c r="B1292" i="6"/>
  <c r="N1291" i="6"/>
  <c r="A1291" i="6"/>
  <c r="M1290" i="6"/>
  <c r="T1289" i="6"/>
  <c r="L1289" i="6"/>
  <c r="S1288" i="6"/>
  <c r="H1288" i="6"/>
  <c r="R1287" i="6"/>
  <c r="H1287" i="6"/>
  <c r="R1286" i="6"/>
  <c r="E1286" i="6"/>
  <c r="Q1285" i="6"/>
  <c r="D1285" i="6"/>
  <c r="P1284" i="6"/>
  <c r="C1284" i="6"/>
  <c r="O1283" i="6"/>
  <c r="B1283" i="6"/>
  <c r="N1282" i="6"/>
  <c r="B1282" i="6"/>
  <c r="N1281" i="6"/>
  <c r="A1281" i="6"/>
  <c r="L1280" i="6"/>
  <c r="R1279" i="6"/>
  <c r="H1279" i="6"/>
  <c r="Q1278" i="6"/>
  <c r="D1278" i="6"/>
  <c r="O1277" i="6"/>
  <c r="B1277" i="6"/>
  <c r="N1276" i="6"/>
  <c r="A1276" i="6"/>
  <c r="M1275" i="6"/>
  <c r="T1274" i="6"/>
  <c r="L1274" i="6"/>
  <c r="S1273" i="6"/>
  <c r="H1273" i="6"/>
  <c r="R1272" i="6"/>
  <c r="E1272" i="6"/>
  <c r="Q1271" i="6"/>
  <c r="D1271" i="6"/>
  <c r="P1270" i="6"/>
  <c r="C1270" i="6"/>
  <c r="N1269" i="6"/>
  <c r="B1269" i="6"/>
  <c r="N1268" i="6"/>
  <c r="A1268" i="6"/>
  <c r="L1267" i="6"/>
  <c r="T1266" i="6"/>
  <c r="L1266" i="6"/>
  <c r="S1265" i="6"/>
  <c r="H1265" i="6"/>
  <c r="R1264" i="6"/>
  <c r="E1264" i="6"/>
  <c r="Q1263" i="6"/>
  <c r="D1263" i="6"/>
  <c r="P1262" i="6"/>
  <c r="C1262" i="6"/>
  <c r="O1261" i="6"/>
  <c r="B1261" i="6"/>
  <c r="N1260" i="6"/>
  <c r="A1260" i="6"/>
  <c r="M1259" i="6"/>
  <c r="T1258" i="6"/>
  <c r="L1258" i="6"/>
  <c r="S1257" i="6"/>
  <c r="H1257" i="6"/>
  <c r="Q1256" i="6"/>
  <c r="D1256" i="6"/>
  <c r="O1255" i="6"/>
  <c r="C1255" i="6"/>
  <c r="O1254" i="6"/>
  <c r="B1254" i="6"/>
  <c r="N1253" i="6"/>
  <c r="A1253" i="6"/>
  <c r="M1252" i="6"/>
  <c r="T1251" i="6"/>
  <c r="L1251" i="6"/>
  <c r="S1250" i="6"/>
  <c r="H1250" i="6"/>
  <c r="R1249" i="6"/>
  <c r="E1249" i="6"/>
  <c r="P1248" i="6"/>
  <c r="C1248" i="6"/>
  <c r="O1247" i="6"/>
  <c r="C1247" i="6"/>
  <c r="O1246" i="6"/>
  <c r="B1246" i="6"/>
  <c r="N1245" i="6"/>
  <c r="B1245" i="6"/>
  <c r="N1244" i="6"/>
  <c r="A1244" i="6"/>
  <c r="M1243" i="6"/>
  <c r="T1242" i="6"/>
  <c r="L1242" i="6"/>
  <c r="T1241" i="6"/>
  <c r="L1241" i="6"/>
  <c r="S1240" i="6"/>
  <c r="I1240" i="6"/>
  <c r="T1239" i="6"/>
  <c r="L1239" i="6"/>
  <c r="T1238" i="6"/>
  <c r="L1238" i="6"/>
  <c r="S1237" i="6"/>
  <c r="H1237" i="6"/>
  <c r="R1236" i="6"/>
  <c r="E1236" i="6"/>
  <c r="Q1235" i="6"/>
  <c r="D1235" i="6"/>
  <c r="P1234" i="6"/>
  <c r="C1234" i="6"/>
  <c r="O1233" i="6"/>
  <c r="B1233" i="6"/>
  <c r="N1232" i="6"/>
  <c r="A1232" i="6"/>
  <c r="M1231" i="6"/>
  <c r="T1230" i="6"/>
  <c r="L1230" i="6"/>
  <c r="S1229" i="6"/>
  <c r="H1229" i="6"/>
  <c r="R1228" i="6"/>
  <c r="E1228" i="6"/>
  <c r="Q1227" i="6"/>
  <c r="D1227" i="6"/>
  <c r="P1226" i="6"/>
  <c r="C1226" i="6"/>
  <c r="O1225" i="6"/>
  <c r="B1225" i="6"/>
  <c r="N1224" i="6"/>
  <c r="A1224" i="6"/>
  <c r="M1223" i="6"/>
  <c r="T1222" i="6"/>
  <c r="L1222" i="6"/>
  <c r="S1221" i="6"/>
  <c r="H1221" i="6"/>
  <c r="R1220" i="6"/>
  <c r="E1220" i="6"/>
  <c r="Q1219" i="6"/>
  <c r="D1219" i="6"/>
  <c r="P1218" i="6"/>
  <c r="C1218" i="6"/>
  <c r="O1217" i="6"/>
  <c r="B1217" i="6"/>
  <c r="N1216" i="6"/>
  <c r="A1216" i="6"/>
  <c r="M1215" i="6"/>
  <c r="T1214" i="6"/>
  <c r="L1214" i="6"/>
  <c r="S1213" i="6"/>
  <c r="H1213" i="6"/>
  <c r="R1212" i="6"/>
  <c r="E1212" i="6"/>
  <c r="Q1211" i="6"/>
  <c r="D1211" i="6"/>
  <c r="P1210" i="6"/>
  <c r="C1210" i="6"/>
  <c r="O1209" i="6"/>
  <c r="B1209" i="6"/>
  <c r="N1208" i="6"/>
  <c r="A1208" i="6"/>
  <c r="M1207" i="6"/>
  <c r="T1206" i="6"/>
  <c r="L1206" i="6"/>
  <c r="S1205" i="6"/>
  <c r="H1205" i="6"/>
  <c r="R1204" i="6"/>
  <c r="E1204" i="6"/>
  <c r="Q1203" i="6"/>
  <c r="E1203" i="6"/>
  <c r="Q1202" i="6"/>
  <c r="E1202" i="6"/>
  <c r="Q1201" i="6"/>
  <c r="D1201" i="6"/>
  <c r="P1200" i="6"/>
  <c r="C1200" i="6"/>
  <c r="O1199" i="6"/>
  <c r="B1199" i="6"/>
  <c r="N1198" i="6"/>
  <c r="A1198" i="6"/>
  <c r="M1197" i="6"/>
  <c r="T1196" i="6"/>
  <c r="L1196" i="6"/>
  <c r="S1195" i="6"/>
  <c r="H1195" i="6"/>
  <c r="R1194" i="6"/>
  <c r="E1194" i="6"/>
  <c r="Q1193" i="6"/>
  <c r="D1193" i="6"/>
  <c r="P1192" i="6"/>
  <c r="C1192" i="6"/>
  <c r="O1191" i="6"/>
  <c r="B1191" i="6"/>
  <c r="N1190" i="6"/>
  <c r="A1190" i="6"/>
  <c r="M1189" i="6"/>
  <c r="T1188" i="6"/>
  <c r="L1188" i="6"/>
  <c r="S1187" i="6"/>
  <c r="H1187" i="6"/>
  <c r="M1523" i="6"/>
  <c r="L1489" i="6"/>
  <c r="M1457" i="6"/>
  <c r="S1424" i="6"/>
  <c r="D1415" i="6"/>
  <c r="T1410" i="6"/>
  <c r="P1406" i="6"/>
  <c r="O1402" i="6"/>
  <c r="H1398" i="6"/>
  <c r="B1394" i="6"/>
  <c r="Q1389" i="6"/>
  <c r="M1385" i="6"/>
  <c r="F1381" i="6"/>
  <c r="C1377" i="6"/>
  <c r="R1372" i="6"/>
  <c r="P1368" i="6"/>
  <c r="H1364" i="6"/>
  <c r="B1360" i="6"/>
  <c r="Q1355" i="6"/>
  <c r="O1351" i="6"/>
  <c r="L1347" i="6"/>
  <c r="D1343" i="6"/>
  <c r="T1338" i="6"/>
  <c r="R1334" i="6"/>
  <c r="O1330" i="6"/>
  <c r="H1326" i="6"/>
  <c r="B1322" i="6"/>
  <c r="P1317" i="6"/>
  <c r="D1313" i="6"/>
  <c r="S1308" i="6"/>
  <c r="R1304" i="6"/>
  <c r="A1301" i="6"/>
  <c r="C1300" i="6"/>
  <c r="N1299" i="6"/>
  <c r="A1299" i="6"/>
  <c r="M1298" i="6"/>
  <c r="T1297" i="6"/>
  <c r="L1297" i="6"/>
  <c r="S1296" i="6"/>
  <c r="H1296" i="6"/>
  <c r="Q1295" i="6"/>
  <c r="D1295" i="6"/>
  <c r="O1294" i="6"/>
  <c r="B1294" i="6"/>
  <c r="N1293" i="6"/>
  <c r="A1293" i="6"/>
  <c r="M1292" i="6"/>
  <c r="A1292" i="6"/>
  <c r="M1291" i="6"/>
  <c r="T1290" i="6"/>
  <c r="L1290" i="6"/>
  <c r="S1289" i="6"/>
  <c r="H1289" i="6"/>
  <c r="R1288" i="6"/>
  <c r="E1288" i="6"/>
  <c r="Q1287" i="6"/>
  <c r="E1287" i="6"/>
  <c r="Q1286" i="6"/>
  <c r="D1286" i="6"/>
  <c r="P1285" i="6"/>
  <c r="C1285" i="6"/>
  <c r="O1284" i="6"/>
  <c r="B1284" i="6"/>
  <c r="N1283" i="6"/>
  <c r="A1283" i="6"/>
  <c r="M1282" i="6"/>
  <c r="A1282" i="6"/>
  <c r="M1281" i="6"/>
  <c r="S1280" i="6"/>
  <c r="H1280" i="6"/>
  <c r="Q1279" i="6"/>
  <c r="E1279" i="6"/>
  <c r="P1278" i="6"/>
  <c r="C1278" i="6"/>
  <c r="N1277" i="6"/>
  <c r="A1277" i="6"/>
  <c r="M1276" i="6"/>
  <c r="T1275" i="6"/>
  <c r="L1275" i="6"/>
  <c r="S1274" i="6"/>
  <c r="H1274" i="6"/>
  <c r="R1273" i="6"/>
  <c r="E1273" i="6"/>
  <c r="Q1272" i="6"/>
  <c r="D1272" i="6"/>
  <c r="P1271" i="6"/>
  <c r="C1271" i="6"/>
  <c r="O1270" i="6"/>
  <c r="B1270" i="6"/>
  <c r="M1269" i="6"/>
  <c r="A1269" i="6"/>
  <c r="M1268" i="6"/>
  <c r="S1267" i="6"/>
  <c r="I1267" i="6"/>
  <c r="S1266" i="6"/>
  <c r="H1266" i="6"/>
  <c r="R1265" i="6"/>
  <c r="E1265" i="6"/>
  <c r="Q1264" i="6"/>
  <c r="D1264" i="6"/>
  <c r="P1263" i="6"/>
  <c r="C1263" i="6"/>
  <c r="O1262" i="6"/>
  <c r="B1262" i="6"/>
  <c r="N1261" i="6"/>
  <c r="A1261" i="6"/>
  <c r="M1260" i="6"/>
  <c r="T1259" i="6"/>
  <c r="L1259" i="6"/>
  <c r="S1258" i="6"/>
  <c r="H1258" i="6"/>
  <c r="R1257" i="6"/>
  <c r="E1257" i="6"/>
  <c r="P1256" i="6"/>
  <c r="C1256" i="6"/>
  <c r="N1255" i="6"/>
  <c r="B1255" i="6"/>
  <c r="N1254" i="6"/>
  <c r="A1254" i="6"/>
  <c r="M1253" i="6"/>
  <c r="T1252" i="6"/>
  <c r="L1252" i="6"/>
  <c r="S1251" i="6"/>
  <c r="H1251" i="6"/>
  <c r="R1250" i="6"/>
  <c r="E1250" i="6"/>
  <c r="Q1249" i="6"/>
  <c r="D1249" i="6"/>
  <c r="O1248" i="6"/>
  <c r="B1248" i="6"/>
  <c r="N1247" i="6"/>
  <c r="B1247" i="6"/>
  <c r="N1246" i="6"/>
  <c r="A1246" i="6"/>
  <c r="M1245" i="6"/>
  <c r="A1245" i="6"/>
  <c r="M1244" i="6"/>
  <c r="T1243" i="6"/>
  <c r="L1243" i="6"/>
  <c r="S1242" i="6"/>
  <c r="I1242" i="6"/>
  <c r="S1241" i="6"/>
  <c r="I1241" i="6"/>
  <c r="R1240" i="6"/>
  <c r="H1240" i="6"/>
  <c r="S1239" i="6"/>
  <c r="H1239" i="6"/>
  <c r="S1238" i="6"/>
  <c r="H1238" i="6"/>
  <c r="R1237" i="6"/>
  <c r="E1237" i="6"/>
  <c r="Q1236" i="6"/>
  <c r="D1236" i="6"/>
  <c r="P1235" i="6"/>
  <c r="C1235" i="6"/>
  <c r="O1234" i="6"/>
  <c r="B1234" i="6"/>
  <c r="N1233" i="6"/>
  <c r="A1233" i="6"/>
  <c r="M1232" i="6"/>
  <c r="T1231" i="6"/>
  <c r="L1231" i="6"/>
  <c r="S1230" i="6"/>
  <c r="H1230" i="6"/>
  <c r="R1229" i="6"/>
  <c r="E1229" i="6"/>
  <c r="Q1228" i="6"/>
  <c r="D1228" i="6"/>
  <c r="P1227" i="6"/>
  <c r="C1227" i="6"/>
  <c r="O1226" i="6"/>
  <c r="B1226" i="6"/>
  <c r="N1225" i="6"/>
  <c r="A1225" i="6"/>
  <c r="M1224" i="6"/>
  <c r="T1223" i="6"/>
  <c r="L1223" i="6"/>
  <c r="S1222" i="6"/>
  <c r="H1222" i="6"/>
  <c r="R1221" i="6"/>
  <c r="E1221" i="6"/>
  <c r="Q1220" i="6"/>
  <c r="D1220" i="6"/>
  <c r="P1219" i="6"/>
  <c r="C1219" i="6"/>
  <c r="O1218" i="6"/>
  <c r="B1218" i="6"/>
  <c r="N1217" i="6"/>
  <c r="A1217" i="6"/>
  <c r="M1216" i="6"/>
  <c r="T1215" i="6"/>
  <c r="L1215" i="6"/>
  <c r="S1214" i="6"/>
  <c r="H1214" i="6"/>
  <c r="R1213" i="6"/>
  <c r="E1213" i="6"/>
  <c r="Q1212" i="6"/>
  <c r="D1212" i="6"/>
  <c r="P1211" i="6"/>
  <c r="C1211" i="6"/>
  <c r="O1210" i="6"/>
  <c r="B1210" i="6"/>
  <c r="N1209" i="6"/>
  <c r="A1209" i="6"/>
  <c r="M1208" i="6"/>
  <c r="T1207" i="6"/>
  <c r="L1207" i="6"/>
  <c r="S1206" i="6"/>
  <c r="H1206" i="6"/>
  <c r="R1205" i="6"/>
  <c r="E1205" i="6"/>
  <c r="Q1204" i="6"/>
  <c r="D1204" i="6"/>
  <c r="P1203" i="6"/>
  <c r="D1203" i="6"/>
  <c r="P1202" i="6"/>
  <c r="D1202" i="6"/>
  <c r="P1201" i="6"/>
  <c r="C1201" i="6"/>
  <c r="O1200" i="6"/>
  <c r="B1200" i="6"/>
  <c r="N1199" i="6"/>
  <c r="A1199" i="6"/>
  <c r="M1198" i="6"/>
  <c r="T1197" i="6"/>
  <c r="L1197" i="6"/>
  <c r="S1196" i="6"/>
  <c r="H1196" i="6"/>
  <c r="R1195" i="6"/>
  <c r="E1195" i="6"/>
  <c r="Q1194" i="6"/>
  <c r="D1194" i="6"/>
  <c r="P1193" i="6"/>
  <c r="C1193" i="6"/>
  <c r="O1192" i="6"/>
  <c r="B1192" i="6"/>
  <c r="N1191" i="6"/>
  <c r="A1191" i="6"/>
  <c r="M1190" i="6"/>
  <c r="T1189" i="6"/>
  <c r="L1189" i="6"/>
  <c r="S1188" i="6"/>
  <c r="H1188" i="6"/>
  <c r="R1187" i="6"/>
  <c r="E1187" i="6"/>
  <c r="Q1186" i="6"/>
  <c r="D1186" i="6"/>
  <c r="P1185" i="6"/>
  <c r="C1185" i="6"/>
  <c r="O1184" i="6"/>
  <c r="B1184" i="6"/>
  <c r="M1183" i="6"/>
  <c r="A1183" i="6"/>
  <c r="M1182" i="6"/>
  <c r="T1181" i="6"/>
  <c r="D1519" i="6"/>
  <c r="D1485" i="6"/>
  <c r="M1453" i="6"/>
  <c r="E1421" i="6"/>
  <c r="P1414" i="6"/>
  <c r="L1410" i="6"/>
  <c r="C1406" i="6"/>
  <c r="B1402" i="6"/>
  <c r="R1397" i="6"/>
  <c r="M1393" i="6"/>
  <c r="D1389" i="6"/>
  <c r="A1385" i="6"/>
  <c r="R1380" i="6"/>
  <c r="N1376" i="6"/>
  <c r="F1372" i="6"/>
  <c r="C1368" i="6"/>
  <c r="P1363" i="6"/>
  <c r="N1359" i="6"/>
  <c r="E1355" i="6"/>
  <c r="B1351" i="6"/>
  <c r="S1346" i="6"/>
  <c r="P1342" i="6"/>
  <c r="L1338" i="6"/>
  <c r="G1334" i="6"/>
  <c r="B1330" i="6"/>
  <c r="R1325" i="6"/>
  <c r="N1321" i="6"/>
  <c r="C1317" i="6"/>
  <c r="O1312" i="6"/>
  <c r="I1308" i="6"/>
  <c r="E1304" i="6"/>
  <c r="Q1300" i="6"/>
  <c r="A1300" i="6"/>
  <c r="M1299" i="6"/>
  <c r="T1298" i="6"/>
  <c r="L1298" i="6"/>
  <c r="S1297" i="6"/>
  <c r="H1297" i="6"/>
  <c r="R1296" i="6"/>
  <c r="E1296" i="6"/>
  <c r="P1295" i="6"/>
  <c r="C1295" i="6"/>
  <c r="N1294" i="6"/>
  <c r="A1294" i="6"/>
  <c r="M1293" i="6"/>
  <c r="T1292" i="6"/>
  <c r="L1292" i="6"/>
  <c r="T1291" i="6"/>
  <c r="L1291" i="6"/>
  <c r="S1290" i="6"/>
  <c r="H1290" i="6"/>
  <c r="R1289" i="6"/>
  <c r="E1289" i="6"/>
  <c r="Q1288" i="6"/>
  <c r="D1288" i="6"/>
  <c r="P1287" i="6"/>
  <c r="D1287" i="6"/>
  <c r="P1286" i="6"/>
  <c r="C1286" i="6"/>
  <c r="O1285" i="6"/>
  <c r="B1285" i="6"/>
  <c r="N1284" i="6"/>
  <c r="A1284" i="6"/>
  <c r="M1283" i="6"/>
  <c r="T1282" i="6"/>
  <c r="L1282" i="6"/>
  <c r="T1281" i="6"/>
  <c r="L1281" i="6"/>
  <c r="R1280" i="6"/>
  <c r="E1280" i="6"/>
  <c r="P1279" i="6"/>
  <c r="D1279" i="6"/>
  <c r="O1278" i="6"/>
  <c r="B1278" i="6"/>
  <c r="M1277" i="6"/>
  <c r="T1276" i="6"/>
  <c r="L1276" i="6"/>
  <c r="S1275" i="6"/>
  <c r="H1275" i="6"/>
  <c r="R1274" i="6"/>
  <c r="E1274" i="6"/>
  <c r="Q1273" i="6"/>
  <c r="D1273" i="6"/>
  <c r="P1272" i="6"/>
  <c r="C1272" i="6"/>
  <c r="O1271" i="6"/>
  <c r="B1271" i="6"/>
  <c r="N1270" i="6"/>
  <c r="A1270" i="6"/>
  <c r="L1269" i="6"/>
  <c r="T1268" i="6"/>
  <c r="L1268" i="6"/>
  <c r="R1267" i="6"/>
  <c r="H1267" i="6"/>
  <c r="R1266" i="6"/>
  <c r="E1266" i="6"/>
  <c r="Q1265" i="6"/>
  <c r="D1265" i="6"/>
  <c r="P1264" i="6"/>
  <c r="C1264" i="6"/>
  <c r="O1263" i="6"/>
  <c r="B1263" i="6"/>
  <c r="N1262" i="6"/>
  <c r="A1262" i="6"/>
  <c r="M1261" i="6"/>
  <c r="T1260" i="6"/>
  <c r="L1260" i="6"/>
  <c r="S1259" i="6"/>
  <c r="H1259" i="6"/>
  <c r="R1258" i="6"/>
  <c r="E1258" i="6"/>
  <c r="Q1257" i="6"/>
  <c r="D1257" i="6"/>
  <c r="O1256" i="6"/>
  <c r="B1256" i="6"/>
  <c r="M1255" i="6"/>
  <c r="A1255" i="6"/>
  <c r="M1254" i="6"/>
  <c r="T1253" i="6"/>
  <c r="L1253" i="6"/>
  <c r="S1252" i="6"/>
  <c r="H1252" i="6"/>
  <c r="R1251" i="6"/>
  <c r="E1251" i="6"/>
  <c r="Q1250" i="6"/>
  <c r="D1250" i="6"/>
  <c r="P1249" i="6"/>
  <c r="C1249" i="6"/>
  <c r="N1248" i="6"/>
  <c r="A1248" i="6"/>
  <c r="M1247" i="6"/>
  <c r="A1247" i="6"/>
  <c r="M1246" i="6"/>
  <c r="T1245" i="6"/>
  <c r="L1245" i="6"/>
  <c r="T1244" i="6"/>
  <c r="L1244" i="6"/>
  <c r="S1243" i="6"/>
  <c r="H1243" i="6"/>
  <c r="R1242" i="6"/>
  <c r="H1242" i="6"/>
  <c r="R1241" i="6"/>
  <c r="H1241" i="6"/>
  <c r="Q1240" i="6"/>
  <c r="G1240" i="6"/>
  <c r="R1239" i="6"/>
  <c r="F1239" i="6"/>
  <c r="R1238" i="6"/>
  <c r="E1238" i="6"/>
  <c r="Q1237" i="6"/>
  <c r="D1237" i="6"/>
  <c r="P1236" i="6"/>
  <c r="C1236" i="6"/>
  <c r="O1235" i="6"/>
  <c r="B1235" i="6"/>
  <c r="N1234" i="6"/>
  <c r="A1234" i="6"/>
  <c r="M1233" i="6"/>
  <c r="T1232" i="6"/>
  <c r="L1232" i="6"/>
  <c r="S1231" i="6"/>
  <c r="H1231" i="6"/>
  <c r="R1230" i="6"/>
  <c r="E1230" i="6"/>
  <c r="Q1229" i="6"/>
  <c r="D1229" i="6"/>
  <c r="P1228" i="6"/>
  <c r="C1228" i="6"/>
  <c r="O1227" i="6"/>
  <c r="B1227" i="6"/>
  <c r="N1226" i="6"/>
  <c r="A1226" i="6"/>
  <c r="M1225" i="6"/>
  <c r="T1224" i="6"/>
  <c r="L1224" i="6"/>
  <c r="S1223" i="6"/>
  <c r="H1223" i="6"/>
  <c r="R1222" i="6"/>
  <c r="E1222" i="6"/>
  <c r="Q1221" i="6"/>
  <c r="D1221" i="6"/>
  <c r="P1220" i="6"/>
  <c r="C1220" i="6"/>
  <c r="O1219" i="6"/>
  <c r="B1219" i="6"/>
  <c r="N1218" i="6"/>
  <c r="A1218" i="6"/>
  <c r="M1217" i="6"/>
  <c r="T1216" i="6"/>
  <c r="L1216" i="6"/>
  <c r="S1215" i="6"/>
  <c r="H1215" i="6"/>
  <c r="R1214" i="6"/>
  <c r="E1214" i="6"/>
  <c r="Q1213" i="6"/>
  <c r="D1213" i="6"/>
  <c r="P1212" i="6"/>
  <c r="C1212" i="6"/>
  <c r="O1211" i="6"/>
  <c r="B1211" i="6"/>
  <c r="N1210" i="6"/>
  <c r="A1210" i="6"/>
  <c r="M1209" i="6"/>
  <c r="T1208" i="6"/>
  <c r="L1208" i="6"/>
  <c r="S1207" i="6"/>
  <c r="H1207" i="6"/>
  <c r="R1206" i="6"/>
  <c r="E1206" i="6"/>
  <c r="Q1205" i="6"/>
  <c r="D1205" i="6"/>
  <c r="P1204" i="6"/>
  <c r="C1204" i="6"/>
  <c r="O1203" i="6"/>
  <c r="C1203" i="6"/>
  <c r="O1202" i="6"/>
  <c r="C1202" i="6"/>
  <c r="O1201" i="6"/>
  <c r="B1201" i="6"/>
  <c r="N1200" i="6"/>
  <c r="A1200" i="6"/>
  <c r="M1199" i="6"/>
  <c r="T1198" i="6"/>
  <c r="L1198" i="6"/>
  <c r="S1197" i="6"/>
  <c r="H1197" i="6"/>
  <c r="R1196" i="6"/>
  <c r="E1196" i="6"/>
  <c r="Q1195" i="6"/>
  <c r="D1195" i="6"/>
  <c r="P1194" i="6"/>
  <c r="C1194" i="6"/>
  <c r="O1193" i="6"/>
  <c r="B1193" i="6"/>
  <c r="N1192" i="6"/>
  <c r="A1192" i="6"/>
  <c r="M1191" i="6"/>
  <c r="T1190" i="6"/>
  <c r="L1190" i="6"/>
  <c r="S1189" i="6"/>
  <c r="H1189" i="6"/>
  <c r="R1188" i="6"/>
  <c r="E1188" i="6"/>
  <c r="Q1187" i="6"/>
  <c r="S1514" i="6"/>
  <c r="E1397" i="6"/>
  <c r="D1363" i="6"/>
  <c r="N1329" i="6"/>
  <c r="T1299" i="6"/>
  <c r="O1295" i="6"/>
  <c r="H1291" i="6"/>
  <c r="C1287" i="6"/>
  <c r="S1282" i="6"/>
  <c r="N1278" i="6"/>
  <c r="D1274" i="6"/>
  <c r="S1269" i="6"/>
  <c r="P1265" i="6"/>
  <c r="L1261" i="6"/>
  <c r="C1257" i="6"/>
  <c r="R1252" i="6"/>
  <c r="M1248" i="6"/>
  <c r="H1244" i="6"/>
  <c r="E1240" i="6"/>
  <c r="B1236" i="6"/>
  <c r="R1231" i="6"/>
  <c r="N1227" i="6"/>
  <c r="E1223" i="6"/>
  <c r="A1219" i="6"/>
  <c r="Q1214" i="6"/>
  <c r="M1210" i="6"/>
  <c r="D1206" i="6"/>
  <c r="B1202" i="6"/>
  <c r="R1197" i="6"/>
  <c r="N1193" i="6"/>
  <c r="E1189" i="6"/>
  <c r="T1186" i="6"/>
  <c r="E1186" i="6"/>
  <c r="N1185" i="6"/>
  <c r="R1184" i="6"/>
  <c r="D1184" i="6"/>
  <c r="N1183" i="6"/>
  <c r="T1182" i="6"/>
  <c r="H1182" i="6"/>
  <c r="Q1181" i="6"/>
  <c r="D1181" i="6"/>
  <c r="P1180" i="6"/>
  <c r="C1180" i="6"/>
  <c r="O1179" i="6"/>
  <c r="C1179" i="6"/>
  <c r="O1178" i="6"/>
  <c r="C1178" i="6"/>
  <c r="O1177" i="6"/>
  <c r="B1177" i="6"/>
  <c r="N1176" i="6"/>
  <c r="B1176" i="6"/>
  <c r="N1175" i="6"/>
  <c r="B1175" i="6"/>
  <c r="N1174" i="6"/>
  <c r="A1174" i="6"/>
  <c r="M1173" i="6"/>
  <c r="T1172" i="6"/>
  <c r="L1172" i="6"/>
  <c r="S1171" i="6"/>
  <c r="H1171" i="6"/>
  <c r="R1170" i="6"/>
  <c r="E1170" i="6"/>
  <c r="Q1169" i="6"/>
  <c r="D1169" i="6"/>
  <c r="P1168" i="6"/>
  <c r="C1168" i="6"/>
  <c r="O1167" i="6"/>
  <c r="B1167" i="6"/>
  <c r="N1166" i="6"/>
  <c r="A1166" i="6"/>
  <c r="M1165" i="6"/>
  <c r="T1164" i="6"/>
  <c r="L1164" i="6"/>
  <c r="S1163" i="6"/>
  <c r="H1163" i="6"/>
  <c r="R1162" i="6"/>
  <c r="H1162" i="6"/>
  <c r="R1161" i="6"/>
  <c r="E1161" i="6"/>
  <c r="Q1160" i="6"/>
  <c r="D1160" i="6"/>
  <c r="P1159" i="6"/>
  <c r="C1159" i="6"/>
  <c r="O1158" i="6"/>
  <c r="B1158" i="6"/>
  <c r="N1157" i="6"/>
  <c r="A1157" i="6"/>
  <c r="M1156" i="6"/>
  <c r="T1155" i="6"/>
  <c r="L1155" i="6"/>
  <c r="S1154" i="6"/>
  <c r="H1154" i="6"/>
  <c r="R1153" i="6"/>
  <c r="E1153" i="6"/>
  <c r="Q1152" i="6"/>
  <c r="D1152" i="6"/>
  <c r="P1151" i="6"/>
  <c r="E1151" i="6"/>
  <c r="Q1150" i="6"/>
  <c r="E1150" i="6"/>
  <c r="Q1149" i="6"/>
  <c r="D1149" i="6"/>
  <c r="P1148" i="6"/>
  <c r="C1148" i="6"/>
  <c r="O1147" i="6"/>
  <c r="B1147" i="6"/>
  <c r="N1146" i="6"/>
  <c r="A1146" i="6"/>
  <c r="M1145" i="6"/>
  <c r="T1144" i="6"/>
  <c r="L1144" i="6"/>
  <c r="S1143" i="6"/>
  <c r="H1143" i="6"/>
  <c r="R1142" i="6"/>
  <c r="E1142" i="6"/>
  <c r="Q1141" i="6"/>
  <c r="D1141" i="6"/>
  <c r="P1140" i="6"/>
  <c r="C1140" i="6"/>
  <c r="O1139" i="6"/>
  <c r="B1139" i="6"/>
  <c r="N1138" i="6"/>
  <c r="A1138" i="6"/>
  <c r="M1137" i="6"/>
  <c r="T1136" i="6"/>
  <c r="L1136" i="6"/>
  <c r="R1135" i="6"/>
  <c r="H1135" i="6"/>
  <c r="Q1134" i="6"/>
  <c r="E1134" i="6"/>
  <c r="Q1133" i="6"/>
  <c r="D1133" i="6"/>
  <c r="P1132" i="6"/>
  <c r="D1132" i="6"/>
  <c r="P1131" i="6"/>
  <c r="D1131" i="6"/>
  <c r="P1130" i="6"/>
  <c r="D1130" i="6"/>
  <c r="P1129" i="6"/>
  <c r="D1129" i="6"/>
  <c r="P1128" i="6"/>
  <c r="C1128" i="6"/>
  <c r="O1127" i="6"/>
  <c r="B1127" i="6"/>
  <c r="N1126" i="6"/>
  <c r="B1126" i="6"/>
  <c r="N1125" i="6"/>
  <c r="A1125" i="6"/>
  <c r="M1124" i="6"/>
  <c r="A1124" i="6"/>
  <c r="M1123" i="6"/>
  <c r="T1122" i="6"/>
  <c r="L1122" i="6"/>
  <c r="T1121" i="6"/>
  <c r="L1121" i="6"/>
  <c r="S1120" i="6"/>
  <c r="I1120" i="6"/>
  <c r="S1119" i="6"/>
  <c r="I1119" i="6"/>
  <c r="S1118" i="6"/>
  <c r="H1118" i="6"/>
  <c r="R1117" i="6"/>
  <c r="H1117" i="6"/>
  <c r="R1116" i="6"/>
  <c r="H1116" i="6"/>
  <c r="R1115" i="6"/>
  <c r="H1115" i="6"/>
  <c r="R1114" i="6"/>
  <c r="E1114" i="6"/>
  <c r="Q1113" i="6"/>
  <c r="D1113" i="6"/>
  <c r="P1112" i="6"/>
  <c r="D1112" i="6"/>
  <c r="O1111" i="6"/>
  <c r="C1111" i="6"/>
  <c r="O1110" i="6"/>
  <c r="C1110" i="6"/>
  <c r="N1109" i="6"/>
  <c r="B1109" i="6"/>
  <c r="M1108" i="6"/>
  <c r="A1108" i="6"/>
  <c r="M1107" i="6"/>
  <c r="A1107" i="6"/>
  <c r="L1106" i="6"/>
  <c r="S1105" i="6"/>
  <c r="I1105" i="6"/>
  <c r="R1104" i="6"/>
  <c r="H1104" i="6"/>
  <c r="Q1103" i="6"/>
  <c r="E1103" i="6"/>
  <c r="P1102" i="6"/>
  <c r="D1102" i="6"/>
  <c r="P1101" i="6"/>
  <c r="D1101" i="6"/>
  <c r="P1100" i="6"/>
  <c r="D1100" i="6"/>
  <c r="P1099" i="6"/>
  <c r="D1099" i="6"/>
  <c r="P1098" i="6"/>
  <c r="D1098" i="6"/>
  <c r="O1097" i="6"/>
  <c r="B1097" i="6"/>
  <c r="M1096" i="6"/>
  <c r="T1095" i="6"/>
  <c r="L1095" i="6"/>
  <c r="R1094" i="6"/>
  <c r="E1094" i="6"/>
  <c r="Q1093" i="6"/>
  <c r="D1093" i="6"/>
  <c r="P1092" i="6"/>
  <c r="C1092" i="6"/>
  <c r="O1091" i="6"/>
  <c r="B1091" i="6"/>
  <c r="N1090" i="6"/>
  <c r="A1090" i="6"/>
  <c r="L1089" i="6"/>
  <c r="S1088" i="6"/>
  <c r="H1088" i="6"/>
  <c r="R1087" i="6"/>
  <c r="E1087" i="6"/>
  <c r="Q1086" i="6"/>
  <c r="D1086" i="6"/>
  <c r="P1085" i="6"/>
  <c r="C1085" i="6"/>
  <c r="O1084" i="6"/>
  <c r="B1084" i="6"/>
  <c r="N1083" i="6"/>
  <c r="A1083" i="6"/>
  <c r="M1082" i="6"/>
  <c r="T1081" i="6"/>
  <c r="L1081" i="6"/>
  <c r="S1080" i="6"/>
  <c r="H1080" i="6"/>
  <c r="R1079" i="6"/>
  <c r="E1079" i="6"/>
  <c r="Q1078" i="6"/>
  <c r="D1078" i="6"/>
  <c r="P1077" i="6"/>
  <c r="C1077" i="6"/>
  <c r="O1076" i="6"/>
  <c r="B1076" i="6"/>
  <c r="N1075" i="6"/>
  <c r="A1075" i="6"/>
  <c r="M1074" i="6"/>
  <c r="T1073" i="6"/>
  <c r="L1073" i="6"/>
  <c r="S1072" i="6"/>
  <c r="H1072" i="6"/>
  <c r="R1071" i="6"/>
  <c r="E1071" i="6"/>
  <c r="Q1070" i="6"/>
  <c r="D1070" i="6"/>
  <c r="P1069" i="6"/>
  <c r="C1481" i="6"/>
  <c r="S1392" i="6"/>
  <c r="A1359" i="6"/>
  <c r="E1325" i="6"/>
  <c r="L1299" i="6"/>
  <c r="B1295" i="6"/>
  <c r="R1290" i="6"/>
  <c r="O1286" i="6"/>
  <c r="I1282" i="6"/>
  <c r="A1278" i="6"/>
  <c r="P1273" i="6"/>
  <c r="I1269" i="6"/>
  <c r="C1265" i="6"/>
  <c r="S1260" i="6"/>
  <c r="N1256" i="6"/>
  <c r="E1252" i="6"/>
  <c r="T1247" i="6"/>
  <c r="R1243" i="6"/>
  <c r="Q1239" i="6"/>
  <c r="N1235" i="6"/>
  <c r="E1231" i="6"/>
  <c r="A1227" i="6"/>
  <c r="Q1222" i="6"/>
  <c r="M1218" i="6"/>
  <c r="D1214" i="6"/>
  <c r="T1209" i="6"/>
  <c r="P1205" i="6"/>
  <c r="N1201" i="6"/>
  <c r="E1197" i="6"/>
  <c r="A1193" i="6"/>
  <c r="Q1188" i="6"/>
  <c r="S1186" i="6"/>
  <c r="C1186" i="6"/>
  <c r="M1185" i="6"/>
  <c r="Q1184" i="6"/>
  <c r="C1184" i="6"/>
  <c r="L1183" i="6"/>
  <c r="S1182" i="6"/>
  <c r="E1182" i="6"/>
  <c r="P1181" i="6"/>
  <c r="C1181" i="6"/>
  <c r="O1180" i="6"/>
  <c r="B1180" i="6"/>
  <c r="N1179" i="6"/>
  <c r="B1179" i="6"/>
  <c r="N1178" i="6"/>
  <c r="B1178" i="6"/>
  <c r="N1177" i="6"/>
  <c r="A1177" i="6"/>
  <c r="M1176" i="6"/>
  <c r="A1176" i="6"/>
  <c r="M1175" i="6"/>
  <c r="A1175" i="6"/>
  <c r="M1174" i="6"/>
  <c r="T1173" i="6"/>
  <c r="L1173" i="6"/>
  <c r="S1172" i="6"/>
  <c r="H1172" i="6"/>
  <c r="R1171" i="6"/>
  <c r="E1171" i="6"/>
  <c r="Q1170" i="6"/>
  <c r="D1170" i="6"/>
  <c r="P1169" i="6"/>
  <c r="C1169" i="6"/>
  <c r="O1168" i="6"/>
  <c r="B1168" i="6"/>
  <c r="N1167" i="6"/>
  <c r="A1167" i="6"/>
  <c r="M1166" i="6"/>
  <c r="T1165" i="6"/>
  <c r="L1165" i="6"/>
  <c r="S1164" i="6"/>
  <c r="H1164" i="6"/>
  <c r="R1163" i="6"/>
  <c r="E1163" i="6"/>
  <c r="Q1162" i="6"/>
  <c r="E1162" i="6"/>
  <c r="Q1161" i="6"/>
  <c r="D1161" i="6"/>
  <c r="P1160" i="6"/>
  <c r="C1160" i="6"/>
  <c r="O1159" i="6"/>
  <c r="B1159" i="6"/>
  <c r="N1158" i="6"/>
  <c r="A1158" i="6"/>
  <c r="M1157" i="6"/>
  <c r="T1156" i="6"/>
  <c r="L1156" i="6"/>
  <c r="S1155" i="6"/>
  <c r="H1155" i="6"/>
  <c r="R1154" i="6"/>
  <c r="E1154" i="6"/>
  <c r="Q1153" i="6"/>
  <c r="D1153" i="6"/>
  <c r="P1152" i="6"/>
  <c r="C1152" i="6"/>
  <c r="O1151" i="6"/>
  <c r="D1151" i="6"/>
  <c r="P1150" i="6"/>
  <c r="D1150" i="6"/>
  <c r="P1149" i="6"/>
  <c r="C1149" i="6"/>
  <c r="O1148" i="6"/>
  <c r="B1148" i="6"/>
  <c r="N1147" i="6"/>
  <c r="A1147" i="6"/>
  <c r="M1146" i="6"/>
  <c r="T1145" i="6"/>
  <c r="L1145" i="6"/>
  <c r="S1144" i="6"/>
  <c r="H1144" i="6"/>
  <c r="R1143" i="6"/>
  <c r="E1143" i="6"/>
  <c r="Q1142" i="6"/>
  <c r="D1142" i="6"/>
  <c r="P1141" i="6"/>
  <c r="C1141" i="6"/>
  <c r="O1140" i="6"/>
  <c r="B1140" i="6"/>
  <c r="N1139" i="6"/>
  <c r="A1139" i="6"/>
  <c r="M1138" i="6"/>
  <c r="T1137" i="6"/>
  <c r="L1137" i="6"/>
  <c r="S1136" i="6"/>
  <c r="H1136" i="6"/>
  <c r="Q1135" i="6"/>
  <c r="E1135" i="6"/>
  <c r="P1134" i="6"/>
  <c r="D1134" i="6"/>
  <c r="P1133" i="6"/>
  <c r="C1133" i="6"/>
  <c r="O1132" i="6"/>
  <c r="C1132" i="6"/>
  <c r="O1131" i="6"/>
  <c r="C1131" i="6"/>
  <c r="O1130" i="6"/>
  <c r="C1130" i="6"/>
  <c r="O1129" i="6"/>
  <c r="C1129" i="6"/>
  <c r="O1128" i="6"/>
  <c r="B1128" i="6"/>
  <c r="N1127" i="6"/>
  <c r="A1127" i="6"/>
  <c r="M1126" i="6"/>
  <c r="A1126" i="6"/>
  <c r="M1125" i="6"/>
  <c r="T1124" i="6"/>
  <c r="L1124" i="6"/>
  <c r="T1123" i="6"/>
  <c r="L1123" i="6"/>
  <c r="S1122" i="6"/>
  <c r="I1122" i="6"/>
  <c r="S1121" i="6"/>
  <c r="H1121" i="6"/>
  <c r="R1120" i="6"/>
  <c r="H1120" i="6"/>
  <c r="R1119" i="6"/>
  <c r="H1119" i="6"/>
  <c r="R1118" i="6"/>
  <c r="E1118" i="6"/>
  <c r="Q1117" i="6"/>
  <c r="E1117" i="6"/>
  <c r="Q1116" i="6"/>
  <c r="E1116" i="6"/>
  <c r="Q1115" i="6"/>
  <c r="E1115" i="6"/>
  <c r="Q1114" i="6"/>
  <c r="D1114" i="6"/>
  <c r="P1113" i="6"/>
  <c r="C1113" i="6"/>
  <c r="O1112" i="6"/>
  <c r="C1112" i="6"/>
  <c r="N1111" i="6"/>
  <c r="B1111" i="6"/>
  <c r="N1110" i="6"/>
  <c r="B1110" i="6"/>
  <c r="M1109" i="6"/>
  <c r="A1109" i="6"/>
  <c r="L1108" i="6"/>
  <c r="T1107" i="6"/>
  <c r="L1107" i="6"/>
  <c r="S1106" i="6"/>
  <c r="I1106" i="6"/>
  <c r="R1105" i="6"/>
  <c r="H1105" i="6"/>
  <c r="Q1104" i="6"/>
  <c r="E1104" i="6"/>
  <c r="P1103" i="6"/>
  <c r="D1103" i="6"/>
  <c r="O1102" i="6"/>
  <c r="C1102" i="6"/>
  <c r="O1101" i="6"/>
  <c r="C1101" i="6"/>
  <c r="O1100" i="6"/>
  <c r="C1100" i="6"/>
  <c r="O1099" i="6"/>
  <c r="C1099" i="6"/>
  <c r="O1098" i="6"/>
  <c r="C1098" i="6"/>
  <c r="N1097" i="6"/>
  <c r="A1097" i="6"/>
  <c r="L1096" i="6"/>
  <c r="S1095" i="6"/>
  <c r="H1095" i="6"/>
  <c r="Q1094" i="6"/>
  <c r="D1094" i="6"/>
  <c r="P1093" i="6"/>
  <c r="C1093" i="6"/>
  <c r="O1092" i="6"/>
  <c r="B1092" i="6"/>
  <c r="N1091" i="6"/>
  <c r="A1091" i="6"/>
  <c r="M1090" i="6"/>
  <c r="S1089" i="6"/>
  <c r="H1089" i="6"/>
  <c r="R1088" i="6"/>
  <c r="E1088" i="6"/>
  <c r="Q1087" i="6"/>
  <c r="D1087" i="6"/>
  <c r="P1086" i="6"/>
  <c r="C1086" i="6"/>
  <c r="O1085" i="6"/>
  <c r="B1085" i="6"/>
  <c r="N1084" i="6"/>
  <c r="A1084" i="6"/>
  <c r="M1083" i="6"/>
  <c r="T1082" i="6"/>
  <c r="L1082" i="6"/>
  <c r="S1081" i="6"/>
  <c r="H1081" i="6"/>
  <c r="R1080" i="6"/>
  <c r="E1080" i="6"/>
  <c r="Q1079" i="6"/>
  <c r="D1079" i="6"/>
  <c r="P1078" i="6"/>
  <c r="C1078" i="6"/>
  <c r="O1077" i="6"/>
  <c r="B1077" i="6"/>
  <c r="N1076" i="6"/>
  <c r="A1076" i="6"/>
  <c r="M1075" i="6"/>
  <c r="T1074" i="6"/>
  <c r="L1074" i="6"/>
  <c r="S1073" i="6"/>
  <c r="H1073" i="6"/>
  <c r="R1072" i="6"/>
  <c r="E1072" i="6"/>
  <c r="Q1071" i="6"/>
  <c r="D1071" i="6"/>
  <c r="P1070" i="6"/>
  <c r="C1070" i="6"/>
  <c r="O1069" i="6"/>
  <c r="B1069" i="6"/>
  <c r="N1068" i="6"/>
  <c r="M1449" i="6"/>
  <c r="P1388" i="6"/>
  <c r="Q1354" i="6"/>
  <c r="A1321" i="6"/>
  <c r="S1298" i="6"/>
  <c r="M1294" i="6"/>
  <c r="E1290" i="6"/>
  <c r="B1286" i="6"/>
  <c r="S1281" i="6"/>
  <c r="L1277" i="6"/>
  <c r="C1273" i="6"/>
  <c r="S1268" i="6"/>
  <c r="O1264" i="6"/>
  <c r="H1260" i="6"/>
  <c r="A1256" i="6"/>
  <c r="Q1251" i="6"/>
  <c r="L1247" i="6"/>
  <c r="E1243" i="6"/>
  <c r="E1239" i="6"/>
  <c r="A1235" i="6"/>
  <c r="Q1230" i="6"/>
  <c r="M1226" i="6"/>
  <c r="D1222" i="6"/>
  <c r="T1217" i="6"/>
  <c r="P1213" i="6"/>
  <c r="L1209" i="6"/>
  <c r="C1205" i="6"/>
  <c r="A1201" i="6"/>
  <c r="Q1196" i="6"/>
  <c r="M1192" i="6"/>
  <c r="D1188" i="6"/>
  <c r="R1186" i="6"/>
  <c r="B1186" i="6"/>
  <c r="H1185" i="6"/>
  <c r="P1184" i="6"/>
  <c r="A1184" i="6"/>
  <c r="I1183" i="6"/>
  <c r="R1182" i="6"/>
  <c r="D1182" i="6"/>
  <c r="O1181" i="6"/>
  <c r="B1181" i="6"/>
  <c r="N1180" i="6"/>
  <c r="A1180" i="6"/>
  <c r="M1179" i="6"/>
  <c r="A1179" i="6"/>
  <c r="M1178" i="6"/>
  <c r="A1178" i="6"/>
  <c r="M1177" i="6"/>
  <c r="T1176" i="6"/>
  <c r="L1176" i="6"/>
  <c r="T1175" i="6"/>
  <c r="L1175" i="6"/>
  <c r="T1174" i="6"/>
  <c r="L1174" i="6"/>
  <c r="S1173" i="6"/>
  <c r="H1173" i="6"/>
  <c r="R1172" i="6"/>
  <c r="E1172" i="6"/>
  <c r="Q1171" i="6"/>
  <c r="D1171" i="6"/>
  <c r="P1170" i="6"/>
  <c r="C1170" i="6"/>
  <c r="O1169" i="6"/>
  <c r="B1169" i="6"/>
  <c r="N1168" i="6"/>
  <c r="A1168" i="6"/>
  <c r="M1167" i="6"/>
  <c r="T1166" i="6"/>
  <c r="L1166" i="6"/>
  <c r="S1165" i="6"/>
  <c r="H1165" i="6"/>
  <c r="R1164" i="6"/>
  <c r="E1164" i="6"/>
  <c r="Q1163" i="6"/>
  <c r="D1163" i="6"/>
  <c r="P1162" i="6"/>
  <c r="D1162" i="6"/>
  <c r="P1161" i="6"/>
  <c r="C1161" i="6"/>
  <c r="O1160" i="6"/>
  <c r="B1160" i="6"/>
  <c r="N1159" i="6"/>
  <c r="A1159" i="6"/>
  <c r="M1158" i="6"/>
  <c r="T1157" i="6"/>
  <c r="L1157" i="6"/>
  <c r="S1156" i="6"/>
  <c r="H1156" i="6"/>
  <c r="R1155" i="6"/>
  <c r="E1155" i="6"/>
  <c r="Q1154" i="6"/>
  <c r="D1154" i="6"/>
  <c r="P1153" i="6"/>
  <c r="C1153" i="6"/>
  <c r="O1152" i="6"/>
  <c r="B1152" i="6"/>
  <c r="N1151" i="6"/>
  <c r="C1151" i="6"/>
  <c r="O1150" i="6"/>
  <c r="C1150" i="6"/>
  <c r="O1149" i="6"/>
  <c r="B1149" i="6"/>
  <c r="N1148" i="6"/>
  <c r="A1148" i="6"/>
  <c r="M1147" i="6"/>
  <c r="T1146" i="6"/>
  <c r="L1146" i="6"/>
  <c r="S1145" i="6"/>
  <c r="H1145" i="6"/>
  <c r="R1144" i="6"/>
  <c r="E1144" i="6"/>
  <c r="Q1143" i="6"/>
  <c r="D1143" i="6"/>
  <c r="P1142" i="6"/>
  <c r="C1142" i="6"/>
  <c r="O1141" i="6"/>
  <c r="B1141" i="6"/>
  <c r="N1140" i="6"/>
  <c r="A1140" i="6"/>
  <c r="M1139" i="6"/>
  <c r="T1138" i="6"/>
  <c r="L1138" i="6"/>
  <c r="S1137" i="6"/>
  <c r="H1137" i="6"/>
  <c r="R1136" i="6"/>
  <c r="E1136" i="6"/>
  <c r="P1135" i="6"/>
  <c r="D1135" i="6"/>
  <c r="O1134" i="6"/>
  <c r="C1134" i="6"/>
  <c r="O1133" i="6"/>
  <c r="B1133" i="6"/>
  <c r="N1132" i="6"/>
  <c r="B1132" i="6"/>
  <c r="N1131" i="6"/>
  <c r="B1131" i="6"/>
  <c r="N1130" i="6"/>
  <c r="B1130" i="6"/>
  <c r="N1129" i="6"/>
  <c r="B1129" i="6"/>
  <c r="N1128" i="6"/>
  <c r="A1128" i="6"/>
  <c r="M1127" i="6"/>
  <c r="T1126" i="6"/>
  <c r="L1126" i="6"/>
  <c r="T1125" i="6"/>
  <c r="L1125" i="6"/>
  <c r="S1124" i="6"/>
  <c r="I1124" i="6"/>
  <c r="S1123" i="6"/>
  <c r="H1123" i="6"/>
  <c r="R1122" i="6"/>
  <c r="H1122" i="6"/>
  <c r="R1121" i="6"/>
  <c r="E1121" i="6"/>
  <c r="Q1120" i="6"/>
  <c r="E1120" i="6"/>
  <c r="Q1119" i="6"/>
  <c r="E1119" i="6"/>
  <c r="Q1118" i="6"/>
  <c r="D1118" i="6"/>
  <c r="P1117" i="6"/>
  <c r="D1117" i="6"/>
  <c r="P1116" i="6"/>
  <c r="D1116" i="6"/>
  <c r="P1115" i="6"/>
  <c r="D1115" i="6"/>
  <c r="P1114" i="6"/>
  <c r="C1114" i="6"/>
  <c r="O1113" i="6"/>
  <c r="B1113" i="6"/>
  <c r="N1112" i="6"/>
  <c r="B1112" i="6"/>
  <c r="M1111" i="6"/>
  <c r="A1111" i="6"/>
  <c r="M1110" i="6"/>
  <c r="A1110" i="6"/>
  <c r="L1109" i="6"/>
  <c r="S1108" i="6"/>
  <c r="I1108" i="6"/>
  <c r="S1107" i="6"/>
  <c r="I1107" i="6"/>
  <c r="R1106" i="6"/>
  <c r="H1106" i="6"/>
  <c r="Q1105" i="6"/>
  <c r="E1105" i="6"/>
  <c r="P1104" i="6"/>
  <c r="D1104" i="6"/>
  <c r="O1103" i="6"/>
  <c r="C1103" i="6"/>
  <c r="N1102" i="6"/>
  <c r="B1102" i="6"/>
  <c r="N1101" i="6"/>
  <c r="B1101" i="6"/>
  <c r="N1100" i="6"/>
  <c r="B1100" i="6"/>
  <c r="N1099" i="6"/>
  <c r="B1099" i="6"/>
  <c r="N1098" i="6"/>
  <c r="B1098" i="6"/>
  <c r="M1097" i="6"/>
  <c r="S1096" i="6"/>
  <c r="H1096" i="6"/>
  <c r="R1095" i="6"/>
  <c r="E1095" i="6"/>
  <c r="P1094" i="6"/>
  <c r="C1094" i="6"/>
  <c r="O1093" i="6"/>
  <c r="B1093" i="6"/>
  <c r="N1092" i="6"/>
  <c r="A1092" i="6"/>
  <c r="M1091" i="6"/>
  <c r="T1090" i="6"/>
  <c r="L1090" i="6"/>
  <c r="R1089" i="6"/>
  <c r="E1089" i="6"/>
  <c r="Q1088" i="6"/>
  <c r="D1088" i="6"/>
  <c r="P1087" i="6"/>
  <c r="C1087" i="6"/>
  <c r="O1086" i="6"/>
  <c r="B1086" i="6"/>
  <c r="N1085" i="6"/>
  <c r="A1085" i="6"/>
  <c r="M1084" i="6"/>
  <c r="T1083" i="6"/>
  <c r="L1083" i="6"/>
  <c r="S1082" i="6"/>
  <c r="H1082" i="6"/>
  <c r="R1081" i="6"/>
  <c r="E1081" i="6"/>
  <c r="Q1080" i="6"/>
  <c r="D1080" i="6"/>
  <c r="P1079" i="6"/>
  <c r="C1079" i="6"/>
  <c r="O1078" i="6"/>
  <c r="B1078" i="6"/>
  <c r="N1077" i="6"/>
  <c r="A1077" i="6"/>
  <c r="M1076" i="6"/>
  <c r="T1075" i="6"/>
  <c r="L1075" i="6"/>
  <c r="S1074" i="6"/>
  <c r="H1074" i="6"/>
  <c r="R1073" i="6"/>
  <c r="E1073" i="6"/>
  <c r="Q1072" i="6"/>
  <c r="D1072" i="6"/>
  <c r="P1071" i="6"/>
  <c r="C1071" i="6"/>
  <c r="O1070" i="6"/>
  <c r="B1070" i="6"/>
  <c r="G1419" i="6"/>
  <c r="M1384" i="6"/>
  <c r="N1350" i="6"/>
  <c r="O1316" i="6"/>
  <c r="H1298" i="6"/>
  <c r="T1293" i="6"/>
  <c r="Q1289" i="6"/>
  <c r="N1285" i="6"/>
  <c r="H1281" i="6"/>
  <c r="S1276" i="6"/>
  <c r="O1272" i="6"/>
  <c r="H1268" i="6"/>
  <c r="B1264" i="6"/>
  <c r="R1259" i="6"/>
  <c r="L1255" i="6"/>
  <c r="D1251" i="6"/>
  <c r="T1246" i="6"/>
  <c r="Q1242" i="6"/>
  <c r="Q1238" i="6"/>
  <c r="M1234" i="6"/>
  <c r="D1230" i="6"/>
  <c r="T1225" i="6"/>
  <c r="P1221" i="6"/>
  <c r="L1217" i="6"/>
  <c r="C1213" i="6"/>
  <c r="S1208" i="6"/>
  <c r="O1204" i="6"/>
  <c r="M1200" i="6"/>
  <c r="D1196" i="6"/>
  <c r="T1191" i="6"/>
  <c r="T1187" i="6"/>
  <c r="P1186" i="6"/>
  <c r="A1186" i="6"/>
  <c r="E1185" i="6"/>
  <c r="N1184" i="6"/>
  <c r="S1183" i="6"/>
  <c r="H1183" i="6"/>
  <c r="Q1182" i="6"/>
  <c r="C1182" i="6"/>
  <c r="N1181" i="6"/>
  <c r="A1181" i="6"/>
  <c r="M1180" i="6"/>
  <c r="T1179" i="6"/>
  <c r="L1179" i="6"/>
  <c r="T1178" i="6"/>
  <c r="L1178" i="6"/>
  <c r="T1177" i="6"/>
  <c r="L1177" i="6"/>
  <c r="S1176" i="6"/>
  <c r="I1176" i="6"/>
  <c r="S1175" i="6"/>
  <c r="I1175" i="6"/>
  <c r="S1174" i="6"/>
  <c r="H1174" i="6"/>
  <c r="R1173" i="6"/>
  <c r="E1173" i="6"/>
  <c r="Q1172" i="6"/>
  <c r="D1172" i="6"/>
  <c r="P1171" i="6"/>
  <c r="C1171" i="6"/>
  <c r="O1170" i="6"/>
  <c r="B1170" i="6"/>
  <c r="N1169" i="6"/>
  <c r="A1169" i="6"/>
  <c r="M1168" i="6"/>
  <c r="T1167" i="6"/>
  <c r="L1167" i="6"/>
  <c r="S1166" i="6"/>
  <c r="H1166" i="6"/>
  <c r="R1165" i="6"/>
  <c r="E1165" i="6"/>
  <c r="Q1164" i="6"/>
  <c r="D1164" i="6"/>
  <c r="P1163" i="6"/>
  <c r="C1163" i="6"/>
  <c r="O1162" i="6"/>
  <c r="C1162" i="6"/>
  <c r="O1161" i="6"/>
  <c r="B1161" i="6"/>
  <c r="N1160" i="6"/>
  <c r="A1160" i="6"/>
  <c r="M1159" i="6"/>
  <c r="T1158" i="6"/>
  <c r="L1158" i="6"/>
  <c r="S1157" i="6"/>
  <c r="H1157" i="6"/>
  <c r="R1156" i="6"/>
  <c r="E1156" i="6"/>
  <c r="Q1155" i="6"/>
  <c r="D1155" i="6"/>
  <c r="P1154" i="6"/>
  <c r="C1154" i="6"/>
  <c r="O1153" i="6"/>
  <c r="B1153" i="6"/>
  <c r="N1152" i="6"/>
  <c r="A1152" i="6"/>
  <c r="M1151" i="6"/>
  <c r="B1151" i="6"/>
  <c r="N1150" i="6"/>
  <c r="B1150" i="6"/>
  <c r="N1149" i="6"/>
  <c r="A1149" i="6"/>
  <c r="M1148" i="6"/>
  <c r="T1147" i="6"/>
  <c r="L1147" i="6"/>
  <c r="S1146" i="6"/>
  <c r="H1146" i="6"/>
  <c r="R1145" i="6"/>
  <c r="E1145" i="6"/>
  <c r="Q1144" i="6"/>
  <c r="D1144" i="6"/>
  <c r="P1143" i="6"/>
  <c r="C1143" i="6"/>
  <c r="O1142" i="6"/>
  <c r="B1142" i="6"/>
  <c r="N1141" i="6"/>
  <c r="A1141" i="6"/>
  <c r="M1140" i="6"/>
  <c r="T1139" i="6"/>
  <c r="L1139" i="6"/>
  <c r="S1138" i="6"/>
  <c r="H1138" i="6"/>
  <c r="R1137" i="6"/>
  <c r="E1137" i="6"/>
  <c r="Q1136" i="6"/>
  <c r="D1136" i="6"/>
  <c r="O1135" i="6"/>
  <c r="C1135" i="6"/>
  <c r="N1134" i="6"/>
  <c r="B1134" i="6"/>
  <c r="N1133" i="6"/>
  <c r="A1133" i="6"/>
  <c r="M1132" i="6"/>
  <c r="A1132" i="6"/>
  <c r="M1131" i="6"/>
  <c r="A1131" i="6"/>
  <c r="M1130" i="6"/>
  <c r="A1130" i="6"/>
  <c r="M1129" i="6"/>
  <c r="A1129" i="6"/>
  <c r="M1128" i="6"/>
  <c r="T1127" i="6"/>
  <c r="L1127" i="6"/>
  <c r="S1126" i="6"/>
  <c r="I1126" i="6"/>
  <c r="S1125" i="6"/>
  <c r="H1125" i="6"/>
  <c r="R1124" i="6"/>
  <c r="H1124" i="6"/>
  <c r="R1123" i="6"/>
  <c r="E1123" i="6"/>
  <c r="Q1122" i="6"/>
  <c r="E1122" i="6"/>
  <c r="Q1121" i="6"/>
  <c r="D1121" i="6"/>
  <c r="P1120" i="6"/>
  <c r="D1120" i="6"/>
  <c r="P1119" i="6"/>
  <c r="D1119" i="6"/>
  <c r="P1118" i="6"/>
  <c r="C1118" i="6"/>
  <c r="O1117" i="6"/>
  <c r="C1117" i="6"/>
  <c r="O1116" i="6"/>
  <c r="C1116" i="6"/>
  <c r="O1115" i="6"/>
  <c r="C1115" i="6"/>
  <c r="O1114" i="6"/>
  <c r="B1114" i="6"/>
  <c r="N1113" i="6"/>
  <c r="A1113" i="6"/>
  <c r="M1112" i="6"/>
  <c r="A1112" i="6"/>
  <c r="L1111" i="6"/>
  <c r="T1110" i="6"/>
  <c r="L1110" i="6"/>
  <c r="S1109" i="6"/>
  <c r="I1109" i="6"/>
  <c r="R1108" i="6"/>
  <c r="H1108" i="6"/>
  <c r="R1107" i="6"/>
  <c r="H1107" i="6"/>
  <c r="Q1106" i="6"/>
  <c r="E1106" i="6"/>
  <c r="P1105" i="6"/>
  <c r="D1105" i="6"/>
  <c r="O1104" i="6"/>
  <c r="C1104" i="6"/>
  <c r="N1103" i="6"/>
  <c r="B1103" i="6"/>
  <c r="M1102" i="6"/>
  <c r="A1102" i="6"/>
  <c r="M1101" i="6"/>
  <c r="A1101" i="6"/>
  <c r="M1100" i="6"/>
  <c r="A1100" i="6"/>
  <c r="M1099" i="6"/>
  <c r="A1099" i="6"/>
  <c r="M1098" i="6"/>
  <c r="A1098" i="6"/>
  <c r="L1097" i="6"/>
  <c r="R1096" i="6"/>
  <c r="E1096" i="6"/>
  <c r="Q1095" i="6"/>
  <c r="D1095" i="6"/>
  <c r="O1094" i="6"/>
  <c r="B1094" i="6"/>
  <c r="N1093" i="6"/>
  <c r="A1093" i="6"/>
  <c r="M1092" i="6"/>
  <c r="T1091" i="6"/>
  <c r="L1091" i="6"/>
  <c r="S1090" i="6"/>
  <c r="H1090" i="6"/>
  <c r="Q1089" i="6"/>
  <c r="D1089" i="6"/>
  <c r="P1088" i="6"/>
  <c r="C1088" i="6"/>
  <c r="O1087" i="6"/>
  <c r="B1087" i="6"/>
  <c r="N1086" i="6"/>
  <c r="A1086" i="6"/>
  <c r="M1085" i="6"/>
  <c r="T1084" i="6"/>
  <c r="L1084" i="6"/>
  <c r="S1083" i="6"/>
  <c r="H1083" i="6"/>
  <c r="R1082" i="6"/>
  <c r="E1082" i="6"/>
  <c r="Q1081" i="6"/>
  <c r="D1081" i="6"/>
  <c r="P1080" i="6"/>
  <c r="C1080" i="6"/>
  <c r="O1079" i="6"/>
  <c r="B1079" i="6"/>
  <c r="N1078" i="6"/>
  <c r="A1078" i="6"/>
  <c r="M1077" i="6"/>
  <c r="T1076" i="6"/>
  <c r="L1076" i="6"/>
  <c r="S1075" i="6"/>
  <c r="H1075" i="6"/>
  <c r="R1074" i="6"/>
  <c r="E1074" i="6"/>
  <c r="Q1073" i="6"/>
  <c r="D1073" i="6"/>
  <c r="P1072" i="6"/>
  <c r="C1072" i="6"/>
  <c r="O1071" i="6"/>
  <c r="B1071" i="6"/>
  <c r="N1070" i="6"/>
  <c r="A1070" i="6"/>
  <c r="M1069" i="6"/>
  <c r="T1068" i="6"/>
  <c r="C1414" i="6"/>
  <c r="G1380" i="6"/>
  <c r="H1346" i="6"/>
  <c r="B1312" i="6"/>
  <c r="R1297" i="6"/>
  <c r="L1293" i="6"/>
  <c r="D1289" i="6"/>
  <c r="A1285" i="6"/>
  <c r="Q1280" i="6"/>
  <c r="H1276" i="6"/>
  <c r="B1272" i="6"/>
  <c r="Q1267" i="6"/>
  <c r="N1263" i="6"/>
  <c r="E1259" i="6"/>
  <c r="T1254" i="6"/>
  <c r="P1250" i="6"/>
  <c r="L1246" i="6"/>
  <c r="E1242" i="6"/>
  <c r="D1238" i="6"/>
  <c r="T1233" i="6"/>
  <c r="P1229" i="6"/>
  <c r="L1225" i="6"/>
  <c r="C1221" i="6"/>
  <c r="S1216" i="6"/>
  <c r="O1212" i="6"/>
  <c r="H1208" i="6"/>
  <c r="B1204" i="6"/>
  <c r="T1199" i="6"/>
  <c r="P1195" i="6"/>
  <c r="L1191" i="6"/>
  <c r="P1187" i="6"/>
  <c r="O1186" i="6"/>
  <c r="S1185" i="6"/>
  <c r="D1185" i="6"/>
  <c r="M1184" i="6"/>
  <c r="R1183" i="6"/>
  <c r="E1183" i="6"/>
  <c r="P1182" i="6"/>
  <c r="B1182" i="6"/>
  <c r="M1181" i="6"/>
  <c r="T1180" i="6"/>
  <c r="L1180" i="6"/>
  <c r="S1179" i="6"/>
  <c r="H1179" i="6"/>
  <c r="S1178" i="6"/>
  <c r="H1178" i="6"/>
  <c r="S1177" i="6"/>
  <c r="H1177" i="6"/>
  <c r="R1176" i="6"/>
  <c r="H1176" i="6"/>
  <c r="R1175" i="6"/>
  <c r="H1175" i="6"/>
  <c r="R1174" i="6"/>
  <c r="E1174" i="6"/>
  <c r="Q1173" i="6"/>
  <c r="D1173" i="6"/>
  <c r="P1172" i="6"/>
  <c r="C1172" i="6"/>
  <c r="O1171" i="6"/>
  <c r="B1171" i="6"/>
  <c r="N1170" i="6"/>
  <c r="A1170" i="6"/>
  <c r="M1169" i="6"/>
  <c r="T1168" i="6"/>
  <c r="L1168" i="6"/>
  <c r="S1167" i="6"/>
  <c r="H1167" i="6"/>
  <c r="R1166" i="6"/>
  <c r="E1166" i="6"/>
  <c r="Q1165" i="6"/>
  <c r="D1165" i="6"/>
  <c r="P1164" i="6"/>
  <c r="C1164" i="6"/>
  <c r="O1163" i="6"/>
  <c r="B1163" i="6"/>
  <c r="N1162" i="6"/>
  <c r="B1162" i="6"/>
  <c r="N1161" i="6"/>
  <c r="A1161" i="6"/>
  <c r="M1160" i="6"/>
  <c r="T1159" i="6"/>
  <c r="L1159" i="6"/>
  <c r="S1158" i="6"/>
  <c r="H1158" i="6"/>
  <c r="R1157" i="6"/>
  <c r="E1157" i="6"/>
  <c r="Q1156" i="6"/>
  <c r="D1156" i="6"/>
  <c r="P1155" i="6"/>
  <c r="C1155" i="6"/>
  <c r="O1154" i="6"/>
  <c r="B1154" i="6"/>
  <c r="N1153" i="6"/>
  <c r="A1153" i="6"/>
  <c r="M1152" i="6"/>
  <c r="T1151" i="6"/>
  <c r="L1151" i="6"/>
  <c r="A1151" i="6"/>
  <c r="M1150" i="6"/>
  <c r="A1150" i="6"/>
  <c r="M1149" i="6"/>
  <c r="T1148" i="6"/>
  <c r="L1148" i="6"/>
  <c r="S1147" i="6"/>
  <c r="H1147" i="6"/>
  <c r="R1146" i="6"/>
  <c r="E1146" i="6"/>
  <c r="Q1145" i="6"/>
  <c r="D1145" i="6"/>
  <c r="P1144" i="6"/>
  <c r="C1144" i="6"/>
  <c r="O1143" i="6"/>
  <c r="B1143" i="6"/>
  <c r="N1142" i="6"/>
  <c r="A1142" i="6"/>
  <c r="M1141" i="6"/>
  <c r="T1140" i="6"/>
  <c r="L1140" i="6"/>
  <c r="S1139" i="6"/>
  <c r="H1139" i="6"/>
  <c r="R1138" i="6"/>
  <c r="E1138" i="6"/>
  <c r="Q1137" i="6"/>
  <c r="D1137" i="6"/>
  <c r="P1136" i="6"/>
  <c r="C1136" i="6"/>
  <c r="N1135" i="6"/>
  <c r="B1135" i="6"/>
  <c r="M1134" i="6"/>
  <c r="A1134" i="6"/>
  <c r="M1133" i="6"/>
  <c r="T1132" i="6"/>
  <c r="L1132" i="6"/>
  <c r="T1131" i="6"/>
  <c r="L1131" i="6"/>
  <c r="T1130" i="6"/>
  <c r="L1130" i="6"/>
  <c r="T1129" i="6"/>
  <c r="L1129" i="6"/>
  <c r="T1128" i="6"/>
  <c r="L1128" i="6"/>
  <c r="S1127" i="6"/>
  <c r="H1127" i="6"/>
  <c r="R1126" i="6"/>
  <c r="H1126" i="6"/>
  <c r="R1125" i="6"/>
  <c r="E1125" i="6"/>
  <c r="Q1124" i="6"/>
  <c r="E1124" i="6"/>
  <c r="Q1123" i="6"/>
  <c r="D1123" i="6"/>
  <c r="P1122" i="6"/>
  <c r="D1122" i="6"/>
  <c r="P1121" i="6"/>
  <c r="C1121" i="6"/>
  <c r="O1120" i="6"/>
  <c r="C1120" i="6"/>
  <c r="O1119" i="6"/>
  <c r="C1119" i="6"/>
  <c r="O1118" i="6"/>
  <c r="B1118" i="6"/>
  <c r="N1117" i="6"/>
  <c r="B1117" i="6"/>
  <c r="N1116" i="6"/>
  <c r="B1116" i="6"/>
  <c r="N1115" i="6"/>
  <c r="B1115" i="6"/>
  <c r="N1114" i="6"/>
  <c r="A1114" i="6"/>
  <c r="M1113" i="6"/>
  <c r="T1112" i="6"/>
  <c r="L1112" i="6"/>
  <c r="S1111" i="6"/>
  <c r="I1111" i="6"/>
  <c r="S1110" i="6"/>
  <c r="I1110" i="6"/>
  <c r="R1109" i="6"/>
  <c r="H1109" i="6"/>
  <c r="Q1108" i="6"/>
  <c r="E1108" i="6"/>
  <c r="Q1107" i="6"/>
  <c r="E1107" i="6"/>
  <c r="P1106" i="6"/>
  <c r="D1106" i="6"/>
  <c r="O1105" i="6"/>
  <c r="C1105" i="6"/>
  <c r="N1104" i="6"/>
  <c r="B1104" i="6"/>
  <c r="M1103" i="6"/>
  <c r="A1103" i="6"/>
  <c r="L1102" i="6"/>
  <c r="T1101" i="6"/>
  <c r="L1101" i="6"/>
  <c r="T1100" i="6"/>
  <c r="L1100" i="6"/>
  <c r="T1099" i="6"/>
  <c r="L1099" i="6"/>
  <c r="T1098" i="6"/>
  <c r="L1098" i="6"/>
  <c r="S1097" i="6"/>
  <c r="H1097" i="6"/>
  <c r="Q1096" i="6"/>
  <c r="D1096" i="6"/>
  <c r="P1095" i="6"/>
  <c r="C1095" i="6"/>
  <c r="N1094" i="6"/>
  <c r="A1094" i="6"/>
  <c r="M1093" i="6"/>
  <c r="T1092" i="6"/>
  <c r="L1092" i="6"/>
  <c r="S1091" i="6"/>
  <c r="H1091" i="6"/>
  <c r="R1090" i="6"/>
  <c r="E1090" i="6"/>
  <c r="P1089" i="6"/>
  <c r="C1089" i="6"/>
  <c r="O1088" i="6"/>
  <c r="B1088" i="6"/>
  <c r="N1087" i="6"/>
  <c r="A1087" i="6"/>
  <c r="M1086" i="6"/>
  <c r="T1085" i="6"/>
  <c r="L1085" i="6"/>
  <c r="S1084" i="6"/>
  <c r="H1084" i="6"/>
  <c r="R1083" i="6"/>
  <c r="E1083" i="6"/>
  <c r="Q1082" i="6"/>
  <c r="D1082" i="6"/>
  <c r="P1081" i="6"/>
  <c r="C1081" i="6"/>
  <c r="O1080" i="6"/>
  <c r="B1080" i="6"/>
  <c r="N1079" i="6"/>
  <c r="A1079" i="6"/>
  <c r="M1078" i="6"/>
  <c r="T1077" i="6"/>
  <c r="L1077" i="6"/>
  <c r="S1076" i="6"/>
  <c r="H1076" i="6"/>
  <c r="R1075" i="6"/>
  <c r="E1075" i="6"/>
  <c r="Q1074" i="6"/>
  <c r="D1074" i="6"/>
  <c r="P1073" i="6"/>
  <c r="C1073" i="6"/>
  <c r="O1072" i="6"/>
  <c r="B1072" i="6"/>
  <c r="N1071" i="6"/>
  <c r="A1071" i="6"/>
  <c r="M1070" i="6"/>
  <c r="T1069" i="6"/>
  <c r="L1069" i="6"/>
  <c r="S1068" i="6"/>
  <c r="H1068" i="6"/>
  <c r="S1409" i="6"/>
  <c r="A1376" i="6"/>
  <c r="C1342" i="6"/>
  <c r="S1307" i="6"/>
  <c r="E1297" i="6"/>
  <c r="S1292" i="6"/>
  <c r="P1288" i="6"/>
  <c r="M1284" i="6"/>
  <c r="D1280" i="6"/>
  <c r="R1275" i="6"/>
  <c r="N1271" i="6"/>
  <c r="E1267" i="6"/>
  <c r="A1263" i="6"/>
  <c r="Q1258" i="6"/>
  <c r="L1254" i="6"/>
  <c r="C1250" i="6"/>
  <c r="S1245" i="6"/>
  <c r="Q1241" i="6"/>
  <c r="P1237" i="6"/>
  <c r="L1233" i="6"/>
  <c r="C1229" i="6"/>
  <c r="S1224" i="6"/>
  <c r="O1220" i="6"/>
  <c r="H1216" i="6"/>
  <c r="B1212" i="6"/>
  <c r="R1207" i="6"/>
  <c r="N1203" i="6"/>
  <c r="L1199" i="6"/>
  <c r="C1195" i="6"/>
  <c r="S1190" i="6"/>
  <c r="L1187" i="6"/>
  <c r="N1186" i="6"/>
  <c r="R1185" i="6"/>
  <c r="B1185" i="6"/>
  <c r="L1184" i="6"/>
  <c r="Q1183" i="6"/>
  <c r="D1183" i="6"/>
  <c r="O1182" i="6"/>
  <c r="A1182" i="6"/>
  <c r="L1181" i="6"/>
  <c r="S1180" i="6"/>
  <c r="H1180" i="6"/>
  <c r="R1179" i="6"/>
  <c r="F1179" i="6"/>
  <c r="R1178" i="6"/>
  <c r="G1178" i="6"/>
  <c r="R1177" i="6"/>
  <c r="E1177" i="6"/>
  <c r="Q1176" i="6"/>
  <c r="E1176" i="6"/>
  <c r="Q1175" i="6"/>
  <c r="E1175" i="6"/>
  <c r="Q1174" i="6"/>
  <c r="D1174" i="6"/>
  <c r="P1173" i="6"/>
  <c r="C1173" i="6"/>
  <c r="O1172" i="6"/>
  <c r="B1172" i="6"/>
  <c r="N1171" i="6"/>
  <c r="A1171" i="6"/>
  <c r="M1170" i="6"/>
  <c r="T1169" i="6"/>
  <c r="L1169" i="6"/>
  <c r="S1168" i="6"/>
  <c r="H1168" i="6"/>
  <c r="R1167" i="6"/>
  <c r="E1167" i="6"/>
  <c r="Q1166" i="6"/>
  <c r="D1166" i="6"/>
  <c r="P1165" i="6"/>
  <c r="C1165" i="6"/>
  <c r="O1164" i="6"/>
  <c r="B1164" i="6"/>
  <c r="N1163" i="6"/>
  <c r="A1163" i="6"/>
  <c r="M1162" i="6"/>
  <c r="A1162" i="6"/>
  <c r="M1161" i="6"/>
  <c r="T1160" i="6"/>
  <c r="L1160" i="6"/>
  <c r="S1159" i="6"/>
  <c r="H1159" i="6"/>
  <c r="R1158" i="6"/>
  <c r="E1158" i="6"/>
  <c r="Q1157" i="6"/>
  <c r="D1157" i="6"/>
  <c r="P1156" i="6"/>
  <c r="C1156" i="6"/>
  <c r="O1155" i="6"/>
  <c r="B1155" i="6"/>
  <c r="N1154" i="6"/>
  <c r="A1154" i="6"/>
  <c r="M1153" i="6"/>
  <c r="T1152" i="6"/>
  <c r="L1152" i="6"/>
  <c r="S1151" i="6"/>
  <c r="I1151" i="6"/>
  <c r="T1150" i="6"/>
  <c r="L1150" i="6"/>
  <c r="T1149" i="6"/>
  <c r="L1149" i="6"/>
  <c r="S1148" i="6"/>
  <c r="H1148" i="6"/>
  <c r="R1147" i="6"/>
  <c r="E1147" i="6"/>
  <c r="Q1146" i="6"/>
  <c r="D1146" i="6"/>
  <c r="P1145" i="6"/>
  <c r="C1145" i="6"/>
  <c r="O1144" i="6"/>
  <c r="B1144" i="6"/>
  <c r="N1143" i="6"/>
  <c r="A1143" i="6"/>
  <c r="M1142" i="6"/>
  <c r="T1141" i="6"/>
  <c r="L1141" i="6"/>
  <c r="S1140" i="6"/>
  <c r="H1140" i="6"/>
  <c r="R1139" i="6"/>
  <c r="E1139" i="6"/>
  <c r="Q1138" i="6"/>
  <c r="D1138" i="6"/>
  <c r="P1137" i="6"/>
  <c r="C1137" i="6"/>
  <c r="O1136" i="6"/>
  <c r="B1136" i="6"/>
  <c r="M1135" i="6"/>
  <c r="A1135" i="6"/>
  <c r="L1134" i="6"/>
  <c r="T1133" i="6"/>
  <c r="L1133" i="6"/>
  <c r="S1132" i="6"/>
  <c r="I1132" i="6"/>
  <c r="S1131" i="6"/>
  <c r="I1131" i="6"/>
  <c r="S1130" i="6"/>
  <c r="I1130" i="6"/>
  <c r="S1129" i="6"/>
  <c r="I1129" i="6"/>
  <c r="S1128" i="6"/>
  <c r="H1128" i="6"/>
  <c r="R1127" i="6"/>
  <c r="E1127" i="6"/>
  <c r="Q1126" i="6"/>
  <c r="E1126" i="6"/>
  <c r="Q1125" i="6"/>
  <c r="D1125" i="6"/>
  <c r="P1124" i="6"/>
  <c r="D1124" i="6"/>
  <c r="P1123" i="6"/>
  <c r="C1123" i="6"/>
  <c r="O1122" i="6"/>
  <c r="C1122" i="6"/>
  <c r="O1121" i="6"/>
  <c r="B1121" i="6"/>
  <c r="N1120" i="6"/>
  <c r="B1120" i="6"/>
  <c r="N1119" i="6"/>
  <c r="B1119" i="6"/>
  <c r="N1118" i="6"/>
  <c r="A1118" i="6"/>
  <c r="M1117" i="6"/>
  <c r="A1117" i="6"/>
  <c r="M1116" i="6"/>
  <c r="A1116" i="6"/>
  <c r="M1115" i="6"/>
  <c r="A1115" i="6"/>
  <c r="M1114" i="6"/>
  <c r="T1113" i="6"/>
  <c r="L1113" i="6"/>
  <c r="S1112" i="6"/>
  <c r="I1112" i="6"/>
  <c r="R1111" i="6"/>
  <c r="H1111" i="6"/>
  <c r="R1110" i="6"/>
  <c r="H1110" i="6"/>
  <c r="Q1109" i="6"/>
  <c r="E1109" i="6"/>
  <c r="P1108" i="6"/>
  <c r="D1108" i="6"/>
  <c r="P1107" i="6"/>
  <c r="D1107" i="6"/>
  <c r="O1106" i="6"/>
  <c r="C1106" i="6"/>
  <c r="N1105" i="6"/>
  <c r="B1105" i="6"/>
  <c r="M1104" i="6"/>
  <c r="A1104" i="6"/>
  <c r="L1103" i="6"/>
  <c r="S1102" i="6"/>
  <c r="I1102" i="6"/>
  <c r="S1101" i="6"/>
  <c r="I1101" i="6"/>
  <c r="S1100" i="6"/>
  <c r="I1100" i="6"/>
  <c r="S1099" i="6"/>
  <c r="I1099" i="6"/>
  <c r="S1098" i="6"/>
  <c r="I1098" i="6"/>
  <c r="R1097" i="6"/>
  <c r="E1097" i="6"/>
  <c r="P1096" i="6"/>
  <c r="C1096" i="6"/>
  <c r="O1095" i="6"/>
  <c r="B1095" i="6"/>
  <c r="M1094" i="6"/>
  <c r="T1093" i="6"/>
  <c r="L1093" i="6"/>
  <c r="S1092" i="6"/>
  <c r="H1092" i="6"/>
  <c r="R1091" i="6"/>
  <c r="E1091" i="6"/>
  <c r="Q1090" i="6"/>
  <c r="D1090" i="6"/>
  <c r="O1089" i="6"/>
  <c r="B1089" i="6"/>
  <c r="N1088" i="6"/>
  <c r="A1088" i="6"/>
  <c r="M1087" i="6"/>
  <c r="T1086" i="6"/>
  <c r="L1086" i="6"/>
  <c r="S1085" i="6"/>
  <c r="H1085" i="6"/>
  <c r="R1084" i="6"/>
  <c r="E1084" i="6"/>
  <c r="Q1083" i="6"/>
  <c r="D1083" i="6"/>
  <c r="P1082" i="6"/>
  <c r="C1082" i="6"/>
  <c r="O1081" i="6"/>
  <c r="B1081" i="6"/>
  <c r="N1080" i="6"/>
  <c r="A1080" i="6"/>
  <c r="M1079" i="6"/>
  <c r="T1078" i="6"/>
  <c r="L1078" i="6"/>
  <c r="S1077" i="6"/>
  <c r="H1077" i="6"/>
  <c r="R1076" i="6"/>
  <c r="E1076" i="6"/>
  <c r="Q1075" i="6"/>
  <c r="D1075" i="6"/>
  <c r="P1074" i="6"/>
  <c r="C1074" i="6"/>
  <c r="O1073" i="6"/>
  <c r="B1073" i="6"/>
  <c r="N1072" i="6"/>
  <c r="A1072" i="6"/>
  <c r="M1071" i="6"/>
  <c r="T1070" i="6"/>
  <c r="O1405" i="6"/>
  <c r="R1371" i="6"/>
  <c r="S1337" i="6"/>
  <c r="Q1303" i="6"/>
  <c r="Q1296" i="6"/>
  <c r="I1292" i="6"/>
  <c r="C1288" i="6"/>
  <c r="T1283" i="6"/>
  <c r="O1279" i="6"/>
  <c r="E1275" i="6"/>
  <c r="A1271" i="6"/>
  <c r="Q1266" i="6"/>
  <c r="M1262" i="6"/>
  <c r="D1258" i="6"/>
  <c r="S1253" i="6"/>
  <c r="O1249" i="6"/>
  <c r="I1245" i="6"/>
  <c r="E1241" i="6"/>
  <c r="C1237" i="6"/>
  <c r="S1232" i="6"/>
  <c r="O1228" i="6"/>
  <c r="H1224" i="6"/>
  <c r="B1220" i="6"/>
  <c r="R1215" i="6"/>
  <c r="N1211" i="6"/>
  <c r="E1207" i="6"/>
  <c r="B1203" i="6"/>
  <c r="S1198" i="6"/>
  <c r="O1194" i="6"/>
  <c r="H1190" i="6"/>
  <c r="D1187" i="6"/>
  <c r="L1186" i="6"/>
  <c r="Q1185" i="6"/>
  <c r="A1185" i="6"/>
  <c r="H1184" i="6"/>
  <c r="P1183" i="6"/>
  <c r="C1183" i="6"/>
  <c r="N1182" i="6"/>
  <c r="S1181" i="6"/>
  <c r="H1181" i="6"/>
  <c r="R1180" i="6"/>
  <c r="E1180" i="6"/>
  <c r="Q1179" i="6"/>
  <c r="E1179" i="6"/>
  <c r="Q1178" i="6"/>
  <c r="E1178" i="6"/>
  <c r="Q1177" i="6"/>
  <c r="D1177" i="6"/>
  <c r="P1176" i="6"/>
  <c r="D1176" i="6"/>
  <c r="P1175" i="6"/>
  <c r="D1175" i="6"/>
  <c r="P1174" i="6"/>
  <c r="C1174" i="6"/>
  <c r="O1173" i="6"/>
  <c r="B1173" i="6"/>
  <c r="N1172" i="6"/>
  <c r="A1172" i="6"/>
  <c r="M1171" i="6"/>
  <c r="T1170" i="6"/>
  <c r="L1170" i="6"/>
  <c r="S1169" i="6"/>
  <c r="H1169" i="6"/>
  <c r="R1168" i="6"/>
  <c r="E1168" i="6"/>
  <c r="Q1167" i="6"/>
  <c r="D1167" i="6"/>
  <c r="P1166" i="6"/>
  <c r="C1166" i="6"/>
  <c r="O1165" i="6"/>
  <c r="B1165" i="6"/>
  <c r="N1164" i="6"/>
  <c r="A1164" i="6"/>
  <c r="M1163" i="6"/>
  <c r="T1162" i="6"/>
  <c r="L1162" i="6"/>
  <c r="T1161" i="6"/>
  <c r="L1161" i="6"/>
  <c r="S1160" i="6"/>
  <c r="H1160" i="6"/>
  <c r="R1159" i="6"/>
  <c r="E1159" i="6"/>
  <c r="Q1158" i="6"/>
  <c r="D1158" i="6"/>
  <c r="P1157" i="6"/>
  <c r="C1157" i="6"/>
  <c r="O1156" i="6"/>
  <c r="B1156" i="6"/>
  <c r="N1155" i="6"/>
  <c r="A1155" i="6"/>
  <c r="M1154" i="6"/>
  <c r="T1153" i="6"/>
  <c r="L1153" i="6"/>
  <c r="S1152" i="6"/>
  <c r="H1152" i="6"/>
  <c r="R1151" i="6"/>
  <c r="H1151" i="6"/>
  <c r="S1150" i="6"/>
  <c r="H1150" i="6"/>
  <c r="S1149" i="6"/>
  <c r="H1149" i="6"/>
  <c r="R1148" i="6"/>
  <c r="E1148" i="6"/>
  <c r="Q1147" i="6"/>
  <c r="D1147" i="6"/>
  <c r="P1146" i="6"/>
  <c r="C1146" i="6"/>
  <c r="O1145" i="6"/>
  <c r="B1145" i="6"/>
  <c r="N1144" i="6"/>
  <c r="A1144" i="6"/>
  <c r="M1143" i="6"/>
  <c r="T1142" i="6"/>
  <c r="L1142" i="6"/>
  <c r="S1141" i="6"/>
  <c r="H1141" i="6"/>
  <c r="R1140" i="6"/>
  <c r="E1140" i="6"/>
  <c r="Q1139" i="6"/>
  <c r="D1139" i="6"/>
  <c r="P1138" i="6"/>
  <c r="C1138" i="6"/>
  <c r="O1137" i="6"/>
  <c r="B1137" i="6"/>
  <c r="N1136" i="6"/>
  <c r="A1136" i="6"/>
  <c r="L1135" i="6"/>
  <c r="S1134" i="6"/>
  <c r="I1134" i="6"/>
  <c r="S1133" i="6"/>
  <c r="H1133" i="6"/>
  <c r="R1132" i="6"/>
  <c r="H1132" i="6"/>
  <c r="R1131" i="6"/>
  <c r="H1131" i="6"/>
  <c r="R1130" i="6"/>
  <c r="H1130" i="6"/>
  <c r="R1129" i="6"/>
  <c r="H1129" i="6"/>
  <c r="R1128" i="6"/>
  <c r="E1128" i="6"/>
  <c r="Q1127" i="6"/>
  <c r="D1127" i="6"/>
  <c r="P1126" i="6"/>
  <c r="D1126" i="6"/>
  <c r="P1125" i="6"/>
  <c r="C1125" i="6"/>
  <c r="O1124" i="6"/>
  <c r="C1124" i="6"/>
  <c r="O1123" i="6"/>
  <c r="B1123" i="6"/>
  <c r="N1122" i="6"/>
  <c r="B1122" i="6"/>
  <c r="N1121" i="6"/>
  <c r="A1121" i="6"/>
  <c r="M1120" i="6"/>
  <c r="A1120" i="6"/>
  <c r="M1119" i="6"/>
  <c r="A1119" i="6"/>
  <c r="M1118" i="6"/>
  <c r="T1117" i="6"/>
  <c r="L1117" i="6"/>
  <c r="T1116" i="6"/>
  <c r="L1116" i="6"/>
  <c r="T1115" i="6"/>
  <c r="L1115" i="6"/>
  <c r="T1114" i="6"/>
  <c r="L1114" i="6"/>
  <c r="S1113" i="6"/>
  <c r="H1113" i="6"/>
  <c r="R1112" i="6"/>
  <c r="H1112" i="6"/>
  <c r="Q1111" i="6"/>
  <c r="E1111" i="6"/>
  <c r="Q1110" i="6"/>
  <c r="E1110" i="6"/>
  <c r="P1109" i="6"/>
  <c r="D1109" i="6"/>
  <c r="O1108" i="6"/>
  <c r="C1108" i="6"/>
  <c r="O1107" i="6"/>
  <c r="C1107" i="6"/>
  <c r="N1106" i="6"/>
  <c r="B1106" i="6"/>
  <c r="M1105" i="6"/>
  <c r="A1105" i="6"/>
  <c r="L1104" i="6"/>
  <c r="S1103" i="6"/>
  <c r="I1103" i="6"/>
  <c r="R1102" i="6"/>
  <c r="H1102" i="6"/>
  <c r="R1101" i="6"/>
  <c r="H1101" i="6"/>
  <c r="R1100" i="6"/>
  <c r="H1100" i="6"/>
  <c r="R1099" i="6"/>
  <c r="H1099" i="6"/>
  <c r="R1098" i="6"/>
  <c r="H1098" i="6"/>
  <c r="Q1097" i="6"/>
  <c r="D1097" i="6"/>
  <c r="O1096" i="6"/>
  <c r="B1096" i="6"/>
  <c r="N1095" i="6"/>
  <c r="A1095" i="6"/>
  <c r="L1094" i="6"/>
  <c r="S1093" i="6"/>
  <c r="H1093" i="6"/>
  <c r="R1092" i="6"/>
  <c r="E1092" i="6"/>
  <c r="Q1091" i="6"/>
  <c r="D1091" i="6"/>
  <c r="P1090" i="6"/>
  <c r="C1090" i="6"/>
  <c r="N1089" i="6"/>
  <c r="A1089" i="6"/>
  <c r="M1088" i="6"/>
  <c r="T1087" i="6"/>
  <c r="L1087" i="6"/>
  <c r="S1086" i="6"/>
  <c r="H1086" i="6"/>
  <c r="R1085" i="6"/>
  <c r="E1085" i="6"/>
  <c r="Q1084" i="6"/>
  <c r="D1084" i="6"/>
  <c r="P1083" i="6"/>
  <c r="C1083" i="6"/>
  <c r="O1082" i="6"/>
  <c r="B1082" i="6"/>
  <c r="N1081" i="6"/>
  <c r="A1081" i="6"/>
  <c r="M1080" i="6"/>
  <c r="T1079" i="6"/>
  <c r="L1079" i="6"/>
  <c r="S1078" i="6"/>
  <c r="H1078" i="6"/>
  <c r="R1077" i="6"/>
  <c r="E1077" i="6"/>
  <c r="Q1076" i="6"/>
  <c r="D1076" i="6"/>
  <c r="P1075" i="6"/>
  <c r="C1075" i="6"/>
  <c r="O1074" i="6"/>
  <c r="B1074" i="6"/>
  <c r="N1073" i="6"/>
  <c r="A1073" i="6"/>
  <c r="M1072" i="6"/>
  <c r="T1071" i="6"/>
  <c r="L1071" i="6"/>
  <c r="S1070" i="6"/>
  <c r="N1401" i="6"/>
  <c r="O1367" i="6"/>
  <c r="R1333" i="6"/>
  <c r="M1300" i="6"/>
  <c r="D1296" i="6"/>
  <c r="S1291" i="6"/>
  <c r="O1287" i="6"/>
  <c r="L1283" i="6"/>
  <c r="C1279" i="6"/>
  <c r="Q1274" i="6"/>
  <c r="M1270" i="6"/>
  <c r="D1266" i="6"/>
  <c r="T1261" i="6"/>
  <c r="P1257" i="6"/>
  <c r="H1253" i="6"/>
  <c r="B1249" i="6"/>
  <c r="S1244" i="6"/>
  <c r="P1240" i="6"/>
  <c r="O1236" i="6"/>
  <c r="H1232" i="6"/>
  <c r="B1228" i="6"/>
  <c r="R1223" i="6"/>
  <c r="N1219" i="6"/>
  <c r="E1215" i="6"/>
  <c r="A1211" i="6"/>
  <c r="Q1206" i="6"/>
  <c r="N1202" i="6"/>
  <c r="H1198" i="6"/>
  <c r="B1194" i="6"/>
  <c r="R1189" i="6"/>
  <c r="C1187" i="6"/>
  <c r="H1186" i="6"/>
  <c r="O1185" i="6"/>
  <c r="T1184" i="6"/>
  <c r="E1184" i="6"/>
  <c r="O1183" i="6"/>
  <c r="B1183" i="6"/>
  <c r="L1182" i="6"/>
  <c r="R1181" i="6"/>
  <c r="E1181" i="6"/>
  <c r="Q1180" i="6"/>
  <c r="D1180" i="6"/>
  <c r="P1179" i="6"/>
  <c r="D1179" i="6"/>
  <c r="P1178" i="6"/>
  <c r="D1178" i="6"/>
  <c r="P1177" i="6"/>
  <c r="C1177" i="6"/>
  <c r="O1176" i="6"/>
  <c r="C1176" i="6"/>
  <c r="O1175" i="6"/>
  <c r="C1175" i="6"/>
  <c r="O1174" i="6"/>
  <c r="B1174" i="6"/>
  <c r="N1173" i="6"/>
  <c r="A1173" i="6"/>
  <c r="M1172" i="6"/>
  <c r="T1171" i="6"/>
  <c r="L1171" i="6"/>
  <c r="S1170" i="6"/>
  <c r="H1170" i="6"/>
  <c r="R1169" i="6"/>
  <c r="E1169" i="6"/>
  <c r="Q1168" i="6"/>
  <c r="D1168" i="6"/>
  <c r="P1167" i="6"/>
  <c r="C1167" i="6"/>
  <c r="O1166" i="6"/>
  <c r="B1166" i="6"/>
  <c r="N1165" i="6"/>
  <c r="A1165" i="6"/>
  <c r="M1164" i="6"/>
  <c r="T1163" i="6"/>
  <c r="L1163" i="6"/>
  <c r="S1162" i="6"/>
  <c r="I1162" i="6"/>
  <c r="S1161" i="6"/>
  <c r="H1161" i="6"/>
  <c r="R1160" i="6"/>
  <c r="E1160" i="6"/>
  <c r="Q1159" i="6"/>
  <c r="D1159" i="6"/>
  <c r="P1158" i="6"/>
  <c r="C1158" i="6"/>
  <c r="O1157" i="6"/>
  <c r="B1157" i="6"/>
  <c r="N1156" i="6"/>
  <c r="A1156" i="6"/>
  <c r="M1155" i="6"/>
  <c r="T1154" i="6"/>
  <c r="L1154" i="6"/>
  <c r="S1153" i="6"/>
  <c r="H1153" i="6"/>
  <c r="R1152" i="6"/>
  <c r="E1152" i="6"/>
  <c r="Q1151" i="6"/>
  <c r="F1151" i="6"/>
  <c r="R1150" i="6"/>
  <c r="G1150" i="6"/>
  <c r="R1149" i="6"/>
  <c r="E1149" i="6"/>
  <c r="Q1148" i="6"/>
  <c r="D1148" i="6"/>
  <c r="P1147" i="6"/>
  <c r="C1147" i="6"/>
  <c r="O1146" i="6"/>
  <c r="B1146" i="6"/>
  <c r="N1145" i="6"/>
  <c r="A1145" i="6"/>
  <c r="M1144" i="6"/>
  <c r="T1143" i="6"/>
  <c r="L1143" i="6"/>
  <c r="S1142" i="6"/>
  <c r="H1142" i="6"/>
  <c r="R1141" i="6"/>
  <c r="E1141" i="6"/>
  <c r="Q1140" i="6"/>
  <c r="D1140" i="6"/>
  <c r="P1139" i="6"/>
  <c r="C1139" i="6"/>
  <c r="O1138" i="6"/>
  <c r="B1138" i="6"/>
  <c r="N1137" i="6"/>
  <c r="A1137" i="6"/>
  <c r="M1136" i="6"/>
  <c r="S1135" i="6"/>
  <c r="I1135" i="6"/>
  <c r="R1134" i="6"/>
  <c r="H1134" i="6"/>
  <c r="R1133" i="6"/>
  <c r="E1133" i="6"/>
  <c r="Q1132" i="6"/>
  <c r="E1132" i="6"/>
  <c r="Q1131" i="6"/>
  <c r="E1131" i="6"/>
  <c r="Q1130" i="6"/>
  <c r="E1130" i="6"/>
  <c r="Q1129" i="6"/>
  <c r="E1129" i="6"/>
  <c r="Q1128" i="6"/>
  <c r="D1128" i="6"/>
  <c r="P1127" i="6"/>
  <c r="C1127" i="6"/>
  <c r="O1126" i="6"/>
  <c r="C1126" i="6"/>
  <c r="O1125" i="6"/>
  <c r="B1125" i="6"/>
  <c r="N1124" i="6"/>
  <c r="B1124" i="6"/>
  <c r="N1123" i="6"/>
  <c r="A1123" i="6"/>
  <c r="M1122" i="6"/>
  <c r="A1122" i="6"/>
  <c r="M1121" i="6"/>
  <c r="T1120" i="6"/>
  <c r="L1120" i="6"/>
  <c r="T1119" i="6"/>
  <c r="L1119" i="6"/>
  <c r="T1118" i="6"/>
  <c r="L1118" i="6"/>
  <c r="S1117" i="6"/>
  <c r="I1117" i="6"/>
  <c r="S1116" i="6"/>
  <c r="I1116" i="6"/>
  <c r="S1115" i="6"/>
  <c r="I1115" i="6"/>
  <c r="S1114" i="6"/>
  <c r="H1114" i="6"/>
  <c r="R1113" i="6"/>
  <c r="E1113" i="6"/>
  <c r="Q1112" i="6"/>
  <c r="E1112" i="6"/>
  <c r="P1111" i="6"/>
  <c r="D1111" i="6"/>
  <c r="P1110" i="6"/>
  <c r="D1110" i="6"/>
  <c r="O1109" i="6"/>
  <c r="C1109" i="6"/>
  <c r="N1108" i="6"/>
  <c r="B1108" i="6"/>
  <c r="N1107" i="6"/>
  <c r="B1107" i="6"/>
  <c r="M1106" i="6"/>
  <c r="A1106" i="6"/>
  <c r="L1105" i="6"/>
  <c r="S1104" i="6"/>
  <c r="I1104" i="6"/>
  <c r="R1103" i="6"/>
  <c r="H1103" i="6"/>
  <c r="Q1102" i="6"/>
  <c r="E1102" i="6"/>
  <c r="Q1101" i="6"/>
  <c r="E1101" i="6"/>
  <c r="Q1100" i="6"/>
  <c r="E1100" i="6"/>
  <c r="Q1099" i="6"/>
  <c r="E1099" i="6"/>
  <c r="Q1098" i="6"/>
  <c r="E1098" i="6"/>
  <c r="P1097" i="6"/>
  <c r="C1097" i="6"/>
  <c r="N1096" i="6"/>
  <c r="A1096" i="6"/>
  <c r="M1095" i="6"/>
  <c r="S1094" i="6"/>
  <c r="H1094" i="6"/>
  <c r="R1093" i="6"/>
  <c r="E1093" i="6"/>
  <c r="Q1092" i="6"/>
  <c r="D1092" i="6"/>
  <c r="P1091" i="6"/>
  <c r="C1091" i="6"/>
  <c r="O1090" i="6"/>
  <c r="B1090" i="6"/>
  <c r="M1089" i="6"/>
  <c r="T1088" i="6"/>
  <c r="L1088" i="6"/>
  <c r="S1087" i="6"/>
  <c r="H1087" i="6"/>
  <c r="R1086" i="6"/>
  <c r="E1086" i="6"/>
  <c r="Q1085" i="6"/>
  <c r="D1085" i="6"/>
  <c r="P1084" i="6"/>
  <c r="C1084" i="6"/>
  <c r="O1083" i="6"/>
  <c r="B1083" i="6"/>
  <c r="N1082" i="6"/>
  <c r="A1082" i="6"/>
  <c r="M1081" i="6"/>
  <c r="T1080" i="6"/>
  <c r="L1080" i="6"/>
  <c r="S1079" i="6"/>
  <c r="H1079" i="6"/>
  <c r="R1078" i="6"/>
  <c r="E1078" i="6"/>
  <c r="Q1077" i="6"/>
  <c r="D1077" i="6"/>
  <c r="P1076" i="6"/>
  <c r="C1076" i="6"/>
  <c r="O1075" i="6"/>
  <c r="B1075" i="6"/>
  <c r="N1074" i="6"/>
  <c r="A1074" i="6"/>
  <c r="M1073" i="6"/>
  <c r="T1072" i="6"/>
  <c r="L1072" i="6"/>
  <c r="S1071" i="6"/>
  <c r="H1071" i="6"/>
  <c r="R1070" i="6"/>
  <c r="E1070" i="6"/>
  <c r="Q1069" i="6"/>
  <c r="D1069" i="6"/>
  <c r="L1070" i="6"/>
  <c r="A1069" i="6"/>
  <c r="D1068" i="6"/>
  <c r="P1067" i="6"/>
  <c r="C1067" i="6"/>
  <c r="O1066" i="6"/>
  <c r="B1066" i="6"/>
  <c r="N1065" i="6"/>
  <c r="A1065" i="6"/>
  <c r="M1064" i="6"/>
  <c r="S1063" i="6"/>
  <c r="H1063" i="6"/>
  <c r="Q1062" i="6"/>
  <c r="D1062" i="6"/>
  <c r="O1061" i="6"/>
  <c r="B1061" i="6"/>
  <c r="M1060" i="6"/>
  <c r="S1059" i="6"/>
  <c r="H1059" i="6"/>
  <c r="R1058" i="6"/>
  <c r="E1058" i="6"/>
  <c r="Q1057" i="6"/>
  <c r="D1057" i="6"/>
  <c r="O1056" i="6"/>
  <c r="B1056" i="6"/>
  <c r="N1055" i="6"/>
  <c r="A1055" i="6"/>
  <c r="M1054" i="6"/>
  <c r="S1053" i="6"/>
  <c r="H1053" i="6"/>
  <c r="Q1052" i="6"/>
  <c r="D1052" i="6"/>
  <c r="P1051" i="6"/>
  <c r="C1051" i="6"/>
  <c r="O1050" i="6"/>
  <c r="B1050" i="6"/>
  <c r="N1049" i="6"/>
  <c r="A1049" i="6"/>
  <c r="M1048" i="6"/>
  <c r="T1047" i="6"/>
  <c r="L1047" i="6"/>
  <c r="S1046" i="6"/>
  <c r="H1046" i="6"/>
  <c r="Q1045" i="6"/>
  <c r="D1045" i="6"/>
  <c r="O1044" i="6"/>
  <c r="B1044" i="6"/>
  <c r="M1043" i="6"/>
  <c r="T1042" i="6"/>
  <c r="L1042" i="6"/>
  <c r="S1041" i="6"/>
  <c r="H1041" i="6"/>
  <c r="R1040" i="6"/>
  <c r="E1040" i="6"/>
  <c r="Q1039" i="6"/>
  <c r="D1039" i="6"/>
  <c r="P1038" i="6"/>
  <c r="C1038" i="6"/>
  <c r="O1037" i="6"/>
  <c r="B1037" i="6"/>
  <c r="M1036" i="6"/>
  <c r="T1035" i="6"/>
  <c r="L1035" i="6"/>
  <c r="S1034" i="6"/>
  <c r="H1034" i="6"/>
  <c r="R1033" i="6"/>
  <c r="E1033" i="6"/>
  <c r="Q1032" i="6"/>
  <c r="D1032" i="6"/>
  <c r="P1031" i="6"/>
  <c r="C1031" i="6"/>
  <c r="O1030" i="6"/>
  <c r="B1030" i="6"/>
  <c r="N1029" i="6"/>
  <c r="A1029" i="6"/>
  <c r="M1028" i="6"/>
  <c r="T1027" i="6"/>
  <c r="L1027" i="6"/>
  <c r="S1026" i="6"/>
  <c r="H1026" i="6"/>
  <c r="R1025" i="6"/>
  <c r="E1025" i="6"/>
  <c r="Q1024" i="6"/>
  <c r="E1024" i="6"/>
  <c r="Q1023" i="6"/>
  <c r="D1023" i="6"/>
  <c r="P1022" i="6"/>
  <c r="C1022" i="6"/>
  <c r="O1021" i="6"/>
  <c r="C1021" i="6"/>
  <c r="O1020" i="6"/>
  <c r="B1020" i="6"/>
  <c r="N1019" i="6"/>
  <c r="B1019" i="6"/>
  <c r="N1018" i="6"/>
  <c r="B1018" i="6"/>
  <c r="N1017" i="6"/>
  <c r="A1017" i="6"/>
  <c r="M1016" i="6"/>
  <c r="T1015" i="6"/>
  <c r="L1015" i="6"/>
  <c r="S1014" i="6"/>
  <c r="I1014" i="6"/>
  <c r="S1013" i="6"/>
  <c r="H1013" i="6"/>
  <c r="R1012" i="6"/>
  <c r="E1012" i="6"/>
  <c r="Q1011" i="6"/>
  <c r="D1011" i="6"/>
  <c r="P1010" i="6"/>
  <c r="C1010" i="6"/>
  <c r="O1009" i="6"/>
  <c r="B1009" i="6"/>
  <c r="N1008" i="6"/>
  <c r="A1008" i="6"/>
  <c r="M1007" i="6"/>
  <c r="A1007" i="6"/>
  <c r="M1006" i="6"/>
  <c r="T1005" i="6"/>
  <c r="L1005" i="6"/>
  <c r="S1004" i="6"/>
  <c r="H1004" i="6"/>
  <c r="R1003" i="6"/>
  <c r="E1003" i="6"/>
  <c r="Q1002" i="6"/>
  <c r="E1002" i="6"/>
  <c r="Q1001" i="6"/>
  <c r="D1001" i="6"/>
  <c r="P1000" i="6"/>
  <c r="D1000" i="6"/>
  <c r="P999" i="6"/>
  <c r="D999" i="6"/>
  <c r="P998" i="6"/>
  <c r="C998" i="6"/>
  <c r="O997" i="6"/>
  <c r="B997" i="6"/>
  <c r="N996" i="6"/>
  <c r="A996" i="6"/>
  <c r="M995" i="6"/>
  <c r="T994" i="6"/>
  <c r="L994" i="6"/>
  <c r="S993" i="6"/>
  <c r="H993" i="6"/>
  <c r="R992" i="6"/>
  <c r="E992" i="6"/>
  <c r="Q991" i="6"/>
  <c r="D991" i="6"/>
  <c r="P990" i="6"/>
  <c r="D990" i="6"/>
  <c r="P989" i="6"/>
  <c r="D989" i="6"/>
  <c r="P988" i="6"/>
  <c r="C988" i="6"/>
  <c r="O987" i="6"/>
  <c r="B987" i="6"/>
  <c r="N986" i="6"/>
  <c r="A986" i="6"/>
  <c r="M985" i="6"/>
  <c r="A985" i="6"/>
  <c r="M984" i="6"/>
  <c r="A984" i="6"/>
  <c r="M983" i="6"/>
  <c r="A983" i="6"/>
  <c r="M982" i="6"/>
  <c r="T981" i="6"/>
  <c r="L981" i="6"/>
  <c r="S980" i="6"/>
  <c r="H980" i="6"/>
  <c r="R979" i="6"/>
  <c r="E979" i="6"/>
  <c r="Q978" i="6"/>
  <c r="D978" i="6"/>
  <c r="P977" i="6"/>
  <c r="C977" i="6"/>
  <c r="O976" i="6"/>
  <c r="B976" i="6"/>
  <c r="N975" i="6"/>
  <c r="A975" i="6"/>
  <c r="M974" i="6"/>
  <c r="T973" i="6"/>
  <c r="L973" i="6"/>
  <c r="S972" i="6"/>
  <c r="H972" i="6"/>
  <c r="R971" i="6"/>
  <c r="E971" i="6"/>
  <c r="Q970" i="6"/>
  <c r="D970" i="6"/>
  <c r="P969" i="6"/>
  <c r="C969" i="6"/>
  <c r="O968" i="6"/>
  <c r="B968" i="6"/>
  <c r="N967" i="6"/>
  <c r="A967" i="6"/>
  <c r="M966" i="6"/>
  <c r="T965" i="6"/>
  <c r="L965" i="6"/>
  <c r="S964" i="6"/>
  <c r="H964" i="6"/>
  <c r="R963" i="6"/>
  <c r="E963" i="6"/>
  <c r="Q962" i="6"/>
  <c r="D962" i="6"/>
  <c r="P961" i="6"/>
  <c r="C961" i="6"/>
  <c r="O960" i="6"/>
  <c r="B960" i="6"/>
  <c r="N959" i="6"/>
  <c r="A959" i="6"/>
  <c r="M958" i="6"/>
  <c r="T957" i="6"/>
  <c r="L957" i="6"/>
  <c r="S956" i="6"/>
  <c r="H956" i="6"/>
  <c r="R955" i="6"/>
  <c r="E955" i="6"/>
  <c r="Q954" i="6"/>
  <c r="D954" i="6"/>
  <c r="P953" i="6"/>
  <c r="C953" i="6"/>
  <c r="O952" i="6"/>
  <c r="B952" i="6"/>
  <c r="N951" i="6"/>
  <c r="A951" i="6"/>
  <c r="M950" i="6"/>
  <c r="T949" i="6"/>
  <c r="L949" i="6"/>
  <c r="S948" i="6"/>
  <c r="H948" i="6"/>
  <c r="R947" i="6"/>
  <c r="E947" i="6"/>
  <c r="Q946" i="6"/>
  <c r="D946" i="6"/>
  <c r="P945" i="6"/>
  <c r="C945" i="6"/>
  <c r="O944" i="6"/>
  <c r="B944" i="6"/>
  <c r="N943" i="6"/>
  <c r="A943" i="6"/>
  <c r="M942" i="6"/>
  <c r="T941" i="6"/>
  <c r="L941" i="6"/>
  <c r="T940" i="6"/>
  <c r="L940" i="6"/>
  <c r="T939" i="6"/>
  <c r="L939" i="6"/>
  <c r="S938" i="6"/>
  <c r="H938" i="6"/>
  <c r="R937" i="6"/>
  <c r="E937" i="6"/>
  <c r="Q936" i="6"/>
  <c r="D936" i="6"/>
  <c r="P935" i="6"/>
  <c r="C935" i="6"/>
  <c r="H1070" i="6"/>
  <c r="R1068" i="6"/>
  <c r="C1068" i="6"/>
  <c r="O1067" i="6"/>
  <c r="B1067" i="6"/>
  <c r="N1066" i="6"/>
  <c r="A1066" i="6"/>
  <c r="M1065" i="6"/>
  <c r="T1064" i="6"/>
  <c r="L1064" i="6"/>
  <c r="R1063" i="6"/>
  <c r="E1063" i="6"/>
  <c r="P1062" i="6"/>
  <c r="C1062" i="6"/>
  <c r="N1061" i="6"/>
  <c r="A1061" i="6"/>
  <c r="L1060" i="6"/>
  <c r="R1059" i="6"/>
  <c r="E1059" i="6"/>
  <c r="Q1058" i="6"/>
  <c r="D1058" i="6"/>
  <c r="P1057" i="6"/>
  <c r="C1057" i="6"/>
  <c r="N1056" i="6"/>
  <c r="A1056" i="6"/>
  <c r="M1055" i="6"/>
  <c r="T1054" i="6"/>
  <c r="L1054" i="6"/>
  <c r="R1053" i="6"/>
  <c r="E1053" i="6"/>
  <c r="P1052" i="6"/>
  <c r="C1052" i="6"/>
  <c r="O1051" i="6"/>
  <c r="B1051" i="6"/>
  <c r="N1050" i="6"/>
  <c r="A1050" i="6"/>
  <c r="M1049" i="6"/>
  <c r="T1048" i="6"/>
  <c r="L1048" i="6"/>
  <c r="S1047" i="6"/>
  <c r="H1047" i="6"/>
  <c r="R1046" i="6"/>
  <c r="E1046" i="6"/>
  <c r="P1045" i="6"/>
  <c r="C1045" i="6"/>
  <c r="N1044" i="6"/>
  <c r="A1044" i="6"/>
  <c r="L1043" i="6"/>
  <c r="S1042" i="6"/>
  <c r="H1042" i="6"/>
  <c r="R1041" i="6"/>
  <c r="E1041" i="6"/>
  <c r="Q1040" i="6"/>
  <c r="D1040" i="6"/>
  <c r="P1039" i="6"/>
  <c r="C1039" i="6"/>
  <c r="O1038" i="6"/>
  <c r="B1038" i="6"/>
  <c r="N1037" i="6"/>
  <c r="A1037" i="6"/>
  <c r="L1036" i="6"/>
  <c r="S1035" i="6"/>
  <c r="H1035" i="6"/>
  <c r="R1034" i="6"/>
  <c r="E1034" i="6"/>
  <c r="Q1033" i="6"/>
  <c r="D1033" i="6"/>
  <c r="P1032" i="6"/>
  <c r="C1032" i="6"/>
  <c r="O1031" i="6"/>
  <c r="B1031" i="6"/>
  <c r="N1030" i="6"/>
  <c r="A1030" i="6"/>
  <c r="M1029" i="6"/>
  <c r="T1028" i="6"/>
  <c r="L1028" i="6"/>
  <c r="S1027" i="6"/>
  <c r="H1027" i="6"/>
  <c r="R1026" i="6"/>
  <c r="E1026" i="6"/>
  <c r="Q1025" i="6"/>
  <c r="D1025" i="6"/>
  <c r="P1024" i="6"/>
  <c r="D1024" i="6"/>
  <c r="P1023" i="6"/>
  <c r="C1023" i="6"/>
  <c r="O1022" i="6"/>
  <c r="B1022" i="6"/>
  <c r="N1021" i="6"/>
  <c r="B1021" i="6"/>
  <c r="N1020" i="6"/>
  <c r="A1020" i="6"/>
  <c r="M1019" i="6"/>
  <c r="A1019" i="6"/>
  <c r="M1018" i="6"/>
  <c r="A1018" i="6"/>
  <c r="M1017" i="6"/>
  <c r="T1016" i="6"/>
  <c r="L1016" i="6"/>
  <c r="S1015" i="6"/>
  <c r="H1015" i="6"/>
  <c r="R1014" i="6"/>
  <c r="H1014" i="6"/>
  <c r="R1013" i="6"/>
  <c r="E1013" i="6"/>
  <c r="Q1012" i="6"/>
  <c r="D1012" i="6"/>
  <c r="P1011" i="6"/>
  <c r="C1011" i="6"/>
  <c r="O1010" i="6"/>
  <c r="B1010" i="6"/>
  <c r="N1009" i="6"/>
  <c r="A1009" i="6"/>
  <c r="M1008" i="6"/>
  <c r="T1007" i="6"/>
  <c r="L1007" i="6"/>
  <c r="T1006" i="6"/>
  <c r="L1006" i="6"/>
  <c r="S1005" i="6"/>
  <c r="H1005" i="6"/>
  <c r="R1004" i="6"/>
  <c r="E1004" i="6"/>
  <c r="Q1003" i="6"/>
  <c r="D1003" i="6"/>
  <c r="P1002" i="6"/>
  <c r="D1002" i="6"/>
  <c r="P1001" i="6"/>
  <c r="C1001" i="6"/>
  <c r="O1000" i="6"/>
  <c r="C1000" i="6"/>
  <c r="O999" i="6"/>
  <c r="C999" i="6"/>
  <c r="O998" i="6"/>
  <c r="B998" i="6"/>
  <c r="N997" i="6"/>
  <c r="A997" i="6"/>
  <c r="M996" i="6"/>
  <c r="T995" i="6"/>
  <c r="L995" i="6"/>
  <c r="S994" i="6"/>
  <c r="H994" i="6"/>
  <c r="R993" i="6"/>
  <c r="E993" i="6"/>
  <c r="Q992" i="6"/>
  <c r="D992" i="6"/>
  <c r="P991" i="6"/>
  <c r="C991" i="6"/>
  <c r="O990" i="6"/>
  <c r="C990" i="6"/>
  <c r="O989" i="6"/>
  <c r="C989" i="6"/>
  <c r="O988" i="6"/>
  <c r="B988" i="6"/>
  <c r="N987" i="6"/>
  <c r="A987" i="6"/>
  <c r="M986" i="6"/>
  <c r="T985" i="6"/>
  <c r="L985" i="6"/>
  <c r="T984" i="6"/>
  <c r="L984" i="6"/>
  <c r="T983" i="6"/>
  <c r="L983" i="6"/>
  <c r="T982" i="6"/>
  <c r="L982" i="6"/>
  <c r="S981" i="6"/>
  <c r="H981" i="6"/>
  <c r="R980" i="6"/>
  <c r="E980" i="6"/>
  <c r="Q979" i="6"/>
  <c r="D979" i="6"/>
  <c r="P978" i="6"/>
  <c r="C978" i="6"/>
  <c r="O977" i="6"/>
  <c r="B977" i="6"/>
  <c r="N976" i="6"/>
  <c r="A976" i="6"/>
  <c r="M975" i="6"/>
  <c r="T974" i="6"/>
  <c r="L974" i="6"/>
  <c r="S973" i="6"/>
  <c r="H973" i="6"/>
  <c r="R972" i="6"/>
  <c r="E972" i="6"/>
  <c r="Q971" i="6"/>
  <c r="D971" i="6"/>
  <c r="P970" i="6"/>
  <c r="C970" i="6"/>
  <c r="O969" i="6"/>
  <c r="B969" i="6"/>
  <c r="N968" i="6"/>
  <c r="A968" i="6"/>
  <c r="M967" i="6"/>
  <c r="T966" i="6"/>
  <c r="L966" i="6"/>
  <c r="S965" i="6"/>
  <c r="H965" i="6"/>
  <c r="R964" i="6"/>
  <c r="E964" i="6"/>
  <c r="Q963" i="6"/>
  <c r="D963" i="6"/>
  <c r="P962" i="6"/>
  <c r="C962" i="6"/>
  <c r="O961" i="6"/>
  <c r="B961" i="6"/>
  <c r="N960" i="6"/>
  <c r="A960" i="6"/>
  <c r="M959" i="6"/>
  <c r="T958" i="6"/>
  <c r="L958" i="6"/>
  <c r="S957" i="6"/>
  <c r="H957" i="6"/>
  <c r="R956" i="6"/>
  <c r="E956" i="6"/>
  <c r="Q955" i="6"/>
  <c r="D955" i="6"/>
  <c r="P954" i="6"/>
  <c r="C954" i="6"/>
  <c r="O953" i="6"/>
  <c r="B953" i="6"/>
  <c r="N952" i="6"/>
  <c r="A952" i="6"/>
  <c r="M951" i="6"/>
  <c r="T950" i="6"/>
  <c r="L950" i="6"/>
  <c r="S949" i="6"/>
  <c r="H949" i="6"/>
  <c r="R948" i="6"/>
  <c r="E948" i="6"/>
  <c r="Q947" i="6"/>
  <c r="D947" i="6"/>
  <c r="P946" i="6"/>
  <c r="C946" i="6"/>
  <c r="O945" i="6"/>
  <c r="B945" i="6"/>
  <c r="N944" i="6"/>
  <c r="A944" i="6"/>
  <c r="M943" i="6"/>
  <c r="T942" i="6"/>
  <c r="L942" i="6"/>
  <c r="S941" i="6"/>
  <c r="I941" i="6"/>
  <c r="S940" i="6"/>
  <c r="H940" i="6"/>
  <c r="S939" i="6"/>
  <c r="H939" i="6"/>
  <c r="R938" i="6"/>
  <c r="E938" i="6"/>
  <c r="Q937" i="6"/>
  <c r="D937" i="6"/>
  <c r="P936" i="6"/>
  <c r="C936" i="6"/>
  <c r="O935" i="6"/>
  <c r="B935" i="6"/>
  <c r="N934" i="6"/>
  <c r="S1069" i="6"/>
  <c r="Q1068" i="6"/>
  <c r="B1068" i="6"/>
  <c r="N1067" i="6"/>
  <c r="A1067" i="6"/>
  <c r="M1066" i="6"/>
  <c r="T1065" i="6"/>
  <c r="L1065" i="6"/>
  <c r="S1064" i="6"/>
  <c r="H1064" i="6"/>
  <c r="Q1063" i="6"/>
  <c r="D1063" i="6"/>
  <c r="O1062" i="6"/>
  <c r="B1062" i="6"/>
  <c r="M1061" i="6"/>
  <c r="S1060" i="6"/>
  <c r="H1060" i="6"/>
  <c r="Q1059" i="6"/>
  <c r="D1059" i="6"/>
  <c r="P1058" i="6"/>
  <c r="C1058" i="6"/>
  <c r="O1057" i="6"/>
  <c r="B1057" i="6"/>
  <c r="M1056" i="6"/>
  <c r="T1055" i="6"/>
  <c r="L1055" i="6"/>
  <c r="S1054" i="6"/>
  <c r="H1054" i="6"/>
  <c r="Q1053" i="6"/>
  <c r="D1053" i="6"/>
  <c r="O1052" i="6"/>
  <c r="B1052" i="6"/>
  <c r="N1051" i="6"/>
  <c r="A1051" i="6"/>
  <c r="M1050" i="6"/>
  <c r="T1049" i="6"/>
  <c r="L1049" i="6"/>
  <c r="S1048" i="6"/>
  <c r="H1048" i="6"/>
  <c r="R1047" i="6"/>
  <c r="E1047" i="6"/>
  <c r="Q1046" i="6"/>
  <c r="D1046" i="6"/>
  <c r="O1045" i="6"/>
  <c r="B1045" i="6"/>
  <c r="M1044" i="6"/>
  <c r="S1043" i="6"/>
  <c r="H1043" i="6"/>
  <c r="R1042" i="6"/>
  <c r="E1042" i="6"/>
  <c r="Q1041" i="6"/>
  <c r="D1041" i="6"/>
  <c r="P1040" i="6"/>
  <c r="C1040" i="6"/>
  <c r="O1039" i="6"/>
  <c r="B1039" i="6"/>
  <c r="N1038" i="6"/>
  <c r="A1038" i="6"/>
  <c r="M1037" i="6"/>
  <c r="S1036" i="6"/>
  <c r="H1036" i="6"/>
  <c r="R1035" i="6"/>
  <c r="E1035" i="6"/>
  <c r="Q1034" i="6"/>
  <c r="D1034" i="6"/>
  <c r="P1033" i="6"/>
  <c r="C1033" i="6"/>
  <c r="O1032" i="6"/>
  <c r="B1032" i="6"/>
  <c r="N1031" i="6"/>
  <c r="A1031" i="6"/>
  <c r="M1030" i="6"/>
  <c r="T1029" i="6"/>
  <c r="L1029" i="6"/>
  <c r="S1028" i="6"/>
  <c r="H1028" i="6"/>
  <c r="R1027" i="6"/>
  <c r="E1027" i="6"/>
  <c r="Q1026" i="6"/>
  <c r="D1026" i="6"/>
  <c r="P1025" i="6"/>
  <c r="C1025" i="6"/>
  <c r="O1024" i="6"/>
  <c r="C1024" i="6"/>
  <c r="O1023" i="6"/>
  <c r="B1023" i="6"/>
  <c r="N1022" i="6"/>
  <c r="A1022" i="6"/>
  <c r="M1021" i="6"/>
  <c r="A1021" i="6"/>
  <c r="M1020" i="6"/>
  <c r="T1019" i="6"/>
  <c r="L1019" i="6"/>
  <c r="T1018" i="6"/>
  <c r="L1018" i="6"/>
  <c r="T1017" i="6"/>
  <c r="L1017" i="6"/>
  <c r="S1016" i="6"/>
  <c r="H1016" i="6"/>
  <c r="R1015" i="6"/>
  <c r="E1015" i="6"/>
  <c r="Q1014" i="6"/>
  <c r="E1014" i="6"/>
  <c r="Q1013" i="6"/>
  <c r="D1013" i="6"/>
  <c r="P1012" i="6"/>
  <c r="C1012" i="6"/>
  <c r="O1011" i="6"/>
  <c r="B1011" i="6"/>
  <c r="N1010" i="6"/>
  <c r="A1010" i="6"/>
  <c r="M1009" i="6"/>
  <c r="T1008" i="6"/>
  <c r="L1008" i="6"/>
  <c r="S1007" i="6"/>
  <c r="I1007" i="6"/>
  <c r="S1006" i="6"/>
  <c r="H1006" i="6"/>
  <c r="R1005" i="6"/>
  <c r="E1005" i="6"/>
  <c r="Q1004" i="6"/>
  <c r="D1004" i="6"/>
  <c r="P1003" i="6"/>
  <c r="C1003" i="6"/>
  <c r="O1002" i="6"/>
  <c r="C1002" i="6"/>
  <c r="O1001" i="6"/>
  <c r="B1001" i="6"/>
  <c r="N1000" i="6"/>
  <c r="B1000" i="6"/>
  <c r="N999" i="6"/>
  <c r="B999" i="6"/>
  <c r="N998" i="6"/>
  <c r="A998" i="6"/>
  <c r="M997" i="6"/>
  <c r="T996" i="6"/>
  <c r="L996" i="6"/>
  <c r="S995" i="6"/>
  <c r="H995" i="6"/>
  <c r="R994" i="6"/>
  <c r="E994" i="6"/>
  <c r="Q993" i="6"/>
  <c r="D993" i="6"/>
  <c r="P992" i="6"/>
  <c r="C992" i="6"/>
  <c r="O991" i="6"/>
  <c r="B991" i="6"/>
  <c r="N990" i="6"/>
  <c r="B990" i="6"/>
  <c r="N989" i="6"/>
  <c r="B989" i="6"/>
  <c r="N988" i="6"/>
  <c r="A988" i="6"/>
  <c r="M987" i="6"/>
  <c r="T986" i="6"/>
  <c r="L986" i="6"/>
  <c r="S985" i="6"/>
  <c r="I985" i="6"/>
  <c r="S984" i="6"/>
  <c r="I984" i="6"/>
  <c r="S983" i="6"/>
  <c r="I983" i="6"/>
  <c r="S982" i="6"/>
  <c r="H982" i="6"/>
  <c r="R981" i="6"/>
  <c r="E981" i="6"/>
  <c r="Q980" i="6"/>
  <c r="D980" i="6"/>
  <c r="P979" i="6"/>
  <c r="C979" i="6"/>
  <c r="O978" i="6"/>
  <c r="B978" i="6"/>
  <c r="N977" i="6"/>
  <c r="A977" i="6"/>
  <c r="M976" i="6"/>
  <c r="T975" i="6"/>
  <c r="L975" i="6"/>
  <c r="S974" i="6"/>
  <c r="H974" i="6"/>
  <c r="R973" i="6"/>
  <c r="E973" i="6"/>
  <c r="Q972" i="6"/>
  <c r="D972" i="6"/>
  <c r="P971" i="6"/>
  <c r="C971" i="6"/>
  <c r="O970" i="6"/>
  <c r="B970" i="6"/>
  <c r="N969" i="6"/>
  <c r="A969" i="6"/>
  <c r="M968" i="6"/>
  <c r="T967" i="6"/>
  <c r="L967" i="6"/>
  <c r="S966" i="6"/>
  <c r="H966" i="6"/>
  <c r="R965" i="6"/>
  <c r="E965" i="6"/>
  <c r="Q964" i="6"/>
  <c r="D964" i="6"/>
  <c r="P963" i="6"/>
  <c r="C963" i="6"/>
  <c r="O962" i="6"/>
  <c r="B962" i="6"/>
  <c r="N961" i="6"/>
  <c r="A961" i="6"/>
  <c r="M960" i="6"/>
  <c r="T959" i="6"/>
  <c r="L959" i="6"/>
  <c r="S958" i="6"/>
  <c r="H958" i="6"/>
  <c r="R957" i="6"/>
  <c r="E957" i="6"/>
  <c r="Q956" i="6"/>
  <c r="D956" i="6"/>
  <c r="P955" i="6"/>
  <c r="C955" i="6"/>
  <c r="O954" i="6"/>
  <c r="B954" i="6"/>
  <c r="N953" i="6"/>
  <c r="A953" i="6"/>
  <c r="M952" i="6"/>
  <c r="T951" i="6"/>
  <c r="L951" i="6"/>
  <c r="S950" i="6"/>
  <c r="H950" i="6"/>
  <c r="R949" i="6"/>
  <c r="E949" i="6"/>
  <c r="Q948" i="6"/>
  <c r="D948" i="6"/>
  <c r="P947" i="6"/>
  <c r="C947" i="6"/>
  <c r="O946" i="6"/>
  <c r="B946" i="6"/>
  <c r="N945" i="6"/>
  <c r="A945" i="6"/>
  <c r="M944" i="6"/>
  <c r="T943" i="6"/>
  <c r="L943" i="6"/>
  <c r="S942" i="6"/>
  <c r="H942" i="6"/>
  <c r="R941" i="6"/>
  <c r="H941" i="6"/>
  <c r="R940" i="6"/>
  <c r="G940" i="6"/>
  <c r="R939" i="6"/>
  <c r="E939" i="6"/>
  <c r="Q938" i="6"/>
  <c r="D938" i="6"/>
  <c r="P937" i="6"/>
  <c r="C937" i="6"/>
  <c r="O936" i="6"/>
  <c r="B936" i="6"/>
  <c r="N935" i="6"/>
  <c r="A935" i="6"/>
  <c r="M934" i="6"/>
  <c r="T933" i="6"/>
  <c r="R1069" i="6"/>
  <c r="P1068" i="6"/>
  <c r="A1068" i="6"/>
  <c r="M1067" i="6"/>
  <c r="T1066" i="6"/>
  <c r="L1066" i="6"/>
  <c r="S1065" i="6"/>
  <c r="H1065" i="6"/>
  <c r="R1064" i="6"/>
  <c r="E1064" i="6"/>
  <c r="P1063" i="6"/>
  <c r="C1063" i="6"/>
  <c r="N1062" i="6"/>
  <c r="A1062" i="6"/>
  <c r="L1061" i="6"/>
  <c r="R1060" i="6"/>
  <c r="E1060" i="6"/>
  <c r="P1059" i="6"/>
  <c r="C1059" i="6"/>
  <c r="O1058" i="6"/>
  <c r="B1058" i="6"/>
  <c r="N1057" i="6"/>
  <c r="A1057" i="6"/>
  <c r="L1056" i="6"/>
  <c r="S1055" i="6"/>
  <c r="H1055" i="6"/>
  <c r="R1054" i="6"/>
  <c r="E1054" i="6"/>
  <c r="P1053" i="6"/>
  <c r="C1053" i="6"/>
  <c r="N1052" i="6"/>
  <c r="A1052" i="6"/>
  <c r="M1051" i="6"/>
  <c r="T1050" i="6"/>
  <c r="L1050" i="6"/>
  <c r="S1049" i="6"/>
  <c r="H1049" i="6"/>
  <c r="R1048" i="6"/>
  <c r="E1048" i="6"/>
  <c r="Q1047" i="6"/>
  <c r="D1047" i="6"/>
  <c r="P1046" i="6"/>
  <c r="C1046" i="6"/>
  <c r="N1045" i="6"/>
  <c r="A1045" i="6"/>
  <c r="L1044" i="6"/>
  <c r="R1043" i="6"/>
  <c r="E1043" i="6"/>
  <c r="Q1042" i="6"/>
  <c r="D1042" i="6"/>
  <c r="P1041" i="6"/>
  <c r="C1041" i="6"/>
  <c r="O1040" i="6"/>
  <c r="B1040" i="6"/>
  <c r="N1039" i="6"/>
  <c r="A1039" i="6"/>
  <c r="M1038" i="6"/>
  <c r="T1037" i="6"/>
  <c r="L1037" i="6"/>
  <c r="R1036" i="6"/>
  <c r="E1036" i="6"/>
  <c r="Q1035" i="6"/>
  <c r="D1035" i="6"/>
  <c r="P1034" i="6"/>
  <c r="C1034" i="6"/>
  <c r="O1033" i="6"/>
  <c r="B1033" i="6"/>
  <c r="N1032" i="6"/>
  <c r="A1032" i="6"/>
  <c r="M1031" i="6"/>
  <c r="T1030" i="6"/>
  <c r="L1030" i="6"/>
  <c r="S1029" i="6"/>
  <c r="H1029" i="6"/>
  <c r="R1028" i="6"/>
  <c r="E1028" i="6"/>
  <c r="Q1027" i="6"/>
  <c r="D1027" i="6"/>
  <c r="P1026" i="6"/>
  <c r="C1026" i="6"/>
  <c r="O1025" i="6"/>
  <c r="B1025" i="6"/>
  <c r="N1024" i="6"/>
  <c r="B1024" i="6"/>
  <c r="N1023" i="6"/>
  <c r="A1023" i="6"/>
  <c r="M1022" i="6"/>
  <c r="T1021" i="6"/>
  <c r="L1021" i="6"/>
  <c r="T1020" i="6"/>
  <c r="L1020" i="6"/>
  <c r="S1019" i="6"/>
  <c r="H1019" i="6"/>
  <c r="S1018" i="6"/>
  <c r="H1018" i="6"/>
  <c r="S1017" i="6"/>
  <c r="H1017" i="6"/>
  <c r="R1016" i="6"/>
  <c r="E1016" i="6"/>
  <c r="Q1015" i="6"/>
  <c r="D1015" i="6"/>
  <c r="P1014" i="6"/>
  <c r="D1014" i="6"/>
  <c r="P1013" i="6"/>
  <c r="C1013" i="6"/>
  <c r="O1012" i="6"/>
  <c r="B1012" i="6"/>
  <c r="N1011" i="6"/>
  <c r="A1011" i="6"/>
  <c r="M1010" i="6"/>
  <c r="T1009" i="6"/>
  <c r="L1009" i="6"/>
  <c r="S1008" i="6"/>
  <c r="H1008" i="6"/>
  <c r="R1007" i="6"/>
  <c r="H1007" i="6"/>
  <c r="R1006" i="6"/>
  <c r="E1006" i="6"/>
  <c r="Q1005" i="6"/>
  <c r="D1005" i="6"/>
  <c r="P1004" i="6"/>
  <c r="C1004" i="6"/>
  <c r="O1003" i="6"/>
  <c r="B1003" i="6"/>
  <c r="N1002" i="6"/>
  <c r="B1002" i="6"/>
  <c r="N1001" i="6"/>
  <c r="A1001" i="6"/>
  <c r="M1000" i="6"/>
  <c r="A1000" i="6"/>
  <c r="M999" i="6"/>
  <c r="A999" i="6"/>
  <c r="M998" i="6"/>
  <c r="T997" i="6"/>
  <c r="L997" i="6"/>
  <c r="S996" i="6"/>
  <c r="H996" i="6"/>
  <c r="R995" i="6"/>
  <c r="E995" i="6"/>
  <c r="Q994" i="6"/>
  <c r="D994" i="6"/>
  <c r="P993" i="6"/>
  <c r="C993" i="6"/>
  <c r="O992" i="6"/>
  <c r="B992" i="6"/>
  <c r="N991" i="6"/>
  <c r="A991" i="6"/>
  <c r="M990" i="6"/>
  <c r="A990" i="6"/>
  <c r="M989" i="6"/>
  <c r="A989" i="6"/>
  <c r="M988" i="6"/>
  <c r="T987" i="6"/>
  <c r="L987" i="6"/>
  <c r="S986" i="6"/>
  <c r="H986" i="6"/>
  <c r="R985" i="6"/>
  <c r="H985" i="6"/>
  <c r="R984" i="6"/>
  <c r="H984" i="6"/>
  <c r="R983" i="6"/>
  <c r="H983" i="6"/>
  <c r="R982" i="6"/>
  <c r="E982" i="6"/>
  <c r="Q981" i="6"/>
  <c r="D981" i="6"/>
  <c r="P980" i="6"/>
  <c r="C980" i="6"/>
  <c r="O979" i="6"/>
  <c r="B979" i="6"/>
  <c r="N978" i="6"/>
  <c r="A978" i="6"/>
  <c r="M977" i="6"/>
  <c r="T976" i="6"/>
  <c r="L976" i="6"/>
  <c r="S975" i="6"/>
  <c r="H975" i="6"/>
  <c r="R974" i="6"/>
  <c r="E974" i="6"/>
  <c r="Q973" i="6"/>
  <c r="D973" i="6"/>
  <c r="P972" i="6"/>
  <c r="C972" i="6"/>
  <c r="O971" i="6"/>
  <c r="B971" i="6"/>
  <c r="N970" i="6"/>
  <c r="A970" i="6"/>
  <c r="M969" i="6"/>
  <c r="T968" i="6"/>
  <c r="L968" i="6"/>
  <c r="S967" i="6"/>
  <c r="H967" i="6"/>
  <c r="R966" i="6"/>
  <c r="E966" i="6"/>
  <c r="Q965" i="6"/>
  <c r="D965" i="6"/>
  <c r="P964" i="6"/>
  <c r="C964" i="6"/>
  <c r="O963" i="6"/>
  <c r="B963" i="6"/>
  <c r="N962" i="6"/>
  <c r="A962" i="6"/>
  <c r="M961" i="6"/>
  <c r="T960" i="6"/>
  <c r="L960" i="6"/>
  <c r="S959" i="6"/>
  <c r="H959" i="6"/>
  <c r="R958" i="6"/>
  <c r="E958" i="6"/>
  <c r="Q957" i="6"/>
  <c r="D957" i="6"/>
  <c r="P956" i="6"/>
  <c r="C956" i="6"/>
  <c r="O955" i="6"/>
  <c r="B955" i="6"/>
  <c r="N954" i="6"/>
  <c r="A954" i="6"/>
  <c r="M953" i="6"/>
  <c r="T952" i="6"/>
  <c r="L952" i="6"/>
  <c r="S951" i="6"/>
  <c r="H951" i="6"/>
  <c r="R950" i="6"/>
  <c r="E950" i="6"/>
  <c r="Q949" i="6"/>
  <c r="D949" i="6"/>
  <c r="P948" i="6"/>
  <c r="C948" i="6"/>
  <c r="O947" i="6"/>
  <c r="B947" i="6"/>
  <c r="N946" i="6"/>
  <c r="A946" i="6"/>
  <c r="M945" i="6"/>
  <c r="T944" i="6"/>
  <c r="L944" i="6"/>
  <c r="S943" i="6"/>
  <c r="H943" i="6"/>
  <c r="R942" i="6"/>
  <c r="E942" i="6"/>
  <c r="Q941" i="6"/>
  <c r="F941" i="6"/>
  <c r="Q940" i="6"/>
  <c r="E940" i="6"/>
  <c r="Q939" i="6"/>
  <c r="D939" i="6"/>
  <c r="P938" i="6"/>
  <c r="C938" i="6"/>
  <c r="O937" i="6"/>
  <c r="B937" i="6"/>
  <c r="N936" i="6"/>
  <c r="A936" i="6"/>
  <c r="M935" i="6"/>
  <c r="T934" i="6"/>
  <c r="L934" i="6"/>
  <c r="N1069" i="6"/>
  <c r="O1068" i="6"/>
  <c r="T1067" i="6"/>
  <c r="L1067" i="6"/>
  <c r="S1066" i="6"/>
  <c r="H1066" i="6"/>
  <c r="R1065" i="6"/>
  <c r="E1065" i="6"/>
  <c r="Q1064" i="6"/>
  <c r="D1064" i="6"/>
  <c r="O1063" i="6"/>
  <c r="B1063" i="6"/>
  <c r="M1062" i="6"/>
  <c r="S1061" i="6"/>
  <c r="H1061" i="6"/>
  <c r="Q1060" i="6"/>
  <c r="D1060" i="6"/>
  <c r="O1059" i="6"/>
  <c r="B1059" i="6"/>
  <c r="N1058" i="6"/>
  <c r="A1058" i="6"/>
  <c r="M1057" i="6"/>
  <c r="S1056" i="6"/>
  <c r="H1056" i="6"/>
  <c r="R1055" i="6"/>
  <c r="E1055" i="6"/>
  <c r="Q1054" i="6"/>
  <c r="D1054" i="6"/>
  <c r="O1053" i="6"/>
  <c r="B1053" i="6"/>
  <c r="M1052" i="6"/>
  <c r="T1051" i="6"/>
  <c r="L1051" i="6"/>
  <c r="S1050" i="6"/>
  <c r="H1050" i="6"/>
  <c r="R1049" i="6"/>
  <c r="E1049" i="6"/>
  <c r="Q1048" i="6"/>
  <c r="D1048" i="6"/>
  <c r="P1047" i="6"/>
  <c r="C1047" i="6"/>
  <c r="O1046" i="6"/>
  <c r="B1046" i="6"/>
  <c r="M1045" i="6"/>
  <c r="S1044" i="6"/>
  <c r="H1044" i="6"/>
  <c r="Q1043" i="6"/>
  <c r="D1043" i="6"/>
  <c r="P1042" i="6"/>
  <c r="C1042" i="6"/>
  <c r="O1041" i="6"/>
  <c r="B1041" i="6"/>
  <c r="N1040" i="6"/>
  <c r="A1040" i="6"/>
  <c r="M1039" i="6"/>
  <c r="T1038" i="6"/>
  <c r="L1038" i="6"/>
  <c r="S1037" i="6"/>
  <c r="H1037" i="6"/>
  <c r="Q1036" i="6"/>
  <c r="D1036" i="6"/>
  <c r="P1035" i="6"/>
  <c r="C1035" i="6"/>
  <c r="O1034" i="6"/>
  <c r="B1034" i="6"/>
  <c r="N1033" i="6"/>
  <c r="A1033" i="6"/>
  <c r="M1032" i="6"/>
  <c r="T1031" i="6"/>
  <c r="L1031" i="6"/>
  <c r="S1030" i="6"/>
  <c r="H1030" i="6"/>
  <c r="R1029" i="6"/>
  <c r="E1029" i="6"/>
  <c r="Q1028" i="6"/>
  <c r="D1028" i="6"/>
  <c r="P1027" i="6"/>
  <c r="C1027" i="6"/>
  <c r="O1026" i="6"/>
  <c r="B1026" i="6"/>
  <c r="N1025" i="6"/>
  <c r="A1025" i="6"/>
  <c r="M1024" i="6"/>
  <c r="A1024" i="6"/>
  <c r="M1023" i="6"/>
  <c r="T1022" i="6"/>
  <c r="L1022" i="6"/>
  <c r="S1021" i="6"/>
  <c r="I1021" i="6"/>
  <c r="S1020" i="6"/>
  <c r="H1020" i="6"/>
  <c r="R1019" i="6"/>
  <c r="F1019" i="6"/>
  <c r="R1018" i="6"/>
  <c r="G1018" i="6"/>
  <c r="R1017" i="6"/>
  <c r="E1017" i="6"/>
  <c r="Q1016" i="6"/>
  <c r="D1016" i="6"/>
  <c r="P1015" i="6"/>
  <c r="C1015" i="6"/>
  <c r="O1014" i="6"/>
  <c r="C1014" i="6"/>
  <c r="O1013" i="6"/>
  <c r="B1013" i="6"/>
  <c r="N1012" i="6"/>
  <c r="A1012" i="6"/>
  <c r="M1011" i="6"/>
  <c r="T1010" i="6"/>
  <c r="L1010" i="6"/>
  <c r="S1009" i="6"/>
  <c r="H1009" i="6"/>
  <c r="R1008" i="6"/>
  <c r="E1008" i="6"/>
  <c r="Q1007" i="6"/>
  <c r="E1007" i="6"/>
  <c r="Q1006" i="6"/>
  <c r="D1006" i="6"/>
  <c r="P1005" i="6"/>
  <c r="C1005" i="6"/>
  <c r="O1004" i="6"/>
  <c r="B1004" i="6"/>
  <c r="N1003" i="6"/>
  <c r="A1003" i="6"/>
  <c r="M1002" i="6"/>
  <c r="A1002" i="6"/>
  <c r="M1001" i="6"/>
  <c r="T1000" i="6"/>
  <c r="L1000" i="6"/>
  <c r="T999" i="6"/>
  <c r="L999" i="6"/>
  <c r="T998" i="6"/>
  <c r="L998" i="6"/>
  <c r="S997" i="6"/>
  <c r="H997" i="6"/>
  <c r="R996" i="6"/>
  <c r="E996" i="6"/>
  <c r="Q995" i="6"/>
  <c r="D995" i="6"/>
  <c r="P994" i="6"/>
  <c r="C994" i="6"/>
  <c r="O993" i="6"/>
  <c r="B993" i="6"/>
  <c r="N992" i="6"/>
  <c r="A992" i="6"/>
  <c r="M991" i="6"/>
  <c r="T990" i="6"/>
  <c r="L990" i="6"/>
  <c r="T989" i="6"/>
  <c r="L989" i="6"/>
  <c r="T988" i="6"/>
  <c r="L988" i="6"/>
  <c r="S987" i="6"/>
  <c r="H987" i="6"/>
  <c r="R986" i="6"/>
  <c r="E986" i="6"/>
  <c r="Q985" i="6"/>
  <c r="E985" i="6"/>
  <c r="Q984" i="6"/>
  <c r="E984" i="6"/>
  <c r="Q983" i="6"/>
  <c r="E983" i="6"/>
  <c r="Q982" i="6"/>
  <c r="D982" i="6"/>
  <c r="P981" i="6"/>
  <c r="C981" i="6"/>
  <c r="O980" i="6"/>
  <c r="B980" i="6"/>
  <c r="N979" i="6"/>
  <c r="A979" i="6"/>
  <c r="M978" i="6"/>
  <c r="T977" i="6"/>
  <c r="L977" i="6"/>
  <c r="S976" i="6"/>
  <c r="H976" i="6"/>
  <c r="R975" i="6"/>
  <c r="E975" i="6"/>
  <c r="Q974" i="6"/>
  <c r="D974" i="6"/>
  <c r="P973" i="6"/>
  <c r="C973" i="6"/>
  <c r="O972" i="6"/>
  <c r="B972" i="6"/>
  <c r="N971" i="6"/>
  <c r="A971" i="6"/>
  <c r="M970" i="6"/>
  <c r="T969" i="6"/>
  <c r="L969" i="6"/>
  <c r="S968" i="6"/>
  <c r="H968" i="6"/>
  <c r="R967" i="6"/>
  <c r="E967" i="6"/>
  <c r="Q966" i="6"/>
  <c r="D966" i="6"/>
  <c r="P965" i="6"/>
  <c r="C965" i="6"/>
  <c r="O964" i="6"/>
  <c r="B964" i="6"/>
  <c r="N963" i="6"/>
  <c r="A963" i="6"/>
  <c r="M962" i="6"/>
  <c r="T961" i="6"/>
  <c r="L961" i="6"/>
  <c r="S960" i="6"/>
  <c r="H960" i="6"/>
  <c r="R959" i="6"/>
  <c r="E959" i="6"/>
  <c r="Q958" i="6"/>
  <c r="D958" i="6"/>
  <c r="P957" i="6"/>
  <c r="C957" i="6"/>
  <c r="O956" i="6"/>
  <c r="B956" i="6"/>
  <c r="N955" i="6"/>
  <c r="A955" i="6"/>
  <c r="M954" i="6"/>
  <c r="T953" i="6"/>
  <c r="L953" i="6"/>
  <c r="S952" i="6"/>
  <c r="H952" i="6"/>
  <c r="R951" i="6"/>
  <c r="E951" i="6"/>
  <c r="Q950" i="6"/>
  <c r="D950" i="6"/>
  <c r="P949" i="6"/>
  <c r="C949" i="6"/>
  <c r="O948" i="6"/>
  <c r="B948" i="6"/>
  <c r="N947" i="6"/>
  <c r="A947" i="6"/>
  <c r="M946" i="6"/>
  <c r="T945" i="6"/>
  <c r="L945" i="6"/>
  <c r="S944" i="6"/>
  <c r="H944" i="6"/>
  <c r="R943" i="6"/>
  <c r="E943" i="6"/>
  <c r="Q942" i="6"/>
  <c r="D942" i="6"/>
  <c r="P941" i="6"/>
  <c r="D941" i="6"/>
  <c r="P940" i="6"/>
  <c r="D940" i="6"/>
  <c r="P939" i="6"/>
  <c r="C939" i="6"/>
  <c r="O938" i="6"/>
  <c r="B938" i="6"/>
  <c r="N937" i="6"/>
  <c r="A937" i="6"/>
  <c r="M936" i="6"/>
  <c r="T935" i="6"/>
  <c r="L935" i="6"/>
  <c r="H1069" i="6"/>
  <c r="M1068" i="6"/>
  <c r="S1067" i="6"/>
  <c r="H1067" i="6"/>
  <c r="R1066" i="6"/>
  <c r="E1066" i="6"/>
  <c r="Q1065" i="6"/>
  <c r="D1065" i="6"/>
  <c r="P1064" i="6"/>
  <c r="C1064" i="6"/>
  <c r="N1063" i="6"/>
  <c r="A1063" i="6"/>
  <c r="L1062" i="6"/>
  <c r="R1061" i="6"/>
  <c r="E1061" i="6"/>
  <c r="P1060" i="6"/>
  <c r="C1060" i="6"/>
  <c r="N1059" i="6"/>
  <c r="A1059" i="6"/>
  <c r="M1058" i="6"/>
  <c r="T1057" i="6"/>
  <c r="L1057" i="6"/>
  <c r="R1056" i="6"/>
  <c r="E1056" i="6"/>
  <c r="Q1055" i="6"/>
  <c r="D1055" i="6"/>
  <c r="P1054" i="6"/>
  <c r="C1054" i="6"/>
  <c r="N1053" i="6"/>
  <c r="A1053" i="6"/>
  <c r="L1052" i="6"/>
  <c r="S1051" i="6"/>
  <c r="H1051" i="6"/>
  <c r="R1050" i="6"/>
  <c r="E1050" i="6"/>
  <c r="Q1049" i="6"/>
  <c r="D1049" i="6"/>
  <c r="P1048" i="6"/>
  <c r="C1048" i="6"/>
  <c r="O1047" i="6"/>
  <c r="B1047" i="6"/>
  <c r="N1046" i="6"/>
  <c r="A1046" i="6"/>
  <c r="L1045" i="6"/>
  <c r="R1044" i="6"/>
  <c r="E1044" i="6"/>
  <c r="P1043" i="6"/>
  <c r="C1043" i="6"/>
  <c r="O1042" i="6"/>
  <c r="B1042" i="6"/>
  <c r="N1041" i="6"/>
  <c r="A1041" i="6"/>
  <c r="M1040" i="6"/>
  <c r="T1039" i="6"/>
  <c r="L1039" i="6"/>
  <c r="S1038" i="6"/>
  <c r="H1038" i="6"/>
  <c r="R1037" i="6"/>
  <c r="E1037" i="6"/>
  <c r="P1036" i="6"/>
  <c r="C1036" i="6"/>
  <c r="O1035" i="6"/>
  <c r="B1035" i="6"/>
  <c r="N1034" i="6"/>
  <c r="A1034" i="6"/>
  <c r="M1033" i="6"/>
  <c r="T1032" i="6"/>
  <c r="L1032" i="6"/>
  <c r="S1031" i="6"/>
  <c r="H1031" i="6"/>
  <c r="R1030" i="6"/>
  <c r="E1030" i="6"/>
  <c r="Q1029" i="6"/>
  <c r="D1029" i="6"/>
  <c r="P1028" i="6"/>
  <c r="C1028" i="6"/>
  <c r="O1027" i="6"/>
  <c r="B1027" i="6"/>
  <c r="N1026" i="6"/>
  <c r="A1026" i="6"/>
  <c r="M1025" i="6"/>
  <c r="T1024" i="6"/>
  <c r="L1024" i="6"/>
  <c r="T1023" i="6"/>
  <c r="L1023" i="6"/>
  <c r="S1022" i="6"/>
  <c r="H1022" i="6"/>
  <c r="R1021" i="6"/>
  <c r="H1021" i="6"/>
  <c r="R1020" i="6"/>
  <c r="E1020" i="6"/>
  <c r="Q1019" i="6"/>
  <c r="E1019" i="6"/>
  <c r="Q1018" i="6"/>
  <c r="E1018" i="6"/>
  <c r="Q1017" i="6"/>
  <c r="D1017" i="6"/>
  <c r="P1016" i="6"/>
  <c r="C1016" i="6"/>
  <c r="O1015" i="6"/>
  <c r="B1015" i="6"/>
  <c r="N1014" i="6"/>
  <c r="B1014" i="6"/>
  <c r="N1013" i="6"/>
  <c r="A1013" i="6"/>
  <c r="M1012" i="6"/>
  <c r="T1011" i="6"/>
  <c r="L1011" i="6"/>
  <c r="S1010" i="6"/>
  <c r="H1010" i="6"/>
  <c r="R1009" i="6"/>
  <c r="E1009" i="6"/>
  <c r="Q1008" i="6"/>
  <c r="D1008" i="6"/>
  <c r="P1007" i="6"/>
  <c r="D1007" i="6"/>
  <c r="P1006" i="6"/>
  <c r="C1006" i="6"/>
  <c r="O1005" i="6"/>
  <c r="B1005" i="6"/>
  <c r="N1004" i="6"/>
  <c r="A1004" i="6"/>
  <c r="M1003" i="6"/>
  <c r="T1002" i="6"/>
  <c r="L1002" i="6"/>
  <c r="T1001" i="6"/>
  <c r="L1001" i="6"/>
  <c r="S1000" i="6"/>
  <c r="H1000" i="6"/>
  <c r="S999" i="6"/>
  <c r="H999" i="6"/>
  <c r="S998" i="6"/>
  <c r="H998" i="6"/>
  <c r="R997" i="6"/>
  <c r="E997" i="6"/>
  <c r="Q996" i="6"/>
  <c r="D996" i="6"/>
  <c r="P995" i="6"/>
  <c r="C995" i="6"/>
  <c r="O994" i="6"/>
  <c r="B994" i="6"/>
  <c r="N993" i="6"/>
  <c r="A993" i="6"/>
  <c r="M992" i="6"/>
  <c r="T991" i="6"/>
  <c r="L991" i="6"/>
  <c r="S990" i="6"/>
  <c r="H990" i="6"/>
  <c r="S989" i="6"/>
  <c r="H989" i="6"/>
  <c r="S988" i="6"/>
  <c r="H988" i="6"/>
  <c r="R987" i="6"/>
  <c r="E987" i="6"/>
  <c r="Q986" i="6"/>
  <c r="D986" i="6"/>
  <c r="P985" i="6"/>
  <c r="D985" i="6"/>
  <c r="P984" i="6"/>
  <c r="D984" i="6"/>
  <c r="P983" i="6"/>
  <c r="D983" i="6"/>
  <c r="P982" i="6"/>
  <c r="C982" i="6"/>
  <c r="O981" i="6"/>
  <c r="B981" i="6"/>
  <c r="N980" i="6"/>
  <c r="A980" i="6"/>
  <c r="M979" i="6"/>
  <c r="T978" i="6"/>
  <c r="L978" i="6"/>
  <c r="S977" i="6"/>
  <c r="H977" i="6"/>
  <c r="R976" i="6"/>
  <c r="E976" i="6"/>
  <c r="Q975" i="6"/>
  <c r="D975" i="6"/>
  <c r="P974" i="6"/>
  <c r="C974" i="6"/>
  <c r="O973" i="6"/>
  <c r="B973" i="6"/>
  <c r="N972" i="6"/>
  <c r="A972" i="6"/>
  <c r="M971" i="6"/>
  <c r="T970" i="6"/>
  <c r="L970" i="6"/>
  <c r="S969" i="6"/>
  <c r="H969" i="6"/>
  <c r="R968" i="6"/>
  <c r="E968" i="6"/>
  <c r="Q967" i="6"/>
  <c r="D967" i="6"/>
  <c r="P966" i="6"/>
  <c r="C966" i="6"/>
  <c r="O965" i="6"/>
  <c r="B965" i="6"/>
  <c r="N964" i="6"/>
  <c r="A964" i="6"/>
  <c r="M963" i="6"/>
  <c r="T962" i="6"/>
  <c r="L962" i="6"/>
  <c r="S961" i="6"/>
  <c r="H961" i="6"/>
  <c r="R960" i="6"/>
  <c r="E960" i="6"/>
  <c r="Q959" i="6"/>
  <c r="D959" i="6"/>
  <c r="P958" i="6"/>
  <c r="C958" i="6"/>
  <c r="O957" i="6"/>
  <c r="B957" i="6"/>
  <c r="N956" i="6"/>
  <c r="A956" i="6"/>
  <c r="M955" i="6"/>
  <c r="T954" i="6"/>
  <c r="L954" i="6"/>
  <c r="S953" i="6"/>
  <c r="H953" i="6"/>
  <c r="R952" i="6"/>
  <c r="E952" i="6"/>
  <c r="Q951" i="6"/>
  <c r="D951" i="6"/>
  <c r="P950" i="6"/>
  <c r="C950" i="6"/>
  <c r="O949" i="6"/>
  <c r="B949" i="6"/>
  <c r="N948" i="6"/>
  <c r="A948" i="6"/>
  <c r="M947" i="6"/>
  <c r="T946" i="6"/>
  <c r="L946" i="6"/>
  <c r="S945" i="6"/>
  <c r="H945" i="6"/>
  <c r="R944" i="6"/>
  <c r="E944" i="6"/>
  <c r="Q943" i="6"/>
  <c r="D943" i="6"/>
  <c r="P942" i="6"/>
  <c r="C942" i="6"/>
  <c r="O941" i="6"/>
  <c r="C941" i="6"/>
  <c r="O940" i="6"/>
  <c r="C940" i="6"/>
  <c r="O939" i="6"/>
  <c r="B939" i="6"/>
  <c r="N938" i="6"/>
  <c r="A938" i="6"/>
  <c r="M937" i="6"/>
  <c r="T936" i="6"/>
  <c r="L936" i="6"/>
  <c r="S935" i="6"/>
  <c r="E1069" i="6"/>
  <c r="L1068" i="6"/>
  <c r="R1067" i="6"/>
  <c r="E1067" i="6"/>
  <c r="Q1066" i="6"/>
  <c r="D1066" i="6"/>
  <c r="P1065" i="6"/>
  <c r="C1065" i="6"/>
  <c r="O1064" i="6"/>
  <c r="B1064" i="6"/>
  <c r="M1063" i="6"/>
  <c r="S1062" i="6"/>
  <c r="H1062" i="6"/>
  <c r="Q1061" i="6"/>
  <c r="D1061" i="6"/>
  <c r="O1060" i="6"/>
  <c r="B1060" i="6"/>
  <c r="M1059" i="6"/>
  <c r="T1058" i="6"/>
  <c r="L1058" i="6"/>
  <c r="S1057" i="6"/>
  <c r="H1057" i="6"/>
  <c r="Q1056" i="6"/>
  <c r="D1056" i="6"/>
  <c r="P1055" i="6"/>
  <c r="C1055" i="6"/>
  <c r="O1054" i="6"/>
  <c r="B1054" i="6"/>
  <c r="M1053" i="6"/>
  <c r="S1052" i="6"/>
  <c r="H1052" i="6"/>
  <c r="R1051" i="6"/>
  <c r="E1051" i="6"/>
  <c r="Q1050" i="6"/>
  <c r="D1050" i="6"/>
  <c r="P1049" i="6"/>
  <c r="C1049" i="6"/>
  <c r="O1048" i="6"/>
  <c r="B1048" i="6"/>
  <c r="N1047" i="6"/>
  <c r="A1047" i="6"/>
  <c r="M1046" i="6"/>
  <c r="S1045" i="6"/>
  <c r="H1045" i="6"/>
  <c r="Q1044" i="6"/>
  <c r="D1044" i="6"/>
  <c r="O1043" i="6"/>
  <c r="B1043" i="6"/>
  <c r="N1042" i="6"/>
  <c r="A1042" i="6"/>
  <c r="M1041" i="6"/>
  <c r="T1040" i="6"/>
  <c r="L1040" i="6"/>
  <c r="S1039" i="6"/>
  <c r="H1039" i="6"/>
  <c r="R1038" i="6"/>
  <c r="E1038" i="6"/>
  <c r="Q1037" i="6"/>
  <c r="D1037" i="6"/>
  <c r="O1036" i="6"/>
  <c r="B1036" i="6"/>
  <c r="N1035" i="6"/>
  <c r="A1035" i="6"/>
  <c r="M1034" i="6"/>
  <c r="T1033" i="6"/>
  <c r="L1033" i="6"/>
  <c r="S1032" i="6"/>
  <c r="H1032" i="6"/>
  <c r="R1031" i="6"/>
  <c r="E1031" i="6"/>
  <c r="Q1030" i="6"/>
  <c r="D1030" i="6"/>
  <c r="P1029" i="6"/>
  <c r="C1029" i="6"/>
  <c r="O1028" i="6"/>
  <c r="B1028" i="6"/>
  <c r="N1027" i="6"/>
  <c r="A1027" i="6"/>
  <c r="M1026" i="6"/>
  <c r="T1025" i="6"/>
  <c r="L1025" i="6"/>
  <c r="S1024" i="6"/>
  <c r="I1024" i="6"/>
  <c r="S1023" i="6"/>
  <c r="H1023" i="6"/>
  <c r="R1022" i="6"/>
  <c r="E1022" i="6"/>
  <c r="Q1021" i="6"/>
  <c r="E1021" i="6"/>
  <c r="Q1020" i="6"/>
  <c r="D1020" i="6"/>
  <c r="P1019" i="6"/>
  <c r="D1019" i="6"/>
  <c r="P1018" i="6"/>
  <c r="D1018" i="6"/>
  <c r="P1017" i="6"/>
  <c r="C1017" i="6"/>
  <c r="O1016" i="6"/>
  <c r="B1016" i="6"/>
  <c r="N1015" i="6"/>
  <c r="A1015" i="6"/>
  <c r="M1014" i="6"/>
  <c r="A1014" i="6"/>
  <c r="M1013" i="6"/>
  <c r="T1012" i="6"/>
  <c r="L1012" i="6"/>
  <c r="S1011" i="6"/>
  <c r="H1011" i="6"/>
  <c r="R1010" i="6"/>
  <c r="E1010" i="6"/>
  <c r="Q1009" i="6"/>
  <c r="D1009" i="6"/>
  <c r="P1008" i="6"/>
  <c r="C1008" i="6"/>
  <c r="O1007" i="6"/>
  <c r="C1007" i="6"/>
  <c r="O1006" i="6"/>
  <c r="B1006" i="6"/>
  <c r="N1005" i="6"/>
  <c r="A1005" i="6"/>
  <c r="M1004" i="6"/>
  <c r="T1003" i="6"/>
  <c r="L1003" i="6"/>
  <c r="S1002" i="6"/>
  <c r="I1002" i="6"/>
  <c r="S1001" i="6"/>
  <c r="H1001" i="6"/>
  <c r="R1000" i="6"/>
  <c r="F1000" i="6"/>
  <c r="R999" i="6"/>
  <c r="G999" i="6"/>
  <c r="R998" i="6"/>
  <c r="E998" i="6"/>
  <c r="Q997" i="6"/>
  <c r="D997" i="6"/>
  <c r="P996" i="6"/>
  <c r="C996" i="6"/>
  <c r="O995" i="6"/>
  <c r="B995" i="6"/>
  <c r="N994" i="6"/>
  <c r="A994" i="6"/>
  <c r="M993" i="6"/>
  <c r="T992" i="6"/>
  <c r="L992" i="6"/>
  <c r="S991" i="6"/>
  <c r="H991" i="6"/>
  <c r="R990" i="6"/>
  <c r="F990" i="6"/>
  <c r="R989" i="6"/>
  <c r="G989" i="6"/>
  <c r="R988" i="6"/>
  <c r="E988" i="6"/>
  <c r="Q987" i="6"/>
  <c r="D987" i="6"/>
  <c r="P986" i="6"/>
  <c r="C986" i="6"/>
  <c r="O985" i="6"/>
  <c r="C985" i="6"/>
  <c r="O984" i="6"/>
  <c r="C984" i="6"/>
  <c r="O983" i="6"/>
  <c r="C983" i="6"/>
  <c r="O982" i="6"/>
  <c r="B982" i="6"/>
  <c r="N981" i="6"/>
  <c r="A981" i="6"/>
  <c r="M980" i="6"/>
  <c r="T979" i="6"/>
  <c r="L979" i="6"/>
  <c r="S978" i="6"/>
  <c r="H978" i="6"/>
  <c r="R977" i="6"/>
  <c r="E977" i="6"/>
  <c r="Q976" i="6"/>
  <c r="D976" i="6"/>
  <c r="P975" i="6"/>
  <c r="C975" i="6"/>
  <c r="O974" i="6"/>
  <c r="B974" i="6"/>
  <c r="N973" i="6"/>
  <c r="A973" i="6"/>
  <c r="M972" i="6"/>
  <c r="T971" i="6"/>
  <c r="L971" i="6"/>
  <c r="S970" i="6"/>
  <c r="H970" i="6"/>
  <c r="R969" i="6"/>
  <c r="E969" i="6"/>
  <c r="Q968" i="6"/>
  <c r="D968" i="6"/>
  <c r="P967" i="6"/>
  <c r="C967" i="6"/>
  <c r="O966" i="6"/>
  <c r="B966" i="6"/>
  <c r="N965" i="6"/>
  <c r="A965" i="6"/>
  <c r="M964" i="6"/>
  <c r="T963" i="6"/>
  <c r="L963" i="6"/>
  <c r="S962" i="6"/>
  <c r="H962" i="6"/>
  <c r="R961" i="6"/>
  <c r="E961" i="6"/>
  <c r="Q960" i="6"/>
  <c r="D960" i="6"/>
  <c r="P959" i="6"/>
  <c r="C959" i="6"/>
  <c r="O958" i="6"/>
  <c r="B958" i="6"/>
  <c r="N957" i="6"/>
  <c r="A957" i="6"/>
  <c r="M956" i="6"/>
  <c r="T955" i="6"/>
  <c r="L955" i="6"/>
  <c r="S954" i="6"/>
  <c r="H954" i="6"/>
  <c r="R953" i="6"/>
  <c r="E953" i="6"/>
  <c r="Q952" i="6"/>
  <c r="D952" i="6"/>
  <c r="P951" i="6"/>
  <c r="C951" i="6"/>
  <c r="O950" i="6"/>
  <c r="B950" i="6"/>
  <c r="N949" i="6"/>
  <c r="A949" i="6"/>
  <c r="M948" i="6"/>
  <c r="T947" i="6"/>
  <c r="L947" i="6"/>
  <c r="S946" i="6"/>
  <c r="H946" i="6"/>
  <c r="R945" i="6"/>
  <c r="E945" i="6"/>
  <c r="Q944" i="6"/>
  <c r="D944" i="6"/>
  <c r="P943" i="6"/>
  <c r="C943" i="6"/>
  <c r="O942" i="6"/>
  <c r="B942" i="6"/>
  <c r="N941" i="6"/>
  <c r="B941" i="6"/>
  <c r="N940" i="6"/>
  <c r="B940" i="6"/>
  <c r="N939" i="6"/>
  <c r="A939" i="6"/>
  <c r="M938" i="6"/>
  <c r="T937" i="6"/>
  <c r="L937" i="6"/>
  <c r="S936" i="6"/>
  <c r="H936" i="6"/>
  <c r="R935" i="6"/>
  <c r="E935" i="6"/>
  <c r="Q934" i="6"/>
  <c r="C1069" i="6"/>
  <c r="E1068" i="6"/>
  <c r="Q1067" i="6"/>
  <c r="D1067" i="6"/>
  <c r="P1066" i="6"/>
  <c r="C1066" i="6"/>
  <c r="O1065" i="6"/>
  <c r="B1065" i="6"/>
  <c r="N1064" i="6"/>
  <c r="A1064" i="6"/>
  <c r="L1063" i="6"/>
  <c r="R1062" i="6"/>
  <c r="E1062" i="6"/>
  <c r="P1061" i="6"/>
  <c r="C1061" i="6"/>
  <c r="N1060" i="6"/>
  <c r="A1060" i="6"/>
  <c r="L1059" i="6"/>
  <c r="S1058" i="6"/>
  <c r="H1058" i="6"/>
  <c r="R1057" i="6"/>
  <c r="E1057" i="6"/>
  <c r="P1056" i="6"/>
  <c r="C1056" i="6"/>
  <c r="O1055" i="6"/>
  <c r="B1055" i="6"/>
  <c r="N1054" i="6"/>
  <c r="A1054" i="6"/>
  <c r="L1053" i="6"/>
  <c r="R1052" i="6"/>
  <c r="E1052" i="6"/>
  <c r="Q1051" i="6"/>
  <c r="D1051" i="6"/>
  <c r="P1050" i="6"/>
  <c r="C1050" i="6"/>
  <c r="O1049" i="6"/>
  <c r="B1049" i="6"/>
  <c r="N1048" i="6"/>
  <c r="A1048" i="6"/>
  <c r="M1047" i="6"/>
  <c r="T1046" i="6"/>
  <c r="L1046" i="6"/>
  <c r="R1045" i="6"/>
  <c r="E1045" i="6"/>
  <c r="P1044" i="6"/>
  <c r="C1044" i="6"/>
  <c r="N1043" i="6"/>
  <c r="A1043" i="6"/>
  <c r="M1042" i="6"/>
  <c r="T1041" i="6"/>
  <c r="L1041" i="6"/>
  <c r="S1040" i="6"/>
  <c r="H1040" i="6"/>
  <c r="R1039" i="6"/>
  <c r="E1039" i="6"/>
  <c r="Q1038" i="6"/>
  <c r="D1038" i="6"/>
  <c r="P1037" i="6"/>
  <c r="C1037" i="6"/>
  <c r="N1036" i="6"/>
  <c r="A1036" i="6"/>
  <c r="M1035" i="6"/>
  <c r="T1034" i="6"/>
  <c r="L1034" i="6"/>
  <c r="S1033" i="6"/>
  <c r="H1033" i="6"/>
  <c r="R1032" i="6"/>
  <c r="E1032" i="6"/>
  <c r="Q1031" i="6"/>
  <c r="D1031" i="6"/>
  <c r="P1030" i="6"/>
  <c r="C1030" i="6"/>
  <c r="O1029" i="6"/>
  <c r="B1029" i="6"/>
  <c r="N1028" i="6"/>
  <c r="A1028" i="6"/>
  <c r="M1027" i="6"/>
  <c r="T1026" i="6"/>
  <c r="L1026" i="6"/>
  <c r="S1025" i="6"/>
  <c r="H1025" i="6"/>
  <c r="R1024" i="6"/>
  <c r="H1024" i="6"/>
  <c r="R1023" i="6"/>
  <c r="E1023" i="6"/>
  <c r="Q1022" i="6"/>
  <c r="D1022" i="6"/>
  <c r="P1021" i="6"/>
  <c r="D1021" i="6"/>
  <c r="P1020" i="6"/>
  <c r="C1020" i="6"/>
  <c r="O1019" i="6"/>
  <c r="C1019" i="6"/>
  <c r="O1018" i="6"/>
  <c r="C1018" i="6"/>
  <c r="O1017" i="6"/>
  <c r="B1017" i="6"/>
  <c r="N1016" i="6"/>
  <c r="A1016" i="6"/>
  <c r="M1015" i="6"/>
  <c r="T1014" i="6"/>
  <c r="L1014" i="6"/>
  <c r="T1013" i="6"/>
  <c r="L1013" i="6"/>
  <c r="S1012" i="6"/>
  <c r="H1012" i="6"/>
  <c r="R1011" i="6"/>
  <c r="E1011" i="6"/>
  <c r="Q1010" i="6"/>
  <c r="D1010" i="6"/>
  <c r="P1009" i="6"/>
  <c r="C1009" i="6"/>
  <c r="O1008" i="6"/>
  <c r="B1008" i="6"/>
  <c r="N1007" i="6"/>
  <c r="B1007" i="6"/>
  <c r="N1006" i="6"/>
  <c r="A1006" i="6"/>
  <c r="M1005" i="6"/>
  <c r="T1004" i="6"/>
  <c r="L1004" i="6"/>
  <c r="S1003" i="6"/>
  <c r="H1003" i="6"/>
  <c r="R1002" i="6"/>
  <c r="H1002" i="6"/>
  <c r="R1001" i="6"/>
  <c r="E1001" i="6"/>
  <c r="Q1000" i="6"/>
  <c r="E1000" i="6"/>
  <c r="Q999" i="6"/>
  <c r="E999" i="6"/>
  <c r="Q998" i="6"/>
  <c r="D998" i="6"/>
  <c r="P997" i="6"/>
  <c r="C997" i="6"/>
  <c r="O996" i="6"/>
  <c r="B996" i="6"/>
  <c r="N995" i="6"/>
  <c r="A995" i="6"/>
  <c r="M994" i="6"/>
  <c r="T993" i="6"/>
  <c r="L993" i="6"/>
  <c r="S992" i="6"/>
  <c r="H992" i="6"/>
  <c r="R991" i="6"/>
  <c r="E991" i="6"/>
  <c r="Q990" i="6"/>
  <c r="E990" i="6"/>
  <c r="Q989" i="6"/>
  <c r="E989" i="6"/>
  <c r="Q988" i="6"/>
  <c r="D988" i="6"/>
  <c r="P987" i="6"/>
  <c r="C987" i="6"/>
  <c r="O986" i="6"/>
  <c r="B986" i="6"/>
  <c r="N985" i="6"/>
  <c r="B985" i="6"/>
  <c r="N984" i="6"/>
  <c r="B984" i="6"/>
  <c r="N983" i="6"/>
  <c r="B983" i="6"/>
  <c r="N982" i="6"/>
  <c r="A982" i="6"/>
  <c r="M981" i="6"/>
  <c r="T980" i="6"/>
  <c r="L980" i="6"/>
  <c r="S979" i="6"/>
  <c r="H979" i="6"/>
  <c r="R978" i="6"/>
  <c r="E978" i="6"/>
  <c r="Q977" i="6"/>
  <c r="D977" i="6"/>
  <c r="P976" i="6"/>
  <c r="C976" i="6"/>
  <c r="O975" i="6"/>
  <c r="B975" i="6"/>
  <c r="N974" i="6"/>
  <c r="A974" i="6"/>
  <c r="M973" i="6"/>
  <c r="T972" i="6"/>
  <c r="L972" i="6"/>
  <c r="S971" i="6"/>
  <c r="H971" i="6"/>
  <c r="R970" i="6"/>
  <c r="E970" i="6"/>
  <c r="Q969" i="6"/>
  <c r="D969" i="6"/>
  <c r="P968" i="6"/>
  <c r="C968" i="6"/>
  <c r="O967" i="6"/>
  <c r="B967" i="6"/>
  <c r="N966" i="6"/>
  <c r="A966" i="6"/>
  <c r="M965" i="6"/>
  <c r="T964" i="6"/>
  <c r="L964" i="6"/>
  <c r="S963" i="6"/>
  <c r="H963" i="6"/>
  <c r="R962" i="6"/>
  <c r="E962" i="6"/>
  <c r="Q961" i="6"/>
  <c r="D961" i="6"/>
  <c r="P960" i="6"/>
  <c r="C960" i="6"/>
  <c r="O959" i="6"/>
  <c r="B959" i="6"/>
  <c r="N958" i="6"/>
  <c r="A958" i="6"/>
  <c r="M957" i="6"/>
  <c r="T956" i="6"/>
  <c r="L956" i="6"/>
  <c r="S955" i="6"/>
  <c r="H955" i="6"/>
  <c r="R954" i="6"/>
  <c r="E954" i="6"/>
  <c r="Q953" i="6"/>
  <c r="D953" i="6"/>
  <c r="P952" i="6"/>
  <c r="C952" i="6"/>
  <c r="O951" i="6"/>
  <c r="B951" i="6"/>
  <c r="N950" i="6"/>
  <c r="A950" i="6"/>
  <c r="M949" i="6"/>
  <c r="T948" i="6"/>
  <c r="L948" i="6"/>
  <c r="S947" i="6"/>
  <c r="H947" i="6"/>
  <c r="R946" i="6"/>
  <c r="E946" i="6"/>
  <c r="Q945" i="6"/>
  <c r="D945" i="6"/>
  <c r="P944" i="6"/>
  <c r="C944" i="6"/>
  <c r="O943" i="6"/>
  <c r="B943" i="6"/>
  <c r="N942" i="6"/>
  <c r="A942" i="6"/>
  <c r="M941" i="6"/>
  <c r="A941" i="6"/>
  <c r="M940" i="6"/>
  <c r="A940" i="6"/>
  <c r="M939" i="6"/>
  <c r="T938" i="6"/>
  <c r="L938" i="6"/>
  <c r="S937" i="6"/>
  <c r="H937" i="6"/>
  <c r="R936" i="6"/>
  <c r="E936" i="6"/>
  <c r="Q935" i="6"/>
  <c r="D935" i="6"/>
  <c r="P934" i="6"/>
  <c r="H935" i="6"/>
  <c r="B934" i="6"/>
  <c r="M933" i="6"/>
  <c r="T932" i="6"/>
  <c r="L932" i="6"/>
  <c r="S931" i="6"/>
  <c r="H931" i="6"/>
  <c r="R930" i="6"/>
  <c r="H930" i="6"/>
  <c r="R929" i="6"/>
  <c r="H929" i="6"/>
  <c r="R928" i="6"/>
  <c r="H928" i="6"/>
  <c r="R927" i="6"/>
  <c r="E927" i="6"/>
  <c r="P926" i="6"/>
  <c r="D926" i="6"/>
  <c r="O925" i="6"/>
  <c r="B925" i="6"/>
  <c r="M924" i="6"/>
  <c r="T923" i="6"/>
  <c r="L923" i="6"/>
  <c r="R922" i="6"/>
  <c r="E922" i="6"/>
  <c r="P921" i="6"/>
  <c r="C921" i="6"/>
  <c r="N920" i="6"/>
  <c r="A920" i="6"/>
  <c r="L919" i="6"/>
  <c r="R918" i="6"/>
  <c r="E918" i="6"/>
  <c r="P917" i="6"/>
  <c r="C917" i="6"/>
  <c r="N916" i="6"/>
  <c r="A916" i="6"/>
  <c r="L915" i="6"/>
  <c r="R914" i="6"/>
  <c r="E914" i="6"/>
  <c r="Q913" i="6"/>
  <c r="D913" i="6"/>
  <c r="P912" i="6"/>
  <c r="C912" i="6"/>
  <c r="O911" i="6"/>
  <c r="B911" i="6"/>
  <c r="N910" i="6"/>
  <c r="A910" i="6"/>
  <c r="M909" i="6"/>
  <c r="T908" i="6"/>
  <c r="L908" i="6"/>
  <c r="R907" i="6"/>
  <c r="E907" i="6"/>
  <c r="Q906" i="6"/>
  <c r="D906" i="6"/>
  <c r="P905" i="6"/>
  <c r="C905" i="6"/>
  <c r="O904" i="6"/>
  <c r="B904" i="6"/>
  <c r="N903" i="6"/>
  <c r="A903" i="6"/>
  <c r="M902" i="6"/>
  <c r="T901" i="6"/>
  <c r="L901" i="6"/>
  <c r="S900" i="6"/>
  <c r="H900" i="6"/>
  <c r="R899" i="6"/>
  <c r="E899" i="6"/>
  <c r="Q898" i="6"/>
  <c r="D898" i="6"/>
  <c r="P897" i="6"/>
  <c r="D897" i="6"/>
  <c r="P896" i="6"/>
  <c r="D896" i="6"/>
  <c r="N895" i="6"/>
  <c r="B895" i="6"/>
  <c r="M894" i="6"/>
  <c r="A894" i="6"/>
  <c r="L893" i="6"/>
  <c r="R892" i="6"/>
  <c r="E892" i="6"/>
  <c r="Q891" i="6"/>
  <c r="E891" i="6"/>
  <c r="Q890" i="6"/>
  <c r="E890" i="6"/>
  <c r="Q889" i="6"/>
  <c r="D889" i="6"/>
  <c r="P888" i="6"/>
  <c r="C888" i="6"/>
  <c r="O887" i="6"/>
  <c r="B887" i="6"/>
  <c r="N886" i="6"/>
  <c r="A886" i="6"/>
  <c r="L885" i="6"/>
  <c r="R884" i="6"/>
  <c r="E884" i="6"/>
  <c r="Q883" i="6"/>
  <c r="E883" i="6"/>
  <c r="P882" i="6"/>
  <c r="D882" i="6"/>
  <c r="O881" i="6"/>
  <c r="B881" i="6"/>
  <c r="M880" i="6"/>
  <c r="T879" i="6"/>
  <c r="L879" i="6"/>
  <c r="S878" i="6"/>
  <c r="H878" i="6"/>
  <c r="R877" i="6"/>
  <c r="E877" i="6"/>
  <c r="Q876" i="6"/>
  <c r="D876" i="6"/>
  <c r="P875" i="6"/>
  <c r="C875" i="6"/>
  <c r="O874" i="6"/>
  <c r="B874" i="6"/>
  <c r="N873" i="6"/>
  <c r="A873" i="6"/>
  <c r="M872" i="6"/>
  <c r="T871" i="6"/>
  <c r="L871" i="6"/>
  <c r="S870" i="6"/>
  <c r="H870" i="6"/>
  <c r="R869" i="6"/>
  <c r="E869" i="6"/>
  <c r="P868" i="6"/>
  <c r="D868" i="6"/>
  <c r="P867" i="6"/>
  <c r="D867" i="6"/>
  <c r="P866" i="6"/>
  <c r="C866" i="6"/>
  <c r="O865" i="6"/>
  <c r="B865" i="6"/>
  <c r="N864" i="6"/>
  <c r="B864" i="6"/>
  <c r="N863" i="6"/>
  <c r="B863" i="6"/>
  <c r="N862" i="6"/>
  <c r="A862" i="6"/>
  <c r="M861" i="6"/>
  <c r="S860" i="6"/>
  <c r="H860" i="6"/>
  <c r="Q859" i="6"/>
  <c r="D859" i="6"/>
  <c r="O858" i="6"/>
  <c r="B858" i="6"/>
  <c r="M857" i="6"/>
  <c r="S856" i="6"/>
  <c r="H856" i="6"/>
  <c r="Q855" i="6"/>
  <c r="D855" i="6"/>
  <c r="P854" i="6"/>
  <c r="C854" i="6"/>
  <c r="O853" i="6"/>
  <c r="B853" i="6"/>
  <c r="N852" i="6"/>
  <c r="A852" i="6"/>
  <c r="M851" i="6"/>
  <c r="T850" i="6"/>
  <c r="L850" i="6"/>
  <c r="S849" i="6"/>
  <c r="H849" i="6"/>
  <c r="R848" i="6"/>
  <c r="E848" i="6"/>
  <c r="Q847" i="6"/>
  <c r="D847" i="6"/>
  <c r="P846" i="6"/>
  <c r="C846" i="6"/>
  <c r="O845" i="6"/>
  <c r="B845" i="6"/>
  <c r="N844" i="6"/>
  <c r="A844" i="6"/>
  <c r="M843" i="6"/>
  <c r="T842" i="6"/>
  <c r="L842" i="6"/>
  <c r="S841" i="6"/>
  <c r="H841" i="6"/>
  <c r="R840" i="6"/>
  <c r="E840" i="6"/>
  <c r="Q839" i="6"/>
  <c r="D839" i="6"/>
  <c r="P838" i="6"/>
  <c r="C838" i="6"/>
  <c r="O837" i="6"/>
  <c r="B837" i="6"/>
  <c r="N836" i="6"/>
  <c r="A836" i="6"/>
  <c r="M835" i="6"/>
  <c r="S834" i="6"/>
  <c r="H834" i="6"/>
  <c r="Q833" i="6"/>
  <c r="D833" i="6"/>
  <c r="O832" i="6"/>
  <c r="B832" i="6"/>
  <c r="M831" i="6"/>
  <c r="S830" i="6"/>
  <c r="H830" i="6"/>
  <c r="Q829" i="6"/>
  <c r="D829" i="6"/>
  <c r="P828" i="6"/>
  <c r="C828" i="6"/>
  <c r="O827" i="6"/>
  <c r="B827" i="6"/>
  <c r="N826" i="6"/>
  <c r="A826" i="6"/>
  <c r="M825" i="6"/>
  <c r="T824" i="6"/>
  <c r="L824" i="6"/>
  <c r="R823" i="6"/>
  <c r="H823" i="6"/>
  <c r="Q822" i="6"/>
  <c r="E822" i="6"/>
  <c r="P821" i="6"/>
  <c r="D821" i="6"/>
  <c r="O820" i="6"/>
  <c r="C820" i="6"/>
  <c r="N819" i="6"/>
  <c r="B819" i="6"/>
  <c r="M818" i="6"/>
  <c r="A818" i="6"/>
  <c r="L817" i="6"/>
  <c r="S816" i="6"/>
  <c r="I816" i="6"/>
  <c r="R815" i="6"/>
  <c r="H815" i="6"/>
  <c r="Q814" i="6"/>
  <c r="E814" i="6"/>
  <c r="P813" i="6"/>
  <c r="D813" i="6"/>
  <c r="O812" i="6"/>
  <c r="C812" i="6"/>
  <c r="N811" i="6"/>
  <c r="B811" i="6"/>
  <c r="M810" i="6"/>
  <c r="A810" i="6"/>
  <c r="L809" i="6"/>
  <c r="S808" i="6"/>
  <c r="I808" i="6"/>
  <c r="R807" i="6"/>
  <c r="H807" i="6"/>
  <c r="Q806" i="6"/>
  <c r="E806" i="6"/>
  <c r="P805" i="6"/>
  <c r="D805" i="6"/>
  <c r="O804" i="6"/>
  <c r="C804" i="6"/>
  <c r="N803" i="6"/>
  <c r="B803" i="6"/>
  <c r="M802" i="6"/>
  <c r="A802" i="6"/>
  <c r="L801" i="6"/>
  <c r="S800" i="6"/>
  <c r="I800" i="6"/>
  <c r="S799" i="6"/>
  <c r="I799" i="6"/>
  <c r="R798" i="6"/>
  <c r="H798" i="6"/>
  <c r="Q797" i="6"/>
  <c r="E797" i="6"/>
  <c r="P796" i="6"/>
  <c r="D796" i="6"/>
  <c r="S934" i="6"/>
  <c r="A934" i="6"/>
  <c r="L933" i="6"/>
  <c r="S932" i="6"/>
  <c r="H932" i="6"/>
  <c r="R931" i="6"/>
  <c r="E931" i="6"/>
  <c r="Q930" i="6"/>
  <c r="E930" i="6"/>
  <c r="Q929" i="6"/>
  <c r="E929" i="6"/>
  <c r="Q928" i="6"/>
  <c r="E928" i="6"/>
  <c r="Q927" i="6"/>
  <c r="D927" i="6"/>
  <c r="O926" i="6"/>
  <c r="C926" i="6"/>
  <c r="N925" i="6"/>
  <c r="A925" i="6"/>
  <c r="L924" i="6"/>
  <c r="S923" i="6"/>
  <c r="H923" i="6"/>
  <c r="Q922" i="6"/>
  <c r="D922" i="6"/>
  <c r="O921" i="6"/>
  <c r="B921" i="6"/>
  <c r="M920" i="6"/>
  <c r="S919" i="6"/>
  <c r="H919" i="6"/>
  <c r="Q918" i="6"/>
  <c r="D918" i="6"/>
  <c r="O917" i="6"/>
  <c r="B917" i="6"/>
  <c r="M916" i="6"/>
  <c r="S915" i="6"/>
  <c r="H915" i="6"/>
  <c r="Q914" i="6"/>
  <c r="D914" i="6"/>
  <c r="P913" i="6"/>
  <c r="C913" i="6"/>
  <c r="O912" i="6"/>
  <c r="B912" i="6"/>
  <c r="N911" i="6"/>
  <c r="A911" i="6"/>
  <c r="M910" i="6"/>
  <c r="T909" i="6"/>
  <c r="L909" i="6"/>
  <c r="S908" i="6"/>
  <c r="H908" i="6"/>
  <c r="Q907" i="6"/>
  <c r="D907" i="6"/>
  <c r="P906" i="6"/>
  <c r="C906" i="6"/>
  <c r="O905" i="6"/>
  <c r="B905" i="6"/>
  <c r="N904" i="6"/>
  <c r="A904" i="6"/>
  <c r="M903" i="6"/>
  <c r="T902" i="6"/>
  <c r="L902" i="6"/>
  <c r="S901" i="6"/>
  <c r="H901" i="6"/>
  <c r="R900" i="6"/>
  <c r="E900" i="6"/>
  <c r="Q899" i="6"/>
  <c r="D899" i="6"/>
  <c r="P898" i="6"/>
  <c r="C898" i="6"/>
  <c r="O897" i="6"/>
  <c r="C897" i="6"/>
  <c r="O896" i="6"/>
  <c r="C896" i="6"/>
  <c r="M895" i="6"/>
  <c r="A895" i="6"/>
  <c r="L894" i="6"/>
  <c r="S893" i="6"/>
  <c r="H893" i="6"/>
  <c r="Q892" i="6"/>
  <c r="D892" i="6"/>
  <c r="P891" i="6"/>
  <c r="D891" i="6"/>
  <c r="P890" i="6"/>
  <c r="D890" i="6"/>
  <c r="P889" i="6"/>
  <c r="C889" i="6"/>
  <c r="O888" i="6"/>
  <c r="B888" i="6"/>
  <c r="N887" i="6"/>
  <c r="A887" i="6"/>
  <c r="M886" i="6"/>
  <c r="S885" i="6"/>
  <c r="H885" i="6"/>
  <c r="Q884" i="6"/>
  <c r="D884" i="6"/>
  <c r="P883" i="6"/>
  <c r="D883" i="6"/>
  <c r="O882" i="6"/>
  <c r="C882" i="6"/>
  <c r="N881" i="6"/>
  <c r="A881" i="6"/>
  <c r="L880" i="6"/>
  <c r="S879" i="6"/>
  <c r="H879" i="6"/>
  <c r="R878" i="6"/>
  <c r="E878" i="6"/>
  <c r="Q877" i="6"/>
  <c r="D877" i="6"/>
  <c r="P876" i="6"/>
  <c r="C876" i="6"/>
  <c r="O875" i="6"/>
  <c r="B875" i="6"/>
  <c r="N874" i="6"/>
  <c r="A874" i="6"/>
  <c r="M873" i="6"/>
  <c r="T872" i="6"/>
  <c r="L872" i="6"/>
  <c r="S871" i="6"/>
  <c r="H871" i="6"/>
  <c r="R870" i="6"/>
  <c r="E870" i="6"/>
  <c r="Q869" i="6"/>
  <c r="D869" i="6"/>
  <c r="O868" i="6"/>
  <c r="C868" i="6"/>
  <c r="O867" i="6"/>
  <c r="C867" i="6"/>
  <c r="O866" i="6"/>
  <c r="B866" i="6"/>
  <c r="N865" i="6"/>
  <c r="A865" i="6"/>
  <c r="M864" i="6"/>
  <c r="A864" i="6"/>
  <c r="M863" i="6"/>
  <c r="A863" i="6"/>
  <c r="M862" i="6"/>
  <c r="T861" i="6"/>
  <c r="L861" i="6"/>
  <c r="R860" i="6"/>
  <c r="E860" i="6"/>
  <c r="P859" i="6"/>
  <c r="C859" i="6"/>
  <c r="N858" i="6"/>
  <c r="A858" i="6"/>
  <c r="L857" i="6"/>
  <c r="R856" i="6"/>
  <c r="E856" i="6"/>
  <c r="P855" i="6"/>
  <c r="C855" i="6"/>
  <c r="O854" i="6"/>
  <c r="B854" i="6"/>
  <c r="N853" i="6"/>
  <c r="A853" i="6"/>
  <c r="M852" i="6"/>
  <c r="T851" i="6"/>
  <c r="L851" i="6"/>
  <c r="S850" i="6"/>
  <c r="H850" i="6"/>
  <c r="R849" i="6"/>
  <c r="E849" i="6"/>
  <c r="Q848" i="6"/>
  <c r="D848" i="6"/>
  <c r="P847" i="6"/>
  <c r="C847" i="6"/>
  <c r="O846" i="6"/>
  <c r="B846" i="6"/>
  <c r="N845" i="6"/>
  <c r="A845" i="6"/>
  <c r="M844" i="6"/>
  <c r="T843" i="6"/>
  <c r="L843" i="6"/>
  <c r="S842" i="6"/>
  <c r="H842" i="6"/>
  <c r="R841" i="6"/>
  <c r="E841" i="6"/>
  <c r="Q840" i="6"/>
  <c r="D840" i="6"/>
  <c r="P839" i="6"/>
  <c r="C839" i="6"/>
  <c r="O838" i="6"/>
  <c r="B838" i="6"/>
  <c r="N837" i="6"/>
  <c r="A837" i="6"/>
  <c r="M836" i="6"/>
  <c r="T835" i="6"/>
  <c r="L835" i="6"/>
  <c r="R834" i="6"/>
  <c r="E834" i="6"/>
  <c r="P833" i="6"/>
  <c r="C833" i="6"/>
  <c r="N832" i="6"/>
  <c r="A832" i="6"/>
  <c r="L831" i="6"/>
  <c r="R830" i="6"/>
  <c r="E830" i="6"/>
  <c r="P829" i="6"/>
  <c r="C829" i="6"/>
  <c r="O828" i="6"/>
  <c r="B828" i="6"/>
  <c r="N827" i="6"/>
  <c r="A827" i="6"/>
  <c r="M826" i="6"/>
  <c r="T825" i="6"/>
  <c r="L825" i="6"/>
  <c r="S824" i="6"/>
  <c r="H824" i="6"/>
  <c r="Q823" i="6"/>
  <c r="E823" i="6"/>
  <c r="P822" i="6"/>
  <c r="D822" i="6"/>
  <c r="O821" i="6"/>
  <c r="C821" i="6"/>
  <c r="N820" i="6"/>
  <c r="B820" i="6"/>
  <c r="M819" i="6"/>
  <c r="A819" i="6"/>
  <c r="L818" i="6"/>
  <c r="S817" i="6"/>
  <c r="I817" i="6"/>
  <c r="R816" i="6"/>
  <c r="H816" i="6"/>
  <c r="Q815" i="6"/>
  <c r="E815" i="6"/>
  <c r="P814" i="6"/>
  <c r="D814" i="6"/>
  <c r="O813" i="6"/>
  <c r="C813" i="6"/>
  <c r="N812" i="6"/>
  <c r="B812" i="6"/>
  <c r="M811" i="6"/>
  <c r="A811" i="6"/>
  <c r="L810" i="6"/>
  <c r="S809" i="6"/>
  <c r="I809" i="6"/>
  <c r="R808" i="6"/>
  <c r="H808" i="6"/>
  <c r="Q807" i="6"/>
  <c r="E807" i="6"/>
  <c r="P806" i="6"/>
  <c r="D806" i="6"/>
  <c r="O805" i="6"/>
  <c r="C805" i="6"/>
  <c r="N804" i="6"/>
  <c r="B804" i="6"/>
  <c r="M803" i="6"/>
  <c r="A803" i="6"/>
  <c r="L802" i="6"/>
  <c r="S801" i="6"/>
  <c r="I801" i="6"/>
  <c r="R800" i="6"/>
  <c r="H800" i="6"/>
  <c r="R799" i="6"/>
  <c r="H799" i="6"/>
  <c r="Q798" i="6"/>
  <c r="E798" i="6"/>
  <c r="P797" i="6"/>
  <c r="D797" i="6"/>
  <c r="O796" i="6"/>
  <c r="C796" i="6"/>
  <c r="N795" i="6"/>
  <c r="R934" i="6"/>
  <c r="S933" i="6"/>
  <c r="H933" i="6"/>
  <c r="R932" i="6"/>
  <c r="E932" i="6"/>
  <c r="Q931" i="6"/>
  <c r="D931" i="6"/>
  <c r="P930" i="6"/>
  <c r="D930" i="6"/>
  <c r="P929" i="6"/>
  <c r="D929" i="6"/>
  <c r="P928" i="6"/>
  <c r="D928" i="6"/>
  <c r="P927" i="6"/>
  <c r="C927" i="6"/>
  <c r="N926" i="6"/>
  <c r="B926" i="6"/>
  <c r="M925" i="6"/>
  <c r="S924" i="6"/>
  <c r="H924" i="6"/>
  <c r="R923" i="6"/>
  <c r="E923" i="6"/>
  <c r="P922" i="6"/>
  <c r="C922" i="6"/>
  <c r="N921" i="6"/>
  <c r="A921" i="6"/>
  <c r="L920" i="6"/>
  <c r="R919" i="6"/>
  <c r="E919" i="6"/>
  <c r="P918" i="6"/>
  <c r="C918" i="6"/>
  <c r="N917" i="6"/>
  <c r="A917" i="6"/>
  <c r="L916" i="6"/>
  <c r="R915" i="6"/>
  <c r="E915" i="6"/>
  <c r="P914" i="6"/>
  <c r="C914" i="6"/>
  <c r="O913" i="6"/>
  <c r="B913" i="6"/>
  <c r="N912" i="6"/>
  <c r="A912" i="6"/>
  <c r="M911" i="6"/>
  <c r="T910" i="6"/>
  <c r="L910" i="6"/>
  <c r="S909" i="6"/>
  <c r="H909" i="6"/>
  <c r="R908" i="6"/>
  <c r="E908" i="6"/>
  <c r="P907" i="6"/>
  <c r="C907" i="6"/>
  <c r="O906" i="6"/>
  <c r="B906" i="6"/>
  <c r="N905" i="6"/>
  <c r="A905" i="6"/>
  <c r="M904" i="6"/>
  <c r="T903" i="6"/>
  <c r="L903" i="6"/>
  <c r="S902" i="6"/>
  <c r="H902" i="6"/>
  <c r="R901" i="6"/>
  <c r="E901" i="6"/>
  <c r="Q900" i="6"/>
  <c r="D900" i="6"/>
  <c r="P899" i="6"/>
  <c r="C899" i="6"/>
  <c r="O898" i="6"/>
  <c r="B898" i="6"/>
  <c r="N897" i="6"/>
  <c r="B897" i="6"/>
  <c r="N896" i="6"/>
  <c r="B896" i="6"/>
  <c r="L895" i="6"/>
  <c r="S894" i="6"/>
  <c r="I894" i="6"/>
  <c r="R893" i="6"/>
  <c r="E893" i="6"/>
  <c r="P892" i="6"/>
  <c r="C892" i="6"/>
  <c r="O891" i="6"/>
  <c r="C891" i="6"/>
  <c r="O890" i="6"/>
  <c r="C890" i="6"/>
  <c r="O889" i="6"/>
  <c r="B889" i="6"/>
  <c r="N888" i="6"/>
  <c r="A888" i="6"/>
  <c r="M887" i="6"/>
  <c r="T886" i="6"/>
  <c r="L886" i="6"/>
  <c r="R885" i="6"/>
  <c r="E885" i="6"/>
  <c r="P884" i="6"/>
  <c r="C884" i="6"/>
  <c r="O883" i="6"/>
  <c r="C883" i="6"/>
  <c r="N882" i="6"/>
  <c r="B882" i="6"/>
  <c r="M881" i="6"/>
  <c r="S880" i="6"/>
  <c r="H880" i="6"/>
  <c r="R879" i="6"/>
  <c r="E879" i="6"/>
  <c r="Q878" i="6"/>
  <c r="D878" i="6"/>
  <c r="P877" i="6"/>
  <c r="C877" i="6"/>
  <c r="O876" i="6"/>
  <c r="B876" i="6"/>
  <c r="N875" i="6"/>
  <c r="A875" i="6"/>
  <c r="M874" i="6"/>
  <c r="T873" i="6"/>
  <c r="L873" i="6"/>
  <c r="S872" i="6"/>
  <c r="H872" i="6"/>
  <c r="R871" i="6"/>
  <c r="E871" i="6"/>
  <c r="Q870" i="6"/>
  <c r="D870" i="6"/>
  <c r="P869" i="6"/>
  <c r="C869" i="6"/>
  <c r="N868" i="6"/>
  <c r="B868" i="6"/>
  <c r="N867" i="6"/>
  <c r="B867" i="6"/>
  <c r="N866" i="6"/>
  <c r="A866" i="6"/>
  <c r="M865" i="6"/>
  <c r="T864" i="6"/>
  <c r="L864" i="6"/>
  <c r="T863" i="6"/>
  <c r="L863" i="6"/>
  <c r="T862" i="6"/>
  <c r="L862" i="6"/>
  <c r="S861" i="6"/>
  <c r="H861" i="6"/>
  <c r="Q860" i="6"/>
  <c r="D860" i="6"/>
  <c r="O859" i="6"/>
  <c r="B859" i="6"/>
  <c r="M858" i="6"/>
  <c r="S857" i="6"/>
  <c r="H857" i="6"/>
  <c r="Q856" i="6"/>
  <c r="D856" i="6"/>
  <c r="O855" i="6"/>
  <c r="B855" i="6"/>
  <c r="N854" i="6"/>
  <c r="A854" i="6"/>
  <c r="M853" i="6"/>
  <c r="T852" i="6"/>
  <c r="L852" i="6"/>
  <c r="S851" i="6"/>
  <c r="H851" i="6"/>
  <c r="R850" i="6"/>
  <c r="E850" i="6"/>
  <c r="Q849" i="6"/>
  <c r="D849" i="6"/>
  <c r="P848" i="6"/>
  <c r="C848" i="6"/>
  <c r="O847" i="6"/>
  <c r="B847" i="6"/>
  <c r="N846" i="6"/>
  <c r="A846" i="6"/>
  <c r="M845" i="6"/>
  <c r="T844" i="6"/>
  <c r="L844" i="6"/>
  <c r="S843" i="6"/>
  <c r="H843" i="6"/>
  <c r="R842" i="6"/>
  <c r="E842" i="6"/>
  <c r="Q841" i="6"/>
  <c r="D841" i="6"/>
  <c r="P840" i="6"/>
  <c r="C840" i="6"/>
  <c r="O839" i="6"/>
  <c r="B839" i="6"/>
  <c r="N838" i="6"/>
  <c r="A838" i="6"/>
  <c r="M837" i="6"/>
  <c r="T836" i="6"/>
  <c r="L836" i="6"/>
  <c r="S835" i="6"/>
  <c r="H835" i="6"/>
  <c r="Q834" i="6"/>
  <c r="D834" i="6"/>
  <c r="O833" i="6"/>
  <c r="B833" i="6"/>
  <c r="M832" i="6"/>
  <c r="S831" i="6"/>
  <c r="H831" i="6"/>
  <c r="Q830" i="6"/>
  <c r="D830" i="6"/>
  <c r="O829" i="6"/>
  <c r="B829" i="6"/>
  <c r="N828" i="6"/>
  <c r="A828" i="6"/>
  <c r="M827" i="6"/>
  <c r="T826" i="6"/>
  <c r="L826" i="6"/>
  <c r="S825" i="6"/>
  <c r="H825" i="6"/>
  <c r="R824" i="6"/>
  <c r="E824" i="6"/>
  <c r="P823" i="6"/>
  <c r="D823" i="6"/>
  <c r="O822" i="6"/>
  <c r="C822" i="6"/>
  <c r="N821" i="6"/>
  <c r="B821" i="6"/>
  <c r="M820" i="6"/>
  <c r="A820" i="6"/>
  <c r="L819" i="6"/>
  <c r="S818" i="6"/>
  <c r="I818" i="6"/>
  <c r="R817" i="6"/>
  <c r="H817" i="6"/>
  <c r="Q816" i="6"/>
  <c r="E816" i="6"/>
  <c r="P815" i="6"/>
  <c r="D815" i="6"/>
  <c r="O814" i="6"/>
  <c r="C814" i="6"/>
  <c r="N813" i="6"/>
  <c r="B813" i="6"/>
  <c r="M812" i="6"/>
  <c r="A812" i="6"/>
  <c r="L811" i="6"/>
  <c r="S810" i="6"/>
  <c r="I810" i="6"/>
  <c r="R809" i="6"/>
  <c r="H809" i="6"/>
  <c r="Q808" i="6"/>
  <c r="E808" i="6"/>
  <c r="P807" i="6"/>
  <c r="D807" i="6"/>
  <c r="O806" i="6"/>
  <c r="C806" i="6"/>
  <c r="N805" i="6"/>
  <c r="B805" i="6"/>
  <c r="M804" i="6"/>
  <c r="A804" i="6"/>
  <c r="L803" i="6"/>
  <c r="S802" i="6"/>
  <c r="I802" i="6"/>
  <c r="R801" i="6"/>
  <c r="H801" i="6"/>
  <c r="Q800" i="6"/>
  <c r="G800" i="6"/>
  <c r="Q799" i="6"/>
  <c r="E799" i="6"/>
  <c r="P798" i="6"/>
  <c r="D798" i="6"/>
  <c r="O797" i="6"/>
  <c r="C797" i="6"/>
  <c r="N796" i="6"/>
  <c r="B796" i="6"/>
  <c r="M795" i="6"/>
  <c r="A795" i="6"/>
  <c r="O934" i="6"/>
  <c r="R933" i="6"/>
  <c r="E933" i="6"/>
  <c r="Q932" i="6"/>
  <c r="D932" i="6"/>
  <c r="P931" i="6"/>
  <c r="C931" i="6"/>
  <c r="O930" i="6"/>
  <c r="C930" i="6"/>
  <c r="O929" i="6"/>
  <c r="C929" i="6"/>
  <c r="O928" i="6"/>
  <c r="C928" i="6"/>
  <c r="O927" i="6"/>
  <c r="B927" i="6"/>
  <c r="M926" i="6"/>
  <c r="A926" i="6"/>
  <c r="L925" i="6"/>
  <c r="R924" i="6"/>
  <c r="E924" i="6"/>
  <c r="Q923" i="6"/>
  <c r="D923" i="6"/>
  <c r="O922" i="6"/>
  <c r="B922" i="6"/>
  <c r="M921" i="6"/>
  <c r="S920" i="6"/>
  <c r="H920" i="6"/>
  <c r="Q919" i="6"/>
  <c r="D919" i="6"/>
  <c r="O918" i="6"/>
  <c r="B918" i="6"/>
  <c r="M917" i="6"/>
  <c r="S916" i="6"/>
  <c r="H916" i="6"/>
  <c r="Q915" i="6"/>
  <c r="D915" i="6"/>
  <c r="O914" i="6"/>
  <c r="B914" i="6"/>
  <c r="N913" i="6"/>
  <c r="A913" i="6"/>
  <c r="M912" i="6"/>
  <c r="T911" i="6"/>
  <c r="L911" i="6"/>
  <c r="S910" i="6"/>
  <c r="H910" i="6"/>
  <c r="R909" i="6"/>
  <c r="E909" i="6"/>
  <c r="Q908" i="6"/>
  <c r="D908" i="6"/>
  <c r="O907" i="6"/>
  <c r="B907" i="6"/>
  <c r="N906" i="6"/>
  <c r="A906" i="6"/>
  <c r="M905" i="6"/>
  <c r="T904" i="6"/>
  <c r="L904" i="6"/>
  <c r="S903" i="6"/>
  <c r="H903" i="6"/>
  <c r="R902" i="6"/>
  <c r="E902" i="6"/>
  <c r="Q901" i="6"/>
  <c r="D901" i="6"/>
  <c r="P900" i="6"/>
  <c r="C900" i="6"/>
  <c r="O899" i="6"/>
  <c r="B899" i="6"/>
  <c r="N898" i="6"/>
  <c r="A898" i="6"/>
  <c r="M897" i="6"/>
  <c r="A897" i="6"/>
  <c r="M896" i="6"/>
  <c r="A896" i="6"/>
  <c r="I895" i="6"/>
  <c r="R894" i="6"/>
  <c r="H894" i="6"/>
  <c r="Q893" i="6"/>
  <c r="D893" i="6"/>
  <c r="O892" i="6"/>
  <c r="B892" i="6"/>
  <c r="N891" i="6"/>
  <c r="B891" i="6"/>
  <c r="N890" i="6"/>
  <c r="B890" i="6"/>
  <c r="N889" i="6"/>
  <c r="A889" i="6"/>
  <c r="M888" i="6"/>
  <c r="T887" i="6"/>
  <c r="L887" i="6"/>
  <c r="S886" i="6"/>
  <c r="H886" i="6"/>
  <c r="Q885" i="6"/>
  <c r="D885" i="6"/>
  <c r="O884" i="6"/>
  <c r="B884" i="6"/>
  <c r="N883" i="6"/>
  <c r="B883" i="6"/>
  <c r="M882" i="6"/>
  <c r="A882" i="6"/>
  <c r="L881" i="6"/>
  <c r="R880" i="6"/>
  <c r="E880" i="6"/>
  <c r="Q879" i="6"/>
  <c r="D879" i="6"/>
  <c r="P878" i="6"/>
  <c r="C878" i="6"/>
  <c r="O877" i="6"/>
  <c r="B877" i="6"/>
  <c r="N876" i="6"/>
  <c r="A876" i="6"/>
  <c r="M875" i="6"/>
  <c r="T874" i="6"/>
  <c r="L874" i="6"/>
  <c r="S873" i="6"/>
  <c r="H873" i="6"/>
  <c r="R872" i="6"/>
  <c r="E872" i="6"/>
  <c r="Q871" i="6"/>
  <c r="D871" i="6"/>
  <c r="P870" i="6"/>
  <c r="C870" i="6"/>
  <c r="O869" i="6"/>
  <c r="B869" i="6"/>
  <c r="M868" i="6"/>
  <c r="A868" i="6"/>
  <c r="M867" i="6"/>
  <c r="A867" i="6"/>
  <c r="M866" i="6"/>
  <c r="T865" i="6"/>
  <c r="L865" i="6"/>
  <c r="S864" i="6"/>
  <c r="I864" i="6"/>
  <c r="S863" i="6"/>
  <c r="I863" i="6"/>
  <c r="S862" i="6"/>
  <c r="H862" i="6"/>
  <c r="R861" i="6"/>
  <c r="E861" i="6"/>
  <c r="P860" i="6"/>
  <c r="C860" i="6"/>
  <c r="N859" i="6"/>
  <c r="A859" i="6"/>
  <c r="L858" i="6"/>
  <c r="R857" i="6"/>
  <c r="E857" i="6"/>
  <c r="P856" i="6"/>
  <c r="C856" i="6"/>
  <c r="N855" i="6"/>
  <c r="A855" i="6"/>
  <c r="M854" i="6"/>
  <c r="T853" i="6"/>
  <c r="L853" i="6"/>
  <c r="S852" i="6"/>
  <c r="H852" i="6"/>
  <c r="R851" i="6"/>
  <c r="E851" i="6"/>
  <c r="Q850" i="6"/>
  <c r="D850" i="6"/>
  <c r="P849" i="6"/>
  <c r="C849" i="6"/>
  <c r="O848" i="6"/>
  <c r="B848" i="6"/>
  <c r="N847" i="6"/>
  <c r="A847" i="6"/>
  <c r="M846" i="6"/>
  <c r="T845" i="6"/>
  <c r="L845" i="6"/>
  <c r="S844" i="6"/>
  <c r="H844" i="6"/>
  <c r="R843" i="6"/>
  <c r="E843" i="6"/>
  <c r="Q842" i="6"/>
  <c r="D842" i="6"/>
  <c r="P841" i="6"/>
  <c r="C841" i="6"/>
  <c r="O840" i="6"/>
  <c r="B840" i="6"/>
  <c r="N839" i="6"/>
  <c r="A839" i="6"/>
  <c r="M838" i="6"/>
  <c r="T837" i="6"/>
  <c r="L837" i="6"/>
  <c r="S836" i="6"/>
  <c r="H836" i="6"/>
  <c r="R835" i="6"/>
  <c r="E835" i="6"/>
  <c r="P834" i="6"/>
  <c r="C834" i="6"/>
  <c r="N833" i="6"/>
  <c r="A833" i="6"/>
  <c r="L832" i="6"/>
  <c r="R831" i="6"/>
  <c r="E831" i="6"/>
  <c r="P830" i="6"/>
  <c r="C830" i="6"/>
  <c r="N829" i="6"/>
  <c r="A829" i="6"/>
  <c r="M828" i="6"/>
  <c r="T827" i="6"/>
  <c r="L827" i="6"/>
  <c r="S826" i="6"/>
  <c r="H826" i="6"/>
  <c r="R825" i="6"/>
  <c r="E825" i="6"/>
  <c r="Q824" i="6"/>
  <c r="D824" i="6"/>
  <c r="O823" i="6"/>
  <c r="C823" i="6"/>
  <c r="N822" i="6"/>
  <c r="B822" i="6"/>
  <c r="M821" i="6"/>
  <c r="A821" i="6"/>
  <c r="L820" i="6"/>
  <c r="S819" i="6"/>
  <c r="I819" i="6"/>
  <c r="R818" i="6"/>
  <c r="H818" i="6"/>
  <c r="Q817" i="6"/>
  <c r="E817" i="6"/>
  <c r="P816" i="6"/>
  <c r="D816" i="6"/>
  <c r="O815" i="6"/>
  <c r="C815" i="6"/>
  <c r="N814" i="6"/>
  <c r="B814" i="6"/>
  <c r="M813" i="6"/>
  <c r="A813" i="6"/>
  <c r="L812" i="6"/>
  <c r="S811" i="6"/>
  <c r="I811" i="6"/>
  <c r="R810" i="6"/>
  <c r="H810" i="6"/>
  <c r="Q809" i="6"/>
  <c r="E809" i="6"/>
  <c r="P808" i="6"/>
  <c r="D808" i="6"/>
  <c r="O807" i="6"/>
  <c r="C807" i="6"/>
  <c r="N806" i="6"/>
  <c r="B806" i="6"/>
  <c r="M805" i="6"/>
  <c r="A805" i="6"/>
  <c r="L804" i="6"/>
  <c r="S803" i="6"/>
  <c r="I803" i="6"/>
  <c r="R802" i="6"/>
  <c r="H802" i="6"/>
  <c r="Q801" i="6"/>
  <c r="E801" i="6"/>
  <c r="P800" i="6"/>
  <c r="E800" i="6"/>
  <c r="P799" i="6"/>
  <c r="D799" i="6"/>
  <c r="O798" i="6"/>
  <c r="C798" i="6"/>
  <c r="N797" i="6"/>
  <c r="H934" i="6"/>
  <c r="Q933" i="6"/>
  <c r="D933" i="6"/>
  <c r="P932" i="6"/>
  <c r="C932" i="6"/>
  <c r="O931" i="6"/>
  <c r="B931" i="6"/>
  <c r="N930" i="6"/>
  <c r="B930" i="6"/>
  <c r="N929" i="6"/>
  <c r="B929" i="6"/>
  <c r="N928" i="6"/>
  <c r="B928" i="6"/>
  <c r="N927" i="6"/>
  <c r="A927" i="6"/>
  <c r="L926" i="6"/>
  <c r="S925" i="6"/>
  <c r="H925" i="6"/>
  <c r="Q924" i="6"/>
  <c r="D924" i="6"/>
  <c r="P923" i="6"/>
  <c r="C923" i="6"/>
  <c r="N922" i="6"/>
  <c r="A922" i="6"/>
  <c r="L921" i="6"/>
  <c r="R920" i="6"/>
  <c r="E920" i="6"/>
  <c r="P919" i="6"/>
  <c r="C919" i="6"/>
  <c r="N918" i="6"/>
  <c r="A918" i="6"/>
  <c r="L917" i="6"/>
  <c r="R916" i="6"/>
  <c r="E916" i="6"/>
  <c r="P915" i="6"/>
  <c r="C915" i="6"/>
  <c r="N914" i="6"/>
  <c r="A914" i="6"/>
  <c r="M913" i="6"/>
  <c r="T912" i="6"/>
  <c r="L912" i="6"/>
  <c r="S911" i="6"/>
  <c r="H911" i="6"/>
  <c r="R910" i="6"/>
  <c r="E910" i="6"/>
  <c r="Q909" i="6"/>
  <c r="D909" i="6"/>
  <c r="P908" i="6"/>
  <c r="C908" i="6"/>
  <c r="N907" i="6"/>
  <c r="A907" i="6"/>
  <c r="M906" i="6"/>
  <c r="T905" i="6"/>
  <c r="L905" i="6"/>
  <c r="S904" i="6"/>
  <c r="H904" i="6"/>
  <c r="R903" i="6"/>
  <c r="E903" i="6"/>
  <c r="Q902" i="6"/>
  <c r="D902" i="6"/>
  <c r="P901" i="6"/>
  <c r="C901" i="6"/>
  <c r="O900" i="6"/>
  <c r="B900" i="6"/>
  <c r="N899" i="6"/>
  <c r="A899" i="6"/>
  <c r="M898" i="6"/>
  <c r="T897" i="6"/>
  <c r="L897" i="6"/>
  <c r="T896" i="6"/>
  <c r="L896" i="6"/>
  <c r="T895" i="6"/>
  <c r="H895" i="6"/>
  <c r="Q894" i="6"/>
  <c r="E894" i="6"/>
  <c r="P893" i="6"/>
  <c r="C893" i="6"/>
  <c r="N892" i="6"/>
  <c r="A892" i="6"/>
  <c r="M891" i="6"/>
  <c r="A891" i="6"/>
  <c r="M890" i="6"/>
  <c r="A890" i="6"/>
  <c r="M889" i="6"/>
  <c r="T888" i="6"/>
  <c r="L888" i="6"/>
  <c r="S887" i="6"/>
  <c r="H887" i="6"/>
  <c r="R886" i="6"/>
  <c r="E886" i="6"/>
  <c r="P885" i="6"/>
  <c r="C885" i="6"/>
  <c r="N884" i="6"/>
  <c r="A884" i="6"/>
  <c r="M883" i="6"/>
  <c r="A883" i="6"/>
  <c r="L882" i="6"/>
  <c r="S881" i="6"/>
  <c r="H881" i="6"/>
  <c r="Q880" i="6"/>
  <c r="D880" i="6"/>
  <c r="P879" i="6"/>
  <c r="C879" i="6"/>
  <c r="O878" i="6"/>
  <c r="B878" i="6"/>
  <c r="N877" i="6"/>
  <c r="A877" i="6"/>
  <c r="M876" i="6"/>
  <c r="T875" i="6"/>
  <c r="L875" i="6"/>
  <c r="S874" i="6"/>
  <c r="H874" i="6"/>
  <c r="R873" i="6"/>
  <c r="E873" i="6"/>
  <c r="Q872" i="6"/>
  <c r="D872" i="6"/>
  <c r="P871" i="6"/>
  <c r="C871" i="6"/>
  <c r="O870" i="6"/>
  <c r="B870" i="6"/>
  <c r="N869" i="6"/>
  <c r="A869" i="6"/>
  <c r="L868" i="6"/>
  <c r="T867" i="6"/>
  <c r="L867" i="6"/>
  <c r="T866" i="6"/>
  <c r="L866" i="6"/>
  <c r="S865" i="6"/>
  <c r="H865" i="6"/>
  <c r="R864" i="6"/>
  <c r="H864" i="6"/>
  <c r="R863" i="6"/>
  <c r="H863" i="6"/>
  <c r="R862" i="6"/>
  <c r="E862" i="6"/>
  <c r="Q861" i="6"/>
  <c r="D861" i="6"/>
  <c r="O860" i="6"/>
  <c r="B860" i="6"/>
  <c r="M859" i="6"/>
  <c r="S858" i="6"/>
  <c r="H858" i="6"/>
  <c r="Q857" i="6"/>
  <c r="D857" i="6"/>
  <c r="O856" i="6"/>
  <c r="B856" i="6"/>
  <c r="M855" i="6"/>
  <c r="T854" i="6"/>
  <c r="L854" i="6"/>
  <c r="S853" i="6"/>
  <c r="H853" i="6"/>
  <c r="R852" i="6"/>
  <c r="E852" i="6"/>
  <c r="Q851" i="6"/>
  <c r="D851" i="6"/>
  <c r="P850" i="6"/>
  <c r="C850" i="6"/>
  <c r="O849" i="6"/>
  <c r="B849" i="6"/>
  <c r="N848" i="6"/>
  <c r="A848" i="6"/>
  <c r="M847" i="6"/>
  <c r="T846" i="6"/>
  <c r="L846" i="6"/>
  <c r="S845" i="6"/>
  <c r="H845" i="6"/>
  <c r="R844" i="6"/>
  <c r="E844" i="6"/>
  <c r="Q843" i="6"/>
  <c r="D843" i="6"/>
  <c r="P842" i="6"/>
  <c r="C842" i="6"/>
  <c r="O841" i="6"/>
  <c r="B841" i="6"/>
  <c r="N840" i="6"/>
  <c r="A840" i="6"/>
  <c r="M839" i="6"/>
  <c r="T838" i="6"/>
  <c r="L838" i="6"/>
  <c r="S837" i="6"/>
  <c r="H837" i="6"/>
  <c r="R836" i="6"/>
  <c r="E836" i="6"/>
  <c r="Q835" i="6"/>
  <c r="D835" i="6"/>
  <c r="O834" i="6"/>
  <c r="B834" i="6"/>
  <c r="M833" i="6"/>
  <c r="S832" i="6"/>
  <c r="H832" i="6"/>
  <c r="Q831" i="6"/>
  <c r="D831" i="6"/>
  <c r="O830" i="6"/>
  <c r="B830" i="6"/>
  <c r="M829" i="6"/>
  <c r="T828" i="6"/>
  <c r="L828" i="6"/>
  <c r="S827" i="6"/>
  <c r="H827" i="6"/>
  <c r="R826" i="6"/>
  <c r="E826" i="6"/>
  <c r="Q825" i="6"/>
  <c r="D825" i="6"/>
  <c r="P824" i="6"/>
  <c r="C824" i="6"/>
  <c r="N823" i="6"/>
  <c r="B823" i="6"/>
  <c r="M822" i="6"/>
  <c r="A822" i="6"/>
  <c r="L821" i="6"/>
  <c r="S820" i="6"/>
  <c r="I820" i="6"/>
  <c r="R819" i="6"/>
  <c r="H819" i="6"/>
  <c r="Q818" i="6"/>
  <c r="E818" i="6"/>
  <c r="P817" i="6"/>
  <c r="D817" i="6"/>
  <c r="O816" i="6"/>
  <c r="C816" i="6"/>
  <c r="N815" i="6"/>
  <c r="B815" i="6"/>
  <c r="M814" i="6"/>
  <c r="A814" i="6"/>
  <c r="L813" i="6"/>
  <c r="S812" i="6"/>
  <c r="I812" i="6"/>
  <c r="R811" i="6"/>
  <c r="H811" i="6"/>
  <c r="Q810" i="6"/>
  <c r="E810" i="6"/>
  <c r="P809" i="6"/>
  <c r="D809" i="6"/>
  <c r="O808" i="6"/>
  <c r="C808" i="6"/>
  <c r="N807" i="6"/>
  <c r="B807" i="6"/>
  <c r="M806" i="6"/>
  <c r="A806" i="6"/>
  <c r="L805" i="6"/>
  <c r="S804" i="6"/>
  <c r="I804" i="6"/>
  <c r="R803" i="6"/>
  <c r="H803" i="6"/>
  <c r="Q802" i="6"/>
  <c r="E802" i="6"/>
  <c r="P801" i="6"/>
  <c r="D801" i="6"/>
  <c r="O800" i="6"/>
  <c r="D800" i="6"/>
  <c r="O799" i="6"/>
  <c r="C799" i="6"/>
  <c r="N798" i="6"/>
  <c r="E934" i="6"/>
  <c r="P933" i="6"/>
  <c r="C933" i="6"/>
  <c r="O932" i="6"/>
  <c r="B932" i="6"/>
  <c r="N931" i="6"/>
  <c r="A931" i="6"/>
  <c r="M930" i="6"/>
  <c r="A930" i="6"/>
  <c r="M929" i="6"/>
  <c r="A929" i="6"/>
  <c r="M928" i="6"/>
  <c r="A928" i="6"/>
  <c r="M927" i="6"/>
  <c r="S926" i="6"/>
  <c r="I926" i="6"/>
  <c r="R925" i="6"/>
  <c r="E925" i="6"/>
  <c r="P924" i="6"/>
  <c r="C924" i="6"/>
  <c r="O923" i="6"/>
  <c r="B923" i="6"/>
  <c r="M922" i="6"/>
  <c r="S921" i="6"/>
  <c r="H921" i="6"/>
  <c r="Q920" i="6"/>
  <c r="D920" i="6"/>
  <c r="O919" i="6"/>
  <c r="B919" i="6"/>
  <c r="M918" i="6"/>
  <c r="S917" i="6"/>
  <c r="H917" i="6"/>
  <c r="Q916" i="6"/>
  <c r="D916" i="6"/>
  <c r="O915" i="6"/>
  <c r="B915" i="6"/>
  <c r="M914" i="6"/>
  <c r="T913" i="6"/>
  <c r="L913" i="6"/>
  <c r="S912" i="6"/>
  <c r="H912" i="6"/>
  <c r="R911" i="6"/>
  <c r="E911" i="6"/>
  <c r="Q910" i="6"/>
  <c r="D910" i="6"/>
  <c r="P909" i="6"/>
  <c r="C909" i="6"/>
  <c r="O908" i="6"/>
  <c r="B908" i="6"/>
  <c r="M907" i="6"/>
  <c r="T906" i="6"/>
  <c r="L906" i="6"/>
  <c r="S905" i="6"/>
  <c r="H905" i="6"/>
  <c r="R904" i="6"/>
  <c r="E904" i="6"/>
  <c r="Q903" i="6"/>
  <c r="D903" i="6"/>
  <c r="P902" i="6"/>
  <c r="C902" i="6"/>
  <c r="O901" i="6"/>
  <c r="B901" i="6"/>
  <c r="N900" i="6"/>
  <c r="A900" i="6"/>
  <c r="M899" i="6"/>
  <c r="T898" i="6"/>
  <c r="L898" i="6"/>
  <c r="S897" i="6"/>
  <c r="H897" i="6"/>
  <c r="S896" i="6"/>
  <c r="H896" i="6"/>
  <c r="S895" i="6"/>
  <c r="E895" i="6"/>
  <c r="P894" i="6"/>
  <c r="D894" i="6"/>
  <c r="O893" i="6"/>
  <c r="B893" i="6"/>
  <c r="M892" i="6"/>
  <c r="T891" i="6"/>
  <c r="L891" i="6"/>
  <c r="T890" i="6"/>
  <c r="L890" i="6"/>
  <c r="T889" i="6"/>
  <c r="L889" i="6"/>
  <c r="S888" i="6"/>
  <c r="H888" i="6"/>
  <c r="R887" i="6"/>
  <c r="E887" i="6"/>
  <c r="Q886" i="6"/>
  <c r="D886" i="6"/>
  <c r="O885" i="6"/>
  <c r="B885" i="6"/>
  <c r="M884" i="6"/>
  <c r="T883" i="6"/>
  <c r="L883" i="6"/>
  <c r="S882" i="6"/>
  <c r="H882" i="6"/>
  <c r="R881" i="6"/>
  <c r="E881" i="6"/>
  <c r="P880" i="6"/>
  <c r="C880" i="6"/>
  <c r="O879" i="6"/>
  <c r="B879" i="6"/>
  <c r="N878" i="6"/>
  <c r="A878" i="6"/>
  <c r="M877" i="6"/>
  <c r="T876" i="6"/>
  <c r="L876" i="6"/>
  <c r="S875" i="6"/>
  <c r="H875" i="6"/>
  <c r="R874" i="6"/>
  <c r="E874" i="6"/>
  <c r="Q873" i="6"/>
  <c r="D873" i="6"/>
  <c r="P872" i="6"/>
  <c r="C872" i="6"/>
  <c r="O871" i="6"/>
  <c r="B871" i="6"/>
  <c r="N870" i="6"/>
  <c r="A870" i="6"/>
  <c r="M869" i="6"/>
  <c r="S868" i="6"/>
  <c r="H868" i="6"/>
  <c r="S867" i="6"/>
  <c r="H867" i="6"/>
  <c r="S866" i="6"/>
  <c r="H866" i="6"/>
  <c r="R865" i="6"/>
  <c r="E865" i="6"/>
  <c r="Q864" i="6"/>
  <c r="E864" i="6"/>
  <c r="Q863" i="6"/>
  <c r="E863" i="6"/>
  <c r="Q862" i="6"/>
  <c r="D862" i="6"/>
  <c r="P861" i="6"/>
  <c r="C861" i="6"/>
  <c r="N860" i="6"/>
  <c r="A860" i="6"/>
  <c r="L859" i="6"/>
  <c r="R858" i="6"/>
  <c r="E858" i="6"/>
  <c r="P857" i="6"/>
  <c r="C857" i="6"/>
  <c r="N856" i="6"/>
  <c r="A856" i="6"/>
  <c r="L855" i="6"/>
  <c r="S854" i="6"/>
  <c r="H854" i="6"/>
  <c r="R853" i="6"/>
  <c r="E853" i="6"/>
  <c r="Q852" i="6"/>
  <c r="D852" i="6"/>
  <c r="P851" i="6"/>
  <c r="C851" i="6"/>
  <c r="O850" i="6"/>
  <c r="B850" i="6"/>
  <c r="N849" i="6"/>
  <c r="A849" i="6"/>
  <c r="M848" i="6"/>
  <c r="T847" i="6"/>
  <c r="L847" i="6"/>
  <c r="S846" i="6"/>
  <c r="H846" i="6"/>
  <c r="R845" i="6"/>
  <c r="E845" i="6"/>
  <c r="Q844" i="6"/>
  <c r="D844" i="6"/>
  <c r="P843" i="6"/>
  <c r="C843" i="6"/>
  <c r="O842" i="6"/>
  <c r="B842" i="6"/>
  <c r="N841" i="6"/>
  <c r="A841" i="6"/>
  <c r="M840" i="6"/>
  <c r="T839" i="6"/>
  <c r="L839" i="6"/>
  <c r="S838" i="6"/>
  <c r="H838" i="6"/>
  <c r="R837" i="6"/>
  <c r="E837" i="6"/>
  <c r="Q836" i="6"/>
  <c r="D836" i="6"/>
  <c r="P835" i="6"/>
  <c r="C835" i="6"/>
  <c r="N834" i="6"/>
  <c r="A834" i="6"/>
  <c r="L833" i="6"/>
  <c r="R832" i="6"/>
  <c r="E832" i="6"/>
  <c r="P831" i="6"/>
  <c r="C831" i="6"/>
  <c r="N830" i="6"/>
  <c r="A830" i="6"/>
  <c r="L829" i="6"/>
  <c r="S828" i="6"/>
  <c r="H828" i="6"/>
  <c r="R827" i="6"/>
  <c r="E827" i="6"/>
  <c r="Q826" i="6"/>
  <c r="D826" i="6"/>
  <c r="P825" i="6"/>
  <c r="C825" i="6"/>
  <c r="O824" i="6"/>
  <c r="B824" i="6"/>
  <c r="M823" i="6"/>
  <c r="A823" i="6"/>
  <c r="L822" i="6"/>
  <c r="S821" i="6"/>
  <c r="I821" i="6"/>
  <c r="R820" i="6"/>
  <c r="H820" i="6"/>
  <c r="Q819" i="6"/>
  <c r="E819" i="6"/>
  <c r="P818" i="6"/>
  <c r="D818" i="6"/>
  <c r="O817" i="6"/>
  <c r="C817" i="6"/>
  <c r="N816" i="6"/>
  <c r="B816" i="6"/>
  <c r="M815" i="6"/>
  <c r="A815" i="6"/>
  <c r="L814" i="6"/>
  <c r="S813" i="6"/>
  <c r="I813" i="6"/>
  <c r="R812" i="6"/>
  <c r="H812" i="6"/>
  <c r="Q811" i="6"/>
  <c r="E811" i="6"/>
  <c r="P810" i="6"/>
  <c r="D810" i="6"/>
  <c r="O809" i="6"/>
  <c r="C809" i="6"/>
  <c r="N808" i="6"/>
  <c r="B808" i="6"/>
  <c r="M807" i="6"/>
  <c r="A807" i="6"/>
  <c r="L806" i="6"/>
  <c r="S805" i="6"/>
  <c r="I805" i="6"/>
  <c r="R804" i="6"/>
  <c r="H804" i="6"/>
  <c r="Q803" i="6"/>
  <c r="E803" i="6"/>
  <c r="P802" i="6"/>
  <c r="D802" i="6"/>
  <c r="O801" i="6"/>
  <c r="C801" i="6"/>
  <c r="N800" i="6"/>
  <c r="C800" i="6"/>
  <c r="N799" i="6"/>
  <c r="B799" i="6"/>
  <c r="M798" i="6"/>
  <c r="D934" i="6"/>
  <c r="O933" i="6"/>
  <c r="B933" i="6"/>
  <c r="N932" i="6"/>
  <c r="A932" i="6"/>
  <c r="M931" i="6"/>
  <c r="T930" i="6"/>
  <c r="L930" i="6"/>
  <c r="T929" i="6"/>
  <c r="L929" i="6"/>
  <c r="T928" i="6"/>
  <c r="L928" i="6"/>
  <c r="T927" i="6"/>
  <c r="L927" i="6"/>
  <c r="R926" i="6"/>
  <c r="H926" i="6"/>
  <c r="Q925" i="6"/>
  <c r="D925" i="6"/>
  <c r="O924" i="6"/>
  <c r="B924" i="6"/>
  <c r="N923" i="6"/>
  <c r="A923" i="6"/>
  <c r="L922" i="6"/>
  <c r="R921" i="6"/>
  <c r="E921" i="6"/>
  <c r="P920" i="6"/>
  <c r="C920" i="6"/>
  <c r="N919" i="6"/>
  <c r="A919" i="6"/>
  <c r="L918" i="6"/>
  <c r="R917" i="6"/>
  <c r="E917" i="6"/>
  <c r="P916" i="6"/>
  <c r="C916" i="6"/>
  <c r="N915" i="6"/>
  <c r="A915" i="6"/>
  <c r="L914" i="6"/>
  <c r="S913" i="6"/>
  <c r="H913" i="6"/>
  <c r="R912" i="6"/>
  <c r="E912" i="6"/>
  <c r="Q911" i="6"/>
  <c r="D911" i="6"/>
  <c r="P910" i="6"/>
  <c r="C910" i="6"/>
  <c r="O909" i="6"/>
  <c r="B909" i="6"/>
  <c r="N908" i="6"/>
  <c r="A908" i="6"/>
  <c r="L907" i="6"/>
  <c r="S906" i="6"/>
  <c r="H906" i="6"/>
  <c r="R905" i="6"/>
  <c r="E905" i="6"/>
  <c r="Q904" i="6"/>
  <c r="D904" i="6"/>
  <c r="P903" i="6"/>
  <c r="C903" i="6"/>
  <c r="O902" i="6"/>
  <c r="B902" i="6"/>
  <c r="N901" i="6"/>
  <c r="A901" i="6"/>
  <c r="M900" i="6"/>
  <c r="T899" i="6"/>
  <c r="L899" i="6"/>
  <c r="S898" i="6"/>
  <c r="H898" i="6"/>
  <c r="R897" i="6"/>
  <c r="F897" i="6"/>
  <c r="R896" i="6"/>
  <c r="G896" i="6"/>
  <c r="P895" i="6"/>
  <c r="D895" i="6"/>
  <c r="O894" i="6"/>
  <c r="C894" i="6"/>
  <c r="N893" i="6"/>
  <c r="A893" i="6"/>
  <c r="L892" i="6"/>
  <c r="S891" i="6"/>
  <c r="I891" i="6"/>
  <c r="S890" i="6"/>
  <c r="I890" i="6"/>
  <c r="S889" i="6"/>
  <c r="H889" i="6"/>
  <c r="R888" i="6"/>
  <c r="E888" i="6"/>
  <c r="Q887" i="6"/>
  <c r="D887" i="6"/>
  <c r="P886" i="6"/>
  <c r="C886" i="6"/>
  <c r="N885" i="6"/>
  <c r="A885" i="6"/>
  <c r="L884" i="6"/>
  <c r="S883" i="6"/>
  <c r="H883" i="6"/>
  <c r="R882" i="6"/>
  <c r="G882" i="6"/>
  <c r="Q881" i="6"/>
  <c r="D881" i="6"/>
  <c r="O880" i="6"/>
  <c r="B880" i="6"/>
  <c r="N879" i="6"/>
  <c r="A879" i="6"/>
  <c r="M878" i="6"/>
  <c r="T877" i="6"/>
  <c r="L877" i="6"/>
  <c r="S876" i="6"/>
  <c r="H876" i="6"/>
  <c r="R875" i="6"/>
  <c r="E875" i="6"/>
  <c r="Q874" i="6"/>
  <c r="D874" i="6"/>
  <c r="P873" i="6"/>
  <c r="C873" i="6"/>
  <c r="O872" i="6"/>
  <c r="B872" i="6"/>
  <c r="N871" i="6"/>
  <c r="A871" i="6"/>
  <c r="M870" i="6"/>
  <c r="T869" i="6"/>
  <c r="L869" i="6"/>
  <c r="R868" i="6"/>
  <c r="F868" i="6"/>
  <c r="R867" i="6"/>
  <c r="G867" i="6"/>
  <c r="R866" i="6"/>
  <c r="E866" i="6"/>
  <c r="Q865" i="6"/>
  <c r="D865" i="6"/>
  <c r="P864" i="6"/>
  <c r="D864" i="6"/>
  <c r="P863" i="6"/>
  <c r="D863" i="6"/>
  <c r="P862" i="6"/>
  <c r="C862" i="6"/>
  <c r="O861" i="6"/>
  <c r="B861" i="6"/>
  <c r="M860" i="6"/>
  <c r="S859" i="6"/>
  <c r="H859" i="6"/>
  <c r="Q858" i="6"/>
  <c r="D858" i="6"/>
  <c r="O857" i="6"/>
  <c r="B857" i="6"/>
  <c r="M856" i="6"/>
  <c r="S855" i="6"/>
  <c r="H855" i="6"/>
  <c r="R854" i="6"/>
  <c r="E854" i="6"/>
  <c r="Q853" i="6"/>
  <c r="D853" i="6"/>
  <c r="P852" i="6"/>
  <c r="C852" i="6"/>
  <c r="O851" i="6"/>
  <c r="B851" i="6"/>
  <c r="N850" i="6"/>
  <c r="A850" i="6"/>
  <c r="M849" i="6"/>
  <c r="T848" i="6"/>
  <c r="L848" i="6"/>
  <c r="S847" i="6"/>
  <c r="H847" i="6"/>
  <c r="R846" i="6"/>
  <c r="E846" i="6"/>
  <c r="Q845" i="6"/>
  <c r="D845" i="6"/>
  <c r="P844" i="6"/>
  <c r="C844" i="6"/>
  <c r="O843" i="6"/>
  <c r="B843" i="6"/>
  <c r="N842" i="6"/>
  <c r="A842" i="6"/>
  <c r="M841" i="6"/>
  <c r="T840" i="6"/>
  <c r="L840" i="6"/>
  <c r="S839" i="6"/>
  <c r="H839" i="6"/>
  <c r="R838" i="6"/>
  <c r="E838" i="6"/>
  <c r="Q837" i="6"/>
  <c r="D837" i="6"/>
  <c r="P836" i="6"/>
  <c r="C836" i="6"/>
  <c r="O835" i="6"/>
  <c r="B835" i="6"/>
  <c r="M834" i="6"/>
  <c r="S833" i="6"/>
  <c r="H833" i="6"/>
  <c r="Q832" i="6"/>
  <c r="D832" i="6"/>
  <c r="O831" i="6"/>
  <c r="B831" i="6"/>
  <c r="M830" i="6"/>
  <c r="S829" i="6"/>
  <c r="H829" i="6"/>
  <c r="R828" i="6"/>
  <c r="E828" i="6"/>
  <c r="Q827" i="6"/>
  <c r="D827" i="6"/>
  <c r="P826" i="6"/>
  <c r="C826" i="6"/>
  <c r="O825" i="6"/>
  <c r="B825" i="6"/>
  <c r="N824" i="6"/>
  <c r="A824" i="6"/>
  <c r="L823" i="6"/>
  <c r="S822" i="6"/>
  <c r="I822" i="6"/>
  <c r="R821" i="6"/>
  <c r="H821" i="6"/>
  <c r="Q820" i="6"/>
  <c r="E820" i="6"/>
  <c r="P819" i="6"/>
  <c r="D819" i="6"/>
  <c r="O818" i="6"/>
  <c r="C818" i="6"/>
  <c r="N817" i="6"/>
  <c r="B817" i="6"/>
  <c r="M816" i="6"/>
  <c r="A816" i="6"/>
  <c r="L815" i="6"/>
  <c r="S814" i="6"/>
  <c r="I814" i="6"/>
  <c r="R813" i="6"/>
  <c r="H813" i="6"/>
  <c r="Q812" i="6"/>
  <c r="E812" i="6"/>
  <c r="P811" i="6"/>
  <c r="D811" i="6"/>
  <c r="O810" i="6"/>
  <c r="C810" i="6"/>
  <c r="N809" i="6"/>
  <c r="B809" i="6"/>
  <c r="M808" i="6"/>
  <c r="A808" i="6"/>
  <c r="L807" i="6"/>
  <c r="S806" i="6"/>
  <c r="I806" i="6"/>
  <c r="R805" i="6"/>
  <c r="H805" i="6"/>
  <c r="Q804" i="6"/>
  <c r="E804" i="6"/>
  <c r="P803" i="6"/>
  <c r="D803" i="6"/>
  <c r="O802" i="6"/>
  <c r="C802" i="6"/>
  <c r="N801" i="6"/>
  <c r="B801" i="6"/>
  <c r="M800" i="6"/>
  <c r="B800" i="6"/>
  <c r="M799" i="6"/>
  <c r="A799" i="6"/>
  <c r="L798" i="6"/>
  <c r="C934" i="6"/>
  <c r="N933" i="6"/>
  <c r="A933" i="6"/>
  <c r="M932" i="6"/>
  <c r="T931" i="6"/>
  <c r="L931" i="6"/>
  <c r="S930" i="6"/>
  <c r="I930" i="6"/>
  <c r="S929" i="6"/>
  <c r="I929" i="6"/>
  <c r="S928" i="6"/>
  <c r="I928" i="6"/>
  <c r="S927" i="6"/>
  <c r="H927" i="6"/>
  <c r="Q926" i="6"/>
  <c r="E926" i="6"/>
  <c r="P925" i="6"/>
  <c r="C925" i="6"/>
  <c r="N924" i="6"/>
  <c r="A924" i="6"/>
  <c r="M923" i="6"/>
  <c r="S922" i="6"/>
  <c r="H922" i="6"/>
  <c r="Q921" i="6"/>
  <c r="D921" i="6"/>
  <c r="O920" i="6"/>
  <c r="B920" i="6"/>
  <c r="M919" i="6"/>
  <c r="S918" i="6"/>
  <c r="H918" i="6"/>
  <c r="Q917" i="6"/>
  <c r="D917" i="6"/>
  <c r="O916" i="6"/>
  <c r="B916" i="6"/>
  <c r="M915" i="6"/>
  <c r="S914" i="6"/>
  <c r="H914" i="6"/>
  <c r="R913" i="6"/>
  <c r="E913" i="6"/>
  <c r="Q912" i="6"/>
  <c r="D912" i="6"/>
  <c r="P911" i="6"/>
  <c r="C911" i="6"/>
  <c r="O910" i="6"/>
  <c r="B910" i="6"/>
  <c r="N909" i="6"/>
  <c r="A909" i="6"/>
  <c r="M908" i="6"/>
  <c r="S907" i="6"/>
  <c r="H907" i="6"/>
  <c r="R906" i="6"/>
  <c r="E906" i="6"/>
  <c r="Q905" i="6"/>
  <c r="D905" i="6"/>
  <c r="P904" i="6"/>
  <c r="C904" i="6"/>
  <c r="O903" i="6"/>
  <c r="B903" i="6"/>
  <c r="N902" i="6"/>
  <c r="A902" i="6"/>
  <c r="M901" i="6"/>
  <c r="T900" i="6"/>
  <c r="L900" i="6"/>
  <c r="S899" i="6"/>
  <c r="H899" i="6"/>
  <c r="R898" i="6"/>
  <c r="E898" i="6"/>
  <c r="Q897" i="6"/>
  <c r="E897" i="6"/>
  <c r="Q896" i="6"/>
  <c r="E896" i="6"/>
  <c r="O895" i="6"/>
  <c r="C895" i="6"/>
  <c r="N894" i="6"/>
  <c r="B894" i="6"/>
  <c r="M893" i="6"/>
  <c r="S892" i="6"/>
  <c r="H892" i="6"/>
  <c r="R891" i="6"/>
  <c r="H891" i="6"/>
  <c r="R890" i="6"/>
  <c r="H890" i="6"/>
  <c r="R889" i="6"/>
  <c r="E889" i="6"/>
  <c r="Q888" i="6"/>
  <c r="D888" i="6"/>
  <c r="P887" i="6"/>
  <c r="C887" i="6"/>
  <c r="O886" i="6"/>
  <c r="B886" i="6"/>
  <c r="M885" i="6"/>
  <c r="S884" i="6"/>
  <c r="H884" i="6"/>
  <c r="R883" i="6"/>
  <c r="F883" i="6"/>
  <c r="Q882" i="6"/>
  <c r="E882" i="6"/>
  <c r="P881" i="6"/>
  <c r="C881" i="6"/>
  <c r="N880" i="6"/>
  <c r="A880" i="6"/>
  <c r="M879" i="6"/>
  <c r="T878" i="6"/>
  <c r="L878" i="6"/>
  <c r="S877" i="6"/>
  <c r="H877" i="6"/>
  <c r="R876" i="6"/>
  <c r="E876" i="6"/>
  <c r="Q875" i="6"/>
  <c r="D875" i="6"/>
  <c r="P874" i="6"/>
  <c r="C874" i="6"/>
  <c r="O873" i="6"/>
  <c r="B873" i="6"/>
  <c r="N872" i="6"/>
  <c r="A872" i="6"/>
  <c r="M871" i="6"/>
  <c r="T870" i="6"/>
  <c r="L870" i="6"/>
  <c r="S869" i="6"/>
  <c r="H869" i="6"/>
  <c r="Q868" i="6"/>
  <c r="E868" i="6"/>
  <c r="Q867" i="6"/>
  <c r="E867" i="6"/>
  <c r="Q866" i="6"/>
  <c r="D866" i="6"/>
  <c r="P865" i="6"/>
  <c r="C865" i="6"/>
  <c r="O864" i="6"/>
  <c r="C864" i="6"/>
  <c r="O863" i="6"/>
  <c r="C863" i="6"/>
  <c r="O862" i="6"/>
  <c r="B862" i="6"/>
  <c r="N861" i="6"/>
  <c r="A861" i="6"/>
  <c r="L860" i="6"/>
  <c r="R859" i="6"/>
  <c r="E859" i="6"/>
  <c r="P858" i="6"/>
  <c r="C858" i="6"/>
  <c r="N857" i="6"/>
  <c r="A857" i="6"/>
  <c r="L856" i="6"/>
  <c r="R855" i="6"/>
  <c r="E855" i="6"/>
  <c r="Q854" i="6"/>
  <c r="D854" i="6"/>
  <c r="P853" i="6"/>
  <c r="C853" i="6"/>
  <c r="O852" i="6"/>
  <c r="B852" i="6"/>
  <c r="N851" i="6"/>
  <c r="A851" i="6"/>
  <c r="M850" i="6"/>
  <c r="T849" i="6"/>
  <c r="L849" i="6"/>
  <c r="S848" i="6"/>
  <c r="H848" i="6"/>
  <c r="R847" i="6"/>
  <c r="E847" i="6"/>
  <c r="Q846" i="6"/>
  <c r="D846" i="6"/>
  <c r="P845" i="6"/>
  <c r="C845" i="6"/>
  <c r="O844" i="6"/>
  <c r="B844" i="6"/>
  <c r="N843" i="6"/>
  <c r="A843" i="6"/>
  <c r="M842" i="6"/>
  <c r="T841" i="6"/>
  <c r="L841" i="6"/>
  <c r="S840" i="6"/>
  <c r="H840" i="6"/>
  <c r="R839" i="6"/>
  <c r="E839" i="6"/>
  <c r="Q838" i="6"/>
  <c r="D838" i="6"/>
  <c r="P837" i="6"/>
  <c r="C837" i="6"/>
  <c r="O836" i="6"/>
  <c r="B836" i="6"/>
  <c r="N835" i="6"/>
  <c r="A835" i="6"/>
  <c r="L834" i="6"/>
  <c r="R833" i="6"/>
  <c r="E833" i="6"/>
  <c r="P832" i="6"/>
  <c r="C832" i="6"/>
  <c r="N831" i="6"/>
  <c r="A831" i="6"/>
  <c r="L830" i="6"/>
  <c r="R829" i="6"/>
  <c r="E829" i="6"/>
  <c r="Q828" i="6"/>
  <c r="D828" i="6"/>
  <c r="P827" i="6"/>
  <c r="C827" i="6"/>
  <c r="O826" i="6"/>
  <c r="B826" i="6"/>
  <c r="N825" i="6"/>
  <c r="A825" i="6"/>
  <c r="M824" i="6"/>
  <c r="S823" i="6"/>
  <c r="I823" i="6"/>
  <c r="R822" i="6"/>
  <c r="H822" i="6"/>
  <c r="Q821" i="6"/>
  <c r="E821" i="6"/>
  <c r="P820" i="6"/>
  <c r="D820" i="6"/>
  <c r="O819" i="6"/>
  <c r="C819" i="6"/>
  <c r="N818" i="6"/>
  <c r="B818" i="6"/>
  <c r="M817" i="6"/>
  <c r="A817" i="6"/>
  <c r="L816" i="6"/>
  <c r="S815" i="6"/>
  <c r="I815" i="6"/>
  <c r="R814" i="6"/>
  <c r="H814" i="6"/>
  <c r="Q813" i="6"/>
  <c r="E813" i="6"/>
  <c r="P812" i="6"/>
  <c r="D812" i="6"/>
  <c r="O811" i="6"/>
  <c r="C811" i="6"/>
  <c r="N810" i="6"/>
  <c r="B810" i="6"/>
  <c r="M809" i="6"/>
  <c r="A809" i="6"/>
  <c r="L808" i="6"/>
  <c r="S807" i="6"/>
  <c r="I807" i="6"/>
  <c r="R806" i="6"/>
  <c r="H806" i="6"/>
  <c r="Q805" i="6"/>
  <c r="E805" i="6"/>
  <c r="P804" i="6"/>
  <c r="D804" i="6"/>
  <c r="O803" i="6"/>
  <c r="C803" i="6"/>
  <c r="N802" i="6"/>
  <c r="B802" i="6"/>
  <c r="M801" i="6"/>
  <c r="A801" i="6"/>
  <c r="L800" i="6"/>
  <c r="A800" i="6"/>
  <c r="L799" i="6"/>
  <c r="S798" i="6"/>
  <c r="I798" i="6"/>
  <c r="R797" i="6"/>
  <c r="B798" i="6"/>
  <c r="A797" i="6"/>
  <c r="E796" i="6"/>
  <c r="I795" i="6"/>
  <c r="Q794" i="6"/>
  <c r="E794" i="6"/>
  <c r="P793" i="6"/>
  <c r="D793" i="6"/>
  <c r="O792" i="6"/>
  <c r="C792" i="6"/>
  <c r="N791" i="6"/>
  <c r="B791" i="6"/>
  <c r="M790" i="6"/>
  <c r="B790" i="6"/>
  <c r="N789" i="6"/>
  <c r="C789" i="6"/>
  <c r="N788" i="6"/>
  <c r="B788" i="6"/>
  <c r="M787" i="6"/>
  <c r="A787" i="6"/>
  <c r="L786" i="6"/>
  <c r="S785" i="6"/>
  <c r="I785" i="6"/>
  <c r="R784" i="6"/>
  <c r="H784" i="6"/>
  <c r="Q783" i="6"/>
  <c r="E783" i="6"/>
  <c r="P782" i="6"/>
  <c r="D782" i="6"/>
  <c r="O781" i="6"/>
  <c r="C781" i="6"/>
  <c r="N780" i="6"/>
  <c r="B780" i="6"/>
  <c r="M779" i="6"/>
  <c r="A779" i="6"/>
  <c r="L778" i="6"/>
  <c r="S777" i="6"/>
  <c r="I777" i="6"/>
  <c r="R776" i="6"/>
  <c r="H776" i="6"/>
  <c r="Q775" i="6"/>
  <c r="E775" i="6"/>
  <c r="P774" i="6"/>
  <c r="D774" i="6"/>
  <c r="O773" i="6"/>
  <c r="C773" i="6"/>
  <c r="N772" i="6"/>
  <c r="B772" i="6"/>
  <c r="M771" i="6"/>
  <c r="B771" i="6"/>
  <c r="M770" i="6"/>
  <c r="A770" i="6"/>
  <c r="L769" i="6"/>
  <c r="S768" i="6"/>
  <c r="I768" i="6"/>
  <c r="R767" i="6"/>
  <c r="E767" i="6"/>
  <c r="P766" i="6"/>
  <c r="C766" i="6"/>
  <c r="N765" i="6"/>
  <c r="A765" i="6"/>
  <c r="L764" i="6"/>
  <c r="R763" i="6"/>
  <c r="E763" i="6"/>
  <c r="P762" i="6"/>
  <c r="C762" i="6"/>
  <c r="N761" i="6"/>
  <c r="A761" i="6"/>
  <c r="L760" i="6"/>
  <c r="R759" i="6"/>
  <c r="E759" i="6"/>
  <c r="P758" i="6"/>
  <c r="C758" i="6"/>
  <c r="N757" i="6"/>
  <c r="A757" i="6"/>
  <c r="L756" i="6"/>
  <c r="R755" i="6"/>
  <c r="E755" i="6"/>
  <c r="P754" i="6"/>
  <c r="C754" i="6"/>
  <c r="N753" i="6"/>
  <c r="A753" i="6"/>
  <c r="L752" i="6"/>
  <c r="R751" i="6"/>
  <c r="E751" i="6"/>
  <c r="P750" i="6"/>
  <c r="C750" i="6"/>
  <c r="N749" i="6"/>
  <c r="A749" i="6"/>
  <c r="L748" i="6"/>
  <c r="R747" i="6"/>
  <c r="E747" i="6"/>
  <c r="P746" i="6"/>
  <c r="C746" i="6"/>
  <c r="N745" i="6"/>
  <c r="A745" i="6"/>
  <c r="L744" i="6"/>
  <c r="R743" i="6"/>
  <c r="E743" i="6"/>
  <c r="P742" i="6"/>
  <c r="C742" i="6"/>
  <c r="N741" i="6"/>
  <c r="A741" i="6"/>
  <c r="L740" i="6"/>
  <c r="R739" i="6"/>
  <c r="E739" i="6"/>
  <c r="P738" i="6"/>
  <c r="C738" i="6"/>
  <c r="N737" i="6"/>
  <c r="A737" i="6"/>
  <c r="L736" i="6"/>
  <c r="R735" i="6"/>
  <c r="E735" i="6"/>
  <c r="P734" i="6"/>
  <c r="C734" i="6"/>
  <c r="N733" i="6"/>
  <c r="A733" i="6"/>
  <c r="L732" i="6"/>
  <c r="R731" i="6"/>
  <c r="E731" i="6"/>
  <c r="P730" i="6"/>
  <c r="C730" i="6"/>
  <c r="N729" i="6"/>
  <c r="A729" i="6"/>
  <c r="L728" i="6"/>
  <c r="R727" i="6"/>
  <c r="E727" i="6"/>
  <c r="P726" i="6"/>
  <c r="C726" i="6"/>
  <c r="N725" i="6"/>
  <c r="A725" i="6"/>
  <c r="L724" i="6"/>
  <c r="R723" i="6"/>
  <c r="E723" i="6"/>
  <c r="P722" i="6"/>
  <c r="C722" i="6"/>
  <c r="O721" i="6"/>
  <c r="B721" i="6"/>
  <c r="N720" i="6"/>
  <c r="A720" i="6"/>
  <c r="M719" i="6"/>
  <c r="B719" i="6"/>
  <c r="N718" i="6"/>
  <c r="A718" i="6"/>
  <c r="L717" i="6"/>
  <c r="R716" i="6"/>
  <c r="E716" i="6"/>
  <c r="P715" i="6"/>
  <c r="C715" i="6"/>
  <c r="N714" i="6"/>
  <c r="A714" i="6"/>
  <c r="L713" i="6"/>
  <c r="R712" i="6"/>
  <c r="E712" i="6"/>
  <c r="P711" i="6"/>
  <c r="C711" i="6"/>
  <c r="N710" i="6"/>
  <c r="A710" i="6"/>
  <c r="L709" i="6"/>
  <c r="R708" i="6"/>
  <c r="H708" i="6"/>
  <c r="R707" i="6"/>
  <c r="E707" i="6"/>
  <c r="P706" i="6"/>
  <c r="C706" i="6"/>
  <c r="N705" i="6"/>
  <c r="A705" i="6"/>
  <c r="L704" i="6"/>
  <c r="R703" i="6"/>
  <c r="E703" i="6"/>
  <c r="P702" i="6"/>
  <c r="C702" i="6"/>
  <c r="N701" i="6"/>
  <c r="B701" i="6"/>
  <c r="N700" i="6"/>
  <c r="A700" i="6"/>
  <c r="L699" i="6"/>
  <c r="S698" i="6"/>
  <c r="H698" i="6"/>
  <c r="Q697" i="6"/>
  <c r="D697" i="6"/>
  <c r="O696" i="6"/>
  <c r="B696" i="6"/>
  <c r="M695" i="6"/>
  <c r="S694" i="6"/>
  <c r="H694" i="6"/>
  <c r="Q693" i="6"/>
  <c r="D693" i="6"/>
  <c r="O692" i="6"/>
  <c r="B692" i="6"/>
  <c r="M691" i="6"/>
  <c r="S690" i="6"/>
  <c r="H690" i="6"/>
  <c r="Q689" i="6"/>
  <c r="D689" i="6"/>
  <c r="O688" i="6"/>
  <c r="B688" i="6"/>
  <c r="M687" i="6"/>
  <c r="S686" i="6"/>
  <c r="H686" i="6"/>
  <c r="R685" i="6"/>
  <c r="E685" i="6"/>
  <c r="P684" i="6"/>
  <c r="C684" i="6"/>
  <c r="N683" i="6"/>
  <c r="C683" i="6"/>
  <c r="N682" i="6"/>
  <c r="A682" i="6"/>
  <c r="L681" i="6"/>
  <c r="A681" i="6"/>
  <c r="L680" i="6"/>
  <c r="R679" i="6"/>
  <c r="E679" i="6"/>
  <c r="P678" i="6"/>
  <c r="C678" i="6"/>
  <c r="N677" i="6"/>
  <c r="A677" i="6"/>
  <c r="L676" i="6"/>
  <c r="R675" i="6"/>
  <c r="E675" i="6"/>
  <c r="P674" i="6"/>
  <c r="C674" i="6"/>
  <c r="N673" i="6"/>
  <c r="A673" i="6"/>
  <c r="L672" i="6"/>
  <c r="R671" i="6"/>
  <c r="E671" i="6"/>
  <c r="P670" i="6"/>
  <c r="D670" i="6"/>
  <c r="O669" i="6"/>
  <c r="B669" i="6"/>
  <c r="M668" i="6"/>
  <c r="S667" i="6"/>
  <c r="H667" i="6"/>
  <c r="Q666" i="6"/>
  <c r="D666" i="6"/>
  <c r="O665" i="6"/>
  <c r="B665" i="6"/>
  <c r="M664" i="6"/>
  <c r="S663" i="6"/>
  <c r="H663" i="6"/>
  <c r="Q662" i="6"/>
  <c r="E662" i="6"/>
  <c r="P661" i="6"/>
  <c r="C661" i="6"/>
  <c r="N660" i="6"/>
  <c r="A660" i="6"/>
  <c r="L659" i="6"/>
  <c r="R658" i="6"/>
  <c r="E658" i="6"/>
  <c r="P657" i="6"/>
  <c r="C657" i="6"/>
  <c r="N656" i="6"/>
  <c r="A798" i="6"/>
  <c r="S796" i="6"/>
  <c r="A796" i="6"/>
  <c r="H795" i="6"/>
  <c r="P794" i="6"/>
  <c r="D794" i="6"/>
  <c r="O793" i="6"/>
  <c r="C793" i="6"/>
  <c r="N792" i="6"/>
  <c r="B792" i="6"/>
  <c r="M791" i="6"/>
  <c r="A791" i="6"/>
  <c r="L790" i="6"/>
  <c r="A790" i="6"/>
  <c r="M789" i="6"/>
  <c r="B789" i="6"/>
  <c r="M788" i="6"/>
  <c r="A788" i="6"/>
  <c r="L787" i="6"/>
  <c r="S786" i="6"/>
  <c r="I786" i="6"/>
  <c r="R785" i="6"/>
  <c r="H785" i="6"/>
  <c r="Q784" i="6"/>
  <c r="E784" i="6"/>
  <c r="P783" i="6"/>
  <c r="D783" i="6"/>
  <c r="O782" i="6"/>
  <c r="C782" i="6"/>
  <c r="N781" i="6"/>
  <c r="B781" i="6"/>
  <c r="M780" i="6"/>
  <c r="A780" i="6"/>
  <c r="L779" i="6"/>
  <c r="S778" i="6"/>
  <c r="I778" i="6"/>
  <c r="R777" i="6"/>
  <c r="H777" i="6"/>
  <c r="Q776" i="6"/>
  <c r="E776" i="6"/>
  <c r="P775" i="6"/>
  <c r="D775" i="6"/>
  <c r="O774" i="6"/>
  <c r="C774" i="6"/>
  <c r="N773" i="6"/>
  <c r="B773" i="6"/>
  <c r="M772" i="6"/>
  <c r="A772" i="6"/>
  <c r="L771" i="6"/>
  <c r="A771" i="6"/>
  <c r="L770" i="6"/>
  <c r="S769" i="6"/>
  <c r="I769" i="6"/>
  <c r="R768" i="6"/>
  <c r="H768" i="6"/>
  <c r="Q767" i="6"/>
  <c r="D767" i="6"/>
  <c r="O766" i="6"/>
  <c r="B766" i="6"/>
  <c r="M765" i="6"/>
  <c r="S764" i="6"/>
  <c r="H764" i="6"/>
  <c r="Q763" i="6"/>
  <c r="D763" i="6"/>
  <c r="O762" i="6"/>
  <c r="B762" i="6"/>
  <c r="M761" i="6"/>
  <c r="S760" i="6"/>
  <c r="H760" i="6"/>
  <c r="Q759" i="6"/>
  <c r="D759" i="6"/>
  <c r="O758" i="6"/>
  <c r="B758" i="6"/>
  <c r="M757" i="6"/>
  <c r="S756" i="6"/>
  <c r="H756" i="6"/>
  <c r="Q755" i="6"/>
  <c r="D755" i="6"/>
  <c r="O754" i="6"/>
  <c r="B754" i="6"/>
  <c r="M753" i="6"/>
  <c r="S752" i="6"/>
  <c r="H752" i="6"/>
  <c r="Q751" i="6"/>
  <c r="D751" i="6"/>
  <c r="O750" i="6"/>
  <c r="B750" i="6"/>
  <c r="M749" i="6"/>
  <c r="S748" i="6"/>
  <c r="H748" i="6"/>
  <c r="Q747" i="6"/>
  <c r="D747" i="6"/>
  <c r="O746" i="6"/>
  <c r="B746" i="6"/>
  <c r="M745" i="6"/>
  <c r="S744" i="6"/>
  <c r="H744" i="6"/>
  <c r="Q743" i="6"/>
  <c r="D743" i="6"/>
  <c r="O742" i="6"/>
  <c r="B742" i="6"/>
  <c r="M741" i="6"/>
  <c r="S740" i="6"/>
  <c r="H740" i="6"/>
  <c r="Q739" i="6"/>
  <c r="D739" i="6"/>
  <c r="O738" i="6"/>
  <c r="B738" i="6"/>
  <c r="M737" i="6"/>
  <c r="S736" i="6"/>
  <c r="H736" i="6"/>
  <c r="Q735" i="6"/>
  <c r="D735" i="6"/>
  <c r="O734" i="6"/>
  <c r="B734" i="6"/>
  <c r="M733" i="6"/>
  <c r="S732" i="6"/>
  <c r="H732" i="6"/>
  <c r="Q731" i="6"/>
  <c r="D731" i="6"/>
  <c r="O730" i="6"/>
  <c r="B730" i="6"/>
  <c r="M729" i="6"/>
  <c r="S728" i="6"/>
  <c r="H728" i="6"/>
  <c r="Q727" i="6"/>
  <c r="D727" i="6"/>
  <c r="O726" i="6"/>
  <c r="B726" i="6"/>
  <c r="M725" i="6"/>
  <c r="S724" i="6"/>
  <c r="H724" i="6"/>
  <c r="Q723" i="6"/>
  <c r="D723" i="6"/>
  <c r="O722" i="6"/>
  <c r="B722" i="6"/>
  <c r="N721" i="6"/>
  <c r="A721" i="6"/>
  <c r="M720" i="6"/>
  <c r="T719" i="6"/>
  <c r="L719" i="6"/>
  <c r="A719" i="6"/>
  <c r="M718" i="6"/>
  <c r="S717" i="6"/>
  <c r="H717" i="6"/>
  <c r="Q716" i="6"/>
  <c r="D716" i="6"/>
  <c r="O715" i="6"/>
  <c r="B715" i="6"/>
  <c r="M714" i="6"/>
  <c r="S713" i="6"/>
  <c r="H713" i="6"/>
  <c r="Q712" i="6"/>
  <c r="D712" i="6"/>
  <c r="O711" i="6"/>
  <c r="B711" i="6"/>
  <c r="M710" i="6"/>
  <c r="S709" i="6"/>
  <c r="H709" i="6"/>
  <c r="Q708" i="6"/>
  <c r="G708" i="6"/>
  <c r="Q707" i="6"/>
  <c r="D707" i="6"/>
  <c r="O706" i="6"/>
  <c r="B706" i="6"/>
  <c r="M705" i="6"/>
  <c r="S704" i="6"/>
  <c r="H704" i="6"/>
  <c r="Q703" i="6"/>
  <c r="D703" i="6"/>
  <c r="O702" i="6"/>
  <c r="B702" i="6"/>
  <c r="M701" i="6"/>
  <c r="A701" i="6"/>
  <c r="M700" i="6"/>
  <c r="S699" i="6"/>
  <c r="I699" i="6"/>
  <c r="R698" i="6"/>
  <c r="E698" i="6"/>
  <c r="P697" i="6"/>
  <c r="C697" i="6"/>
  <c r="N696" i="6"/>
  <c r="A696" i="6"/>
  <c r="L695" i="6"/>
  <c r="R694" i="6"/>
  <c r="E694" i="6"/>
  <c r="P693" i="6"/>
  <c r="C693" i="6"/>
  <c r="N692" i="6"/>
  <c r="A692" i="6"/>
  <c r="L691" i="6"/>
  <c r="R690" i="6"/>
  <c r="E690" i="6"/>
  <c r="P689" i="6"/>
  <c r="C689" i="6"/>
  <c r="N688" i="6"/>
  <c r="A688" i="6"/>
  <c r="L687" i="6"/>
  <c r="R686" i="6"/>
  <c r="E686" i="6"/>
  <c r="Q685" i="6"/>
  <c r="D685" i="6"/>
  <c r="O684" i="6"/>
  <c r="B684" i="6"/>
  <c r="M683" i="6"/>
  <c r="B683" i="6"/>
  <c r="M682" i="6"/>
  <c r="S681" i="6"/>
  <c r="I681" i="6"/>
  <c r="S680" i="6"/>
  <c r="H680" i="6"/>
  <c r="Q679" i="6"/>
  <c r="D679" i="6"/>
  <c r="O678" i="6"/>
  <c r="B678" i="6"/>
  <c r="M677" i="6"/>
  <c r="S676" i="6"/>
  <c r="H676" i="6"/>
  <c r="Q675" i="6"/>
  <c r="D675" i="6"/>
  <c r="O674" i="6"/>
  <c r="B674" i="6"/>
  <c r="M673" i="6"/>
  <c r="S672" i="6"/>
  <c r="H672" i="6"/>
  <c r="Q671" i="6"/>
  <c r="D671" i="6"/>
  <c r="O670" i="6"/>
  <c r="C670" i="6"/>
  <c r="N669" i="6"/>
  <c r="A669" i="6"/>
  <c r="L668" i="6"/>
  <c r="R667" i="6"/>
  <c r="E667" i="6"/>
  <c r="P666" i="6"/>
  <c r="C666" i="6"/>
  <c r="N665" i="6"/>
  <c r="A665" i="6"/>
  <c r="L664" i="6"/>
  <c r="R663" i="6"/>
  <c r="E663" i="6"/>
  <c r="P662" i="6"/>
  <c r="D662" i="6"/>
  <c r="O661" i="6"/>
  <c r="B661" i="6"/>
  <c r="M660" i="6"/>
  <c r="S659" i="6"/>
  <c r="H659" i="6"/>
  <c r="Q658" i="6"/>
  <c r="D658" i="6"/>
  <c r="O657" i="6"/>
  <c r="B657" i="6"/>
  <c r="M656" i="6"/>
  <c r="S655" i="6"/>
  <c r="S797" i="6"/>
  <c r="R796" i="6"/>
  <c r="S795" i="6"/>
  <c r="E795" i="6"/>
  <c r="O794" i="6"/>
  <c r="C794" i="6"/>
  <c r="N793" i="6"/>
  <c r="B793" i="6"/>
  <c r="M792" i="6"/>
  <c r="A792" i="6"/>
  <c r="L791" i="6"/>
  <c r="S790" i="6"/>
  <c r="I790" i="6"/>
  <c r="T789" i="6"/>
  <c r="L789" i="6"/>
  <c r="A789" i="6"/>
  <c r="L788" i="6"/>
  <c r="S787" i="6"/>
  <c r="I787" i="6"/>
  <c r="R786" i="6"/>
  <c r="H786" i="6"/>
  <c r="Q785" i="6"/>
  <c r="E785" i="6"/>
  <c r="P784" i="6"/>
  <c r="D784" i="6"/>
  <c r="O783" i="6"/>
  <c r="C783" i="6"/>
  <c r="N782" i="6"/>
  <c r="B782" i="6"/>
  <c r="M781" i="6"/>
  <c r="A781" i="6"/>
  <c r="L780" i="6"/>
  <c r="S779" i="6"/>
  <c r="I779" i="6"/>
  <c r="R778" i="6"/>
  <c r="H778" i="6"/>
  <c r="Q777" i="6"/>
  <c r="E777" i="6"/>
  <c r="P776" i="6"/>
  <c r="D776" i="6"/>
  <c r="O775" i="6"/>
  <c r="C775" i="6"/>
  <c r="N774" i="6"/>
  <c r="B774" i="6"/>
  <c r="M773" i="6"/>
  <c r="A773" i="6"/>
  <c r="L772" i="6"/>
  <c r="S771" i="6"/>
  <c r="I771" i="6"/>
  <c r="S770" i="6"/>
  <c r="I770" i="6"/>
  <c r="R769" i="6"/>
  <c r="H769" i="6"/>
  <c r="Q768" i="6"/>
  <c r="E768" i="6"/>
  <c r="P767" i="6"/>
  <c r="C767" i="6"/>
  <c r="N766" i="6"/>
  <c r="A766" i="6"/>
  <c r="L765" i="6"/>
  <c r="R764" i="6"/>
  <c r="E764" i="6"/>
  <c r="P763" i="6"/>
  <c r="C763" i="6"/>
  <c r="N762" i="6"/>
  <c r="A762" i="6"/>
  <c r="L761" i="6"/>
  <c r="R760" i="6"/>
  <c r="E760" i="6"/>
  <c r="P759" i="6"/>
  <c r="C759" i="6"/>
  <c r="N758" i="6"/>
  <c r="A758" i="6"/>
  <c r="L757" i="6"/>
  <c r="R756" i="6"/>
  <c r="E756" i="6"/>
  <c r="P755" i="6"/>
  <c r="C755" i="6"/>
  <c r="N754" i="6"/>
  <c r="A754" i="6"/>
  <c r="L753" i="6"/>
  <c r="R752" i="6"/>
  <c r="E752" i="6"/>
  <c r="P751" i="6"/>
  <c r="C751" i="6"/>
  <c r="N750" i="6"/>
  <c r="A750" i="6"/>
  <c r="L749" i="6"/>
  <c r="R748" i="6"/>
  <c r="E748" i="6"/>
  <c r="P747" i="6"/>
  <c r="C747" i="6"/>
  <c r="N746" i="6"/>
  <c r="A746" i="6"/>
  <c r="L745" i="6"/>
  <c r="R744" i="6"/>
  <c r="E744" i="6"/>
  <c r="P743" i="6"/>
  <c r="C743" i="6"/>
  <c r="N742" i="6"/>
  <c r="A742" i="6"/>
  <c r="L741" i="6"/>
  <c r="R740" i="6"/>
  <c r="E740" i="6"/>
  <c r="P739" i="6"/>
  <c r="C739" i="6"/>
  <c r="N738" i="6"/>
  <c r="A738" i="6"/>
  <c r="L737" i="6"/>
  <c r="R736" i="6"/>
  <c r="E736" i="6"/>
  <c r="P735" i="6"/>
  <c r="C735" i="6"/>
  <c r="N734" i="6"/>
  <c r="A734" i="6"/>
  <c r="L733" i="6"/>
  <c r="R732" i="6"/>
  <c r="E732" i="6"/>
  <c r="P731" i="6"/>
  <c r="C731" i="6"/>
  <c r="N730" i="6"/>
  <c r="A730" i="6"/>
  <c r="L729" i="6"/>
  <c r="R728" i="6"/>
  <c r="E728" i="6"/>
  <c r="P727" i="6"/>
  <c r="C727" i="6"/>
  <c r="N726" i="6"/>
  <c r="A726" i="6"/>
  <c r="L725" i="6"/>
  <c r="R724" i="6"/>
  <c r="E724" i="6"/>
  <c r="P723" i="6"/>
  <c r="C723" i="6"/>
  <c r="N722" i="6"/>
  <c r="A722" i="6"/>
  <c r="M721" i="6"/>
  <c r="T720" i="6"/>
  <c r="L720" i="6"/>
  <c r="S719" i="6"/>
  <c r="I719" i="6"/>
  <c r="T718" i="6"/>
  <c r="L718" i="6"/>
  <c r="R717" i="6"/>
  <c r="E717" i="6"/>
  <c r="P716" i="6"/>
  <c r="C716" i="6"/>
  <c r="N715" i="6"/>
  <c r="A715" i="6"/>
  <c r="L714" i="6"/>
  <c r="R713" i="6"/>
  <c r="E713" i="6"/>
  <c r="P712" i="6"/>
  <c r="C712" i="6"/>
  <c r="N711" i="6"/>
  <c r="A711" i="6"/>
  <c r="L710" i="6"/>
  <c r="R709" i="6"/>
  <c r="E709" i="6"/>
  <c r="P708" i="6"/>
  <c r="E708" i="6"/>
  <c r="P707" i="6"/>
  <c r="C707" i="6"/>
  <c r="N706" i="6"/>
  <c r="A706" i="6"/>
  <c r="L705" i="6"/>
  <c r="R704" i="6"/>
  <c r="E704" i="6"/>
  <c r="P703" i="6"/>
  <c r="C703" i="6"/>
  <c r="N702" i="6"/>
  <c r="A702" i="6"/>
  <c r="L701" i="6"/>
  <c r="T700" i="6"/>
  <c r="L700" i="6"/>
  <c r="R699" i="6"/>
  <c r="H699" i="6"/>
  <c r="Q698" i="6"/>
  <c r="D698" i="6"/>
  <c r="O697" i="6"/>
  <c r="B697" i="6"/>
  <c r="M696" i="6"/>
  <c r="S695" i="6"/>
  <c r="H695" i="6"/>
  <c r="Q694" i="6"/>
  <c r="D694" i="6"/>
  <c r="O693" i="6"/>
  <c r="B693" i="6"/>
  <c r="M692" i="6"/>
  <c r="S691" i="6"/>
  <c r="H691" i="6"/>
  <c r="Q690" i="6"/>
  <c r="D690" i="6"/>
  <c r="O689" i="6"/>
  <c r="B689" i="6"/>
  <c r="M688" i="6"/>
  <c r="S687" i="6"/>
  <c r="H687" i="6"/>
  <c r="Q686" i="6"/>
  <c r="D686" i="6"/>
  <c r="P685" i="6"/>
  <c r="C685" i="6"/>
  <c r="N684" i="6"/>
  <c r="A684" i="6"/>
  <c r="L683" i="6"/>
  <c r="A683" i="6"/>
  <c r="L682" i="6"/>
  <c r="R681" i="6"/>
  <c r="H681" i="6"/>
  <c r="R680" i="6"/>
  <c r="E680" i="6"/>
  <c r="P679" i="6"/>
  <c r="C679" i="6"/>
  <c r="N678" i="6"/>
  <c r="A678" i="6"/>
  <c r="L677" i="6"/>
  <c r="R676" i="6"/>
  <c r="E676" i="6"/>
  <c r="P675" i="6"/>
  <c r="C675" i="6"/>
  <c r="N674" i="6"/>
  <c r="A674" i="6"/>
  <c r="L673" i="6"/>
  <c r="R672" i="6"/>
  <c r="E672" i="6"/>
  <c r="P671" i="6"/>
  <c r="C671" i="6"/>
  <c r="N670" i="6"/>
  <c r="B670" i="6"/>
  <c r="M669" i="6"/>
  <c r="S668" i="6"/>
  <c r="H668" i="6"/>
  <c r="Q667" i="6"/>
  <c r="D667" i="6"/>
  <c r="O666" i="6"/>
  <c r="B666" i="6"/>
  <c r="M665" i="6"/>
  <c r="S664" i="6"/>
  <c r="H664" i="6"/>
  <c r="Q663" i="6"/>
  <c r="D663" i="6"/>
  <c r="O662" i="6"/>
  <c r="C662" i="6"/>
  <c r="N661" i="6"/>
  <c r="A661" i="6"/>
  <c r="L660" i="6"/>
  <c r="R659" i="6"/>
  <c r="E659" i="6"/>
  <c r="P658" i="6"/>
  <c r="C658" i="6"/>
  <c r="N657" i="6"/>
  <c r="A657" i="6"/>
  <c r="L656" i="6"/>
  <c r="M797" i="6"/>
  <c r="Q796" i="6"/>
  <c r="R795" i="6"/>
  <c r="D795" i="6"/>
  <c r="N794" i="6"/>
  <c r="B794" i="6"/>
  <c r="M793" i="6"/>
  <c r="A793" i="6"/>
  <c r="L792" i="6"/>
  <c r="S791" i="6"/>
  <c r="I791" i="6"/>
  <c r="R790" i="6"/>
  <c r="H790" i="6"/>
  <c r="S789" i="6"/>
  <c r="I789" i="6"/>
  <c r="S788" i="6"/>
  <c r="I788" i="6"/>
  <c r="R787" i="6"/>
  <c r="H787" i="6"/>
  <c r="Q786" i="6"/>
  <c r="E786" i="6"/>
  <c r="P785" i="6"/>
  <c r="D785" i="6"/>
  <c r="O784" i="6"/>
  <c r="C784" i="6"/>
  <c r="N783" i="6"/>
  <c r="B783" i="6"/>
  <c r="M782" i="6"/>
  <c r="A782" i="6"/>
  <c r="L781" i="6"/>
  <c r="S780" i="6"/>
  <c r="I780" i="6"/>
  <c r="R779" i="6"/>
  <c r="H779" i="6"/>
  <c r="Q778" i="6"/>
  <c r="E778" i="6"/>
  <c r="P777" i="6"/>
  <c r="D777" i="6"/>
  <c r="O776" i="6"/>
  <c r="C776" i="6"/>
  <c r="N775" i="6"/>
  <c r="B775" i="6"/>
  <c r="M774" i="6"/>
  <c r="A774" i="6"/>
  <c r="L773" i="6"/>
  <c r="S772" i="6"/>
  <c r="I772" i="6"/>
  <c r="R771" i="6"/>
  <c r="H771" i="6"/>
  <c r="R770" i="6"/>
  <c r="H770" i="6"/>
  <c r="Q769" i="6"/>
  <c r="E769" i="6"/>
  <c r="P768" i="6"/>
  <c r="D768" i="6"/>
  <c r="O767" i="6"/>
  <c r="B767" i="6"/>
  <c r="M766" i="6"/>
  <c r="S765" i="6"/>
  <c r="H765" i="6"/>
  <c r="Q764" i="6"/>
  <c r="D764" i="6"/>
  <c r="O763" i="6"/>
  <c r="B763" i="6"/>
  <c r="M762" i="6"/>
  <c r="S761" i="6"/>
  <c r="H761" i="6"/>
  <c r="Q760" i="6"/>
  <c r="D760" i="6"/>
  <c r="O759" i="6"/>
  <c r="B759" i="6"/>
  <c r="M758" i="6"/>
  <c r="S757" i="6"/>
  <c r="H757" i="6"/>
  <c r="Q756" i="6"/>
  <c r="D756" i="6"/>
  <c r="O755" i="6"/>
  <c r="B755" i="6"/>
  <c r="M754" i="6"/>
  <c r="S753" i="6"/>
  <c r="H753" i="6"/>
  <c r="Q752" i="6"/>
  <c r="D752" i="6"/>
  <c r="O751" i="6"/>
  <c r="B751" i="6"/>
  <c r="M750" i="6"/>
  <c r="S749" i="6"/>
  <c r="H749" i="6"/>
  <c r="Q748" i="6"/>
  <c r="D748" i="6"/>
  <c r="O747" i="6"/>
  <c r="B747" i="6"/>
  <c r="M746" i="6"/>
  <c r="S745" i="6"/>
  <c r="H745" i="6"/>
  <c r="Q744" i="6"/>
  <c r="D744" i="6"/>
  <c r="O743" i="6"/>
  <c r="B743" i="6"/>
  <c r="M742" i="6"/>
  <c r="S741" i="6"/>
  <c r="H741" i="6"/>
  <c r="Q740" i="6"/>
  <c r="D740" i="6"/>
  <c r="O739" i="6"/>
  <c r="B739" i="6"/>
  <c r="M738" i="6"/>
  <c r="S737" i="6"/>
  <c r="H737" i="6"/>
  <c r="Q736" i="6"/>
  <c r="D736" i="6"/>
  <c r="O735" i="6"/>
  <c r="B735" i="6"/>
  <c r="M734" i="6"/>
  <c r="S733" i="6"/>
  <c r="H733" i="6"/>
  <c r="Q732" i="6"/>
  <c r="D732" i="6"/>
  <c r="O731" i="6"/>
  <c r="B731" i="6"/>
  <c r="M730" i="6"/>
  <c r="S729" i="6"/>
  <c r="H729" i="6"/>
  <c r="Q728" i="6"/>
  <c r="D728" i="6"/>
  <c r="O727" i="6"/>
  <c r="B727" i="6"/>
  <c r="M726" i="6"/>
  <c r="S725" i="6"/>
  <c r="H725" i="6"/>
  <c r="Q724" i="6"/>
  <c r="D724" i="6"/>
  <c r="O723" i="6"/>
  <c r="B723" i="6"/>
  <c r="M722" i="6"/>
  <c r="T721" i="6"/>
  <c r="L721" i="6"/>
  <c r="S720" i="6"/>
  <c r="H720" i="6"/>
  <c r="R719" i="6"/>
  <c r="H719" i="6"/>
  <c r="S718" i="6"/>
  <c r="H718" i="6"/>
  <c r="Q717" i="6"/>
  <c r="D717" i="6"/>
  <c r="O716" i="6"/>
  <c r="B716" i="6"/>
  <c r="M715" i="6"/>
  <c r="S714" i="6"/>
  <c r="H714" i="6"/>
  <c r="Q713" i="6"/>
  <c r="D713" i="6"/>
  <c r="O712" i="6"/>
  <c r="B712" i="6"/>
  <c r="M711" i="6"/>
  <c r="S710" i="6"/>
  <c r="H710" i="6"/>
  <c r="Q709" i="6"/>
  <c r="D709" i="6"/>
  <c r="O708" i="6"/>
  <c r="D708" i="6"/>
  <c r="O707" i="6"/>
  <c r="B707" i="6"/>
  <c r="M706" i="6"/>
  <c r="S705" i="6"/>
  <c r="H705" i="6"/>
  <c r="Q704" i="6"/>
  <c r="D704" i="6"/>
  <c r="O703" i="6"/>
  <c r="B703" i="6"/>
  <c r="M702" i="6"/>
  <c r="S701" i="6"/>
  <c r="I701" i="6"/>
  <c r="S700" i="6"/>
  <c r="H700" i="6"/>
  <c r="Q699" i="6"/>
  <c r="E699" i="6"/>
  <c r="P698" i="6"/>
  <c r="C698" i="6"/>
  <c r="N697" i="6"/>
  <c r="A697" i="6"/>
  <c r="L696" i="6"/>
  <c r="R695" i="6"/>
  <c r="E695" i="6"/>
  <c r="P694" i="6"/>
  <c r="C694" i="6"/>
  <c r="N693" i="6"/>
  <c r="A693" i="6"/>
  <c r="L692" i="6"/>
  <c r="R691" i="6"/>
  <c r="E691" i="6"/>
  <c r="P690" i="6"/>
  <c r="C690" i="6"/>
  <c r="N689" i="6"/>
  <c r="A689" i="6"/>
  <c r="L688" i="6"/>
  <c r="R687" i="6"/>
  <c r="E687" i="6"/>
  <c r="P686" i="6"/>
  <c r="C686" i="6"/>
  <c r="O685" i="6"/>
  <c r="B685" i="6"/>
  <c r="M684" i="6"/>
  <c r="S683" i="6"/>
  <c r="I683" i="6"/>
  <c r="S682" i="6"/>
  <c r="H682" i="6"/>
  <c r="Q681" i="6"/>
  <c r="F681" i="6"/>
  <c r="Q680" i="6"/>
  <c r="D680" i="6"/>
  <c r="O679" i="6"/>
  <c r="B679" i="6"/>
  <c r="M678" i="6"/>
  <c r="S677" i="6"/>
  <c r="H677" i="6"/>
  <c r="Q676" i="6"/>
  <c r="D676" i="6"/>
  <c r="O675" i="6"/>
  <c r="B675" i="6"/>
  <c r="M674" i="6"/>
  <c r="S673" i="6"/>
  <c r="H673" i="6"/>
  <c r="Q672" i="6"/>
  <c r="D672" i="6"/>
  <c r="O671" i="6"/>
  <c r="B671" i="6"/>
  <c r="M670" i="6"/>
  <c r="A670" i="6"/>
  <c r="L669" i="6"/>
  <c r="R668" i="6"/>
  <c r="E668" i="6"/>
  <c r="P667" i="6"/>
  <c r="C667" i="6"/>
  <c r="N666" i="6"/>
  <c r="A666" i="6"/>
  <c r="L665" i="6"/>
  <c r="R664" i="6"/>
  <c r="E664" i="6"/>
  <c r="P663" i="6"/>
  <c r="C663" i="6"/>
  <c r="N662" i="6"/>
  <c r="B662" i="6"/>
  <c r="M661" i="6"/>
  <c r="S660" i="6"/>
  <c r="H660" i="6"/>
  <c r="Q659" i="6"/>
  <c r="D659" i="6"/>
  <c r="O658" i="6"/>
  <c r="B658" i="6"/>
  <c r="M657" i="6"/>
  <c r="S656" i="6"/>
  <c r="H656" i="6"/>
  <c r="L797" i="6"/>
  <c r="M796" i="6"/>
  <c r="Q795" i="6"/>
  <c r="C795" i="6"/>
  <c r="M794" i="6"/>
  <c r="A794" i="6"/>
  <c r="L793" i="6"/>
  <c r="S792" i="6"/>
  <c r="I792" i="6"/>
  <c r="R791" i="6"/>
  <c r="H791" i="6"/>
  <c r="Q790" i="6"/>
  <c r="F790" i="6"/>
  <c r="R789" i="6"/>
  <c r="H789" i="6"/>
  <c r="R788" i="6"/>
  <c r="H788" i="6"/>
  <c r="Q787" i="6"/>
  <c r="E787" i="6"/>
  <c r="P786" i="6"/>
  <c r="D786" i="6"/>
  <c r="O785" i="6"/>
  <c r="C785" i="6"/>
  <c r="N784" i="6"/>
  <c r="B784" i="6"/>
  <c r="M783" i="6"/>
  <c r="A783" i="6"/>
  <c r="L782" i="6"/>
  <c r="S781" i="6"/>
  <c r="I781" i="6"/>
  <c r="R780" i="6"/>
  <c r="H780" i="6"/>
  <c r="Q779" i="6"/>
  <c r="E779" i="6"/>
  <c r="P778" i="6"/>
  <c r="D778" i="6"/>
  <c r="O777" i="6"/>
  <c r="C777" i="6"/>
  <c r="N776" i="6"/>
  <c r="B776" i="6"/>
  <c r="M775" i="6"/>
  <c r="A775" i="6"/>
  <c r="L774" i="6"/>
  <c r="S773" i="6"/>
  <c r="I773" i="6"/>
  <c r="R772" i="6"/>
  <c r="H772" i="6"/>
  <c r="Q771" i="6"/>
  <c r="G771" i="6"/>
  <c r="Q770" i="6"/>
  <c r="E770" i="6"/>
  <c r="P769" i="6"/>
  <c r="D769" i="6"/>
  <c r="O768" i="6"/>
  <c r="C768" i="6"/>
  <c r="N767" i="6"/>
  <c r="A767" i="6"/>
  <c r="L766" i="6"/>
  <c r="R765" i="6"/>
  <c r="E765" i="6"/>
  <c r="P764" i="6"/>
  <c r="C764" i="6"/>
  <c r="N763" i="6"/>
  <c r="A763" i="6"/>
  <c r="L762" i="6"/>
  <c r="R761" i="6"/>
  <c r="E761" i="6"/>
  <c r="P760" i="6"/>
  <c r="C760" i="6"/>
  <c r="N759" i="6"/>
  <c r="A759" i="6"/>
  <c r="L758" i="6"/>
  <c r="R757" i="6"/>
  <c r="E757" i="6"/>
  <c r="P756" i="6"/>
  <c r="C756" i="6"/>
  <c r="N755" i="6"/>
  <c r="A755" i="6"/>
  <c r="L754" i="6"/>
  <c r="R753" i="6"/>
  <c r="E753" i="6"/>
  <c r="P752" i="6"/>
  <c r="C752" i="6"/>
  <c r="N751" i="6"/>
  <c r="A751" i="6"/>
  <c r="L750" i="6"/>
  <c r="R749" i="6"/>
  <c r="E749" i="6"/>
  <c r="P748" i="6"/>
  <c r="C748" i="6"/>
  <c r="N747" i="6"/>
  <c r="A747" i="6"/>
  <c r="L746" i="6"/>
  <c r="R745" i="6"/>
  <c r="E745" i="6"/>
  <c r="P744" i="6"/>
  <c r="C744" i="6"/>
  <c r="N743" i="6"/>
  <c r="A743" i="6"/>
  <c r="L742" i="6"/>
  <c r="R741" i="6"/>
  <c r="E741" i="6"/>
  <c r="P740" i="6"/>
  <c r="C740" i="6"/>
  <c r="N739" i="6"/>
  <c r="A739" i="6"/>
  <c r="L738" i="6"/>
  <c r="R737" i="6"/>
  <c r="E737" i="6"/>
  <c r="P736" i="6"/>
  <c r="C736" i="6"/>
  <c r="N735" i="6"/>
  <c r="A735" i="6"/>
  <c r="L734" i="6"/>
  <c r="R733" i="6"/>
  <c r="E733" i="6"/>
  <c r="P732" i="6"/>
  <c r="C732" i="6"/>
  <c r="N731" i="6"/>
  <c r="A731" i="6"/>
  <c r="L730" i="6"/>
  <c r="R729" i="6"/>
  <c r="E729" i="6"/>
  <c r="P728" i="6"/>
  <c r="C728" i="6"/>
  <c r="N727" i="6"/>
  <c r="A727" i="6"/>
  <c r="L726" i="6"/>
  <c r="R725" i="6"/>
  <c r="E725" i="6"/>
  <c r="P724" i="6"/>
  <c r="C724" i="6"/>
  <c r="N723" i="6"/>
  <c r="A723" i="6"/>
  <c r="L722" i="6"/>
  <c r="S721" i="6"/>
  <c r="H721" i="6"/>
  <c r="R720" i="6"/>
  <c r="E720" i="6"/>
  <c r="Q719" i="6"/>
  <c r="F719" i="6"/>
  <c r="R718" i="6"/>
  <c r="E718" i="6"/>
  <c r="P717" i="6"/>
  <c r="C717" i="6"/>
  <c r="N716" i="6"/>
  <c r="A716" i="6"/>
  <c r="L715" i="6"/>
  <c r="R714" i="6"/>
  <c r="E714" i="6"/>
  <c r="P713" i="6"/>
  <c r="C713" i="6"/>
  <c r="N712" i="6"/>
  <c r="A712" i="6"/>
  <c r="L711" i="6"/>
  <c r="R710" i="6"/>
  <c r="E710" i="6"/>
  <c r="P709" i="6"/>
  <c r="C709" i="6"/>
  <c r="N708" i="6"/>
  <c r="C708" i="6"/>
  <c r="N707" i="6"/>
  <c r="A707" i="6"/>
  <c r="L706" i="6"/>
  <c r="R705" i="6"/>
  <c r="E705" i="6"/>
  <c r="P704" i="6"/>
  <c r="C704" i="6"/>
  <c r="N703" i="6"/>
  <c r="A703" i="6"/>
  <c r="L702" i="6"/>
  <c r="R701" i="6"/>
  <c r="H701" i="6"/>
  <c r="R700" i="6"/>
  <c r="E700" i="6"/>
  <c r="P699" i="6"/>
  <c r="D699" i="6"/>
  <c r="O698" i="6"/>
  <c r="B698" i="6"/>
  <c r="M697" i="6"/>
  <c r="S696" i="6"/>
  <c r="H696" i="6"/>
  <c r="Q695" i="6"/>
  <c r="D695" i="6"/>
  <c r="O694" i="6"/>
  <c r="B694" i="6"/>
  <c r="M693" i="6"/>
  <c r="S692" i="6"/>
  <c r="H692" i="6"/>
  <c r="Q691" i="6"/>
  <c r="D691" i="6"/>
  <c r="O690" i="6"/>
  <c r="B690" i="6"/>
  <c r="M689" i="6"/>
  <c r="S688" i="6"/>
  <c r="H688" i="6"/>
  <c r="Q687" i="6"/>
  <c r="D687" i="6"/>
  <c r="O686" i="6"/>
  <c r="B686" i="6"/>
  <c r="N685" i="6"/>
  <c r="A685" i="6"/>
  <c r="L684" i="6"/>
  <c r="R683" i="6"/>
  <c r="H683" i="6"/>
  <c r="R682" i="6"/>
  <c r="E682" i="6"/>
  <c r="P681" i="6"/>
  <c r="E681" i="6"/>
  <c r="P680" i="6"/>
  <c r="C680" i="6"/>
  <c r="N679" i="6"/>
  <c r="A679" i="6"/>
  <c r="L678" i="6"/>
  <c r="R677" i="6"/>
  <c r="E677" i="6"/>
  <c r="P676" i="6"/>
  <c r="C676" i="6"/>
  <c r="N675" i="6"/>
  <c r="A675" i="6"/>
  <c r="L674" i="6"/>
  <c r="R673" i="6"/>
  <c r="E673" i="6"/>
  <c r="P672" i="6"/>
  <c r="C672" i="6"/>
  <c r="N671" i="6"/>
  <c r="A671" i="6"/>
  <c r="L670" i="6"/>
  <c r="S669" i="6"/>
  <c r="H669" i="6"/>
  <c r="Q668" i="6"/>
  <c r="D668" i="6"/>
  <c r="O667" i="6"/>
  <c r="B667" i="6"/>
  <c r="M666" i="6"/>
  <c r="S665" i="6"/>
  <c r="H665" i="6"/>
  <c r="Q664" i="6"/>
  <c r="D664" i="6"/>
  <c r="O663" i="6"/>
  <c r="B663" i="6"/>
  <c r="M662" i="6"/>
  <c r="A662" i="6"/>
  <c r="L661" i="6"/>
  <c r="R660" i="6"/>
  <c r="E660" i="6"/>
  <c r="P659" i="6"/>
  <c r="C659" i="6"/>
  <c r="N658" i="6"/>
  <c r="A658" i="6"/>
  <c r="L657" i="6"/>
  <c r="R656" i="6"/>
  <c r="E656" i="6"/>
  <c r="P655" i="6"/>
  <c r="C655" i="6"/>
  <c r="I797" i="6"/>
  <c r="L796" i="6"/>
  <c r="P795" i="6"/>
  <c r="B795" i="6"/>
  <c r="L794" i="6"/>
  <c r="S793" i="6"/>
  <c r="I793" i="6"/>
  <c r="R792" i="6"/>
  <c r="H792" i="6"/>
  <c r="Q791" i="6"/>
  <c r="E791" i="6"/>
  <c r="P790" i="6"/>
  <c r="E790" i="6"/>
  <c r="Q789" i="6"/>
  <c r="G789" i="6"/>
  <c r="Q788" i="6"/>
  <c r="E788" i="6"/>
  <c r="P787" i="6"/>
  <c r="D787" i="6"/>
  <c r="O786" i="6"/>
  <c r="C786" i="6"/>
  <c r="N785" i="6"/>
  <c r="B785" i="6"/>
  <c r="M784" i="6"/>
  <c r="A784" i="6"/>
  <c r="L783" i="6"/>
  <c r="S782" i="6"/>
  <c r="I782" i="6"/>
  <c r="R781" i="6"/>
  <c r="H781" i="6"/>
  <c r="Q780" i="6"/>
  <c r="E780" i="6"/>
  <c r="P779" i="6"/>
  <c r="D779" i="6"/>
  <c r="O778" i="6"/>
  <c r="C778" i="6"/>
  <c r="N777" i="6"/>
  <c r="B777" i="6"/>
  <c r="M776" i="6"/>
  <c r="A776" i="6"/>
  <c r="L775" i="6"/>
  <c r="S774" i="6"/>
  <c r="I774" i="6"/>
  <c r="R773" i="6"/>
  <c r="H773" i="6"/>
  <c r="Q772" i="6"/>
  <c r="E772" i="6"/>
  <c r="P771" i="6"/>
  <c r="E771" i="6"/>
  <c r="P770" i="6"/>
  <c r="D770" i="6"/>
  <c r="O769" i="6"/>
  <c r="C769" i="6"/>
  <c r="N768" i="6"/>
  <c r="B768" i="6"/>
  <c r="M767" i="6"/>
  <c r="S766" i="6"/>
  <c r="H766" i="6"/>
  <c r="Q765" i="6"/>
  <c r="D765" i="6"/>
  <c r="O764" i="6"/>
  <c r="B764" i="6"/>
  <c r="M763" i="6"/>
  <c r="S762" i="6"/>
  <c r="H762" i="6"/>
  <c r="Q761" i="6"/>
  <c r="D761" i="6"/>
  <c r="O760" i="6"/>
  <c r="B760" i="6"/>
  <c r="M759" i="6"/>
  <c r="S758" i="6"/>
  <c r="H758" i="6"/>
  <c r="Q757" i="6"/>
  <c r="D757" i="6"/>
  <c r="O756" i="6"/>
  <c r="B756" i="6"/>
  <c r="M755" i="6"/>
  <c r="S754" i="6"/>
  <c r="H754" i="6"/>
  <c r="Q753" i="6"/>
  <c r="D753" i="6"/>
  <c r="O752" i="6"/>
  <c r="B752" i="6"/>
  <c r="M751" i="6"/>
  <c r="S750" i="6"/>
  <c r="H750" i="6"/>
  <c r="Q749" i="6"/>
  <c r="D749" i="6"/>
  <c r="O748" i="6"/>
  <c r="B748" i="6"/>
  <c r="M747" i="6"/>
  <c r="S746" i="6"/>
  <c r="H746" i="6"/>
  <c r="Q745" i="6"/>
  <c r="D745" i="6"/>
  <c r="O744" i="6"/>
  <c r="B744" i="6"/>
  <c r="M743" i="6"/>
  <c r="S742" i="6"/>
  <c r="H742" i="6"/>
  <c r="Q741" i="6"/>
  <c r="D741" i="6"/>
  <c r="O740" i="6"/>
  <c r="B740" i="6"/>
  <c r="M739" i="6"/>
  <c r="S738" i="6"/>
  <c r="H738" i="6"/>
  <c r="Q737" i="6"/>
  <c r="D737" i="6"/>
  <c r="O736" i="6"/>
  <c r="B736" i="6"/>
  <c r="M735" i="6"/>
  <c r="S734" i="6"/>
  <c r="H734" i="6"/>
  <c r="Q733" i="6"/>
  <c r="D733" i="6"/>
  <c r="O732" i="6"/>
  <c r="B732" i="6"/>
  <c r="M731" i="6"/>
  <c r="S730" i="6"/>
  <c r="H730" i="6"/>
  <c r="Q729" i="6"/>
  <c r="D729" i="6"/>
  <c r="O728" i="6"/>
  <c r="B728" i="6"/>
  <c r="M727" i="6"/>
  <c r="S726" i="6"/>
  <c r="H726" i="6"/>
  <c r="Q725" i="6"/>
  <c r="D725" i="6"/>
  <c r="O724" i="6"/>
  <c r="B724" i="6"/>
  <c r="M723" i="6"/>
  <c r="S722" i="6"/>
  <c r="H722" i="6"/>
  <c r="R721" i="6"/>
  <c r="E721" i="6"/>
  <c r="Q720" i="6"/>
  <c r="D720" i="6"/>
  <c r="P719" i="6"/>
  <c r="E719" i="6"/>
  <c r="Q718" i="6"/>
  <c r="D718" i="6"/>
  <c r="O717" i="6"/>
  <c r="B717" i="6"/>
  <c r="M716" i="6"/>
  <c r="S715" i="6"/>
  <c r="H715" i="6"/>
  <c r="Q714" i="6"/>
  <c r="D714" i="6"/>
  <c r="O713" i="6"/>
  <c r="B713" i="6"/>
  <c r="M712" i="6"/>
  <c r="S711" i="6"/>
  <c r="H711" i="6"/>
  <c r="Q710" i="6"/>
  <c r="D710" i="6"/>
  <c r="O709" i="6"/>
  <c r="B709" i="6"/>
  <c r="M708" i="6"/>
  <c r="B708" i="6"/>
  <c r="M707" i="6"/>
  <c r="S706" i="6"/>
  <c r="H706" i="6"/>
  <c r="Q705" i="6"/>
  <c r="D705" i="6"/>
  <c r="O704" i="6"/>
  <c r="B704" i="6"/>
  <c r="M703" i="6"/>
  <c r="S702" i="6"/>
  <c r="H702" i="6"/>
  <c r="Q701" i="6"/>
  <c r="E701" i="6"/>
  <c r="Q700" i="6"/>
  <c r="D700" i="6"/>
  <c r="O699" i="6"/>
  <c r="C699" i="6"/>
  <c r="N698" i="6"/>
  <c r="A698" i="6"/>
  <c r="L697" i="6"/>
  <c r="R696" i="6"/>
  <c r="E696" i="6"/>
  <c r="P695" i="6"/>
  <c r="C695" i="6"/>
  <c r="N694" i="6"/>
  <c r="A694" i="6"/>
  <c r="L693" i="6"/>
  <c r="R692" i="6"/>
  <c r="E692" i="6"/>
  <c r="P691" i="6"/>
  <c r="C691" i="6"/>
  <c r="N690" i="6"/>
  <c r="A690" i="6"/>
  <c r="L689" i="6"/>
  <c r="R688" i="6"/>
  <c r="E688" i="6"/>
  <c r="P687" i="6"/>
  <c r="C687" i="6"/>
  <c r="N686" i="6"/>
  <c r="A686" i="6"/>
  <c r="M685" i="6"/>
  <c r="S684" i="6"/>
  <c r="H684" i="6"/>
  <c r="Q683" i="6"/>
  <c r="F683" i="6"/>
  <c r="Q682" i="6"/>
  <c r="D682" i="6"/>
  <c r="O681" i="6"/>
  <c r="D681" i="6"/>
  <c r="O680" i="6"/>
  <c r="B680" i="6"/>
  <c r="M679" i="6"/>
  <c r="S678" i="6"/>
  <c r="H678" i="6"/>
  <c r="Q677" i="6"/>
  <c r="D677" i="6"/>
  <c r="O676" i="6"/>
  <c r="B676" i="6"/>
  <c r="M675" i="6"/>
  <c r="S674" i="6"/>
  <c r="H674" i="6"/>
  <c r="Q673" i="6"/>
  <c r="D673" i="6"/>
  <c r="O672" i="6"/>
  <c r="B672" i="6"/>
  <c r="M671" i="6"/>
  <c r="S670" i="6"/>
  <c r="H670" i="6"/>
  <c r="R669" i="6"/>
  <c r="E669" i="6"/>
  <c r="P668" i="6"/>
  <c r="C668" i="6"/>
  <c r="N667" i="6"/>
  <c r="A667" i="6"/>
  <c r="L666" i="6"/>
  <c r="R665" i="6"/>
  <c r="E665" i="6"/>
  <c r="P664" i="6"/>
  <c r="C664" i="6"/>
  <c r="N663" i="6"/>
  <c r="A663" i="6"/>
  <c r="L662" i="6"/>
  <c r="S661" i="6"/>
  <c r="H661" i="6"/>
  <c r="Q660" i="6"/>
  <c r="D660" i="6"/>
  <c r="O659" i="6"/>
  <c r="B659" i="6"/>
  <c r="M658" i="6"/>
  <c r="S657" i="6"/>
  <c r="H657" i="6"/>
  <c r="Q656" i="6"/>
  <c r="D656" i="6"/>
  <c r="O655" i="6"/>
  <c r="B655" i="6"/>
  <c r="M654" i="6"/>
  <c r="S653" i="6"/>
  <c r="H653" i="6"/>
  <c r="Q652" i="6"/>
  <c r="H797" i="6"/>
  <c r="I796" i="6"/>
  <c r="O795" i="6"/>
  <c r="S794" i="6"/>
  <c r="I794" i="6"/>
  <c r="R793" i="6"/>
  <c r="H793" i="6"/>
  <c r="Q792" i="6"/>
  <c r="E792" i="6"/>
  <c r="P791" i="6"/>
  <c r="D791" i="6"/>
  <c r="O790" i="6"/>
  <c r="D790" i="6"/>
  <c r="P789" i="6"/>
  <c r="E789" i="6"/>
  <c r="P788" i="6"/>
  <c r="D788" i="6"/>
  <c r="O787" i="6"/>
  <c r="C787" i="6"/>
  <c r="N786" i="6"/>
  <c r="B786" i="6"/>
  <c r="M785" i="6"/>
  <c r="A785" i="6"/>
  <c r="L784" i="6"/>
  <c r="S783" i="6"/>
  <c r="I783" i="6"/>
  <c r="R782" i="6"/>
  <c r="H782" i="6"/>
  <c r="Q781" i="6"/>
  <c r="E781" i="6"/>
  <c r="P780" i="6"/>
  <c r="D780" i="6"/>
  <c r="O779" i="6"/>
  <c r="C779" i="6"/>
  <c r="N778" i="6"/>
  <c r="B778" i="6"/>
  <c r="M777" i="6"/>
  <c r="A777" i="6"/>
  <c r="L776" i="6"/>
  <c r="S775" i="6"/>
  <c r="I775" i="6"/>
  <c r="R774" i="6"/>
  <c r="H774" i="6"/>
  <c r="Q773" i="6"/>
  <c r="E773" i="6"/>
  <c r="P772" i="6"/>
  <c r="D772" i="6"/>
  <c r="O771" i="6"/>
  <c r="D771" i="6"/>
  <c r="O770" i="6"/>
  <c r="C770" i="6"/>
  <c r="N769" i="6"/>
  <c r="B769" i="6"/>
  <c r="M768" i="6"/>
  <c r="A768" i="6"/>
  <c r="L767" i="6"/>
  <c r="R766" i="6"/>
  <c r="E766" i="6"/>
  <c r="P765" i="6"/>
  <c r="C765" i="6"/>
  <c r="N764" i="6"/>
  <c r="A764" i="6"/>
  <c r="L763" i="6"/>
  <c r="R762" i="6"/>
  <c r="E762" i="6"/>
  <c r="P761" i="6"/>
  <c r="C761" i="6"/>
  <c r="N760" i="6"/>
  <c r="A760" i="6"/>
  <c r="L759" i="6"/>
  <c r="R758" i="6"/>
  <c r="E758" i="6"/>
  <c r="P757" i="6"/>
  <c r="C757" i="6"/>
  <c r="N756" i="6"/>
  <c r="A756" i="6"/>
  <c r="L755" i="6"/>
  <c r="R754" i="6"/>
  <c r="E754" i="6"/>
  <c r="P753" i="6"/>
  <c r="C753" i="6"/>
  <c r="N752" i="6"/>
  <c r="A752" i="6"/>
  <c r="L751" i="6"/>
  <c r="R750" i="6"/>
  <c r="E750" i="6"/>
  <c r="P749" i="6"/>
  <c r="C749" i="6"/>
  <c r="N748" i="6"/>
  <c r="A748" i="6"/>
  <c r="L747" i="6"/>
  <c r="R746" i="6"/>
  <c r="E746" i="6"/>
  <c r="P745" i="6"/>
  <c r="C745" i="6"/>
  <c r="N744" i="6"/>
  <c r="A744" i="6"/>
  <c r="L743" i="6"/>
  <c r="R742" i="6"/>
  <c r="E742" i="6"/>
  <c r="P741" i="6"/>
  <c r="C741" i="6"/>
  <c r="N740" i="6"/>
  <c r="A740" i="6"/>
  <c r="L739" i="6"/>
  <c r="R738" i="6"/>
  <c r="E738" i="6"/>
  <c r="P737" i="6"/>
  <c r="C737" i="6"/>
  <c r="N736" i="6"/>
  <c r="A736" i="6"/>
  <c r="L735" i="6"/>
  <c r="R734" i="6"/>
  <c r="E734" i="6"/>
  <c r="P733" i="6"/>
  <c r="C733" i="6"/>
  <c r="N732" i="6"/>
  <c r="A732" i="6"/>
  <c r="L731" i="6"/>
  <c r="R730" i="6"/>
  <c r="E730" i="6"/>
  <c r="P729" i="6"/>
  <c r="C729" i="6"/>
  <c r="N728" i="6"/>
  <c r="A728" i="6"/>
  <c r="L727" i="6"/>
  <c r="R726" i="6"/>
  <c r="E726" i="6"/>
  <c r="P725" i="6"/>
  <c r="C725" i="6"/>
  <c r="N724" i="6"/>
  <c r="A724" i="6"/>
  <c r="L723" i="6"/>
  <c r="R722" i="6"/>
  <c r="E722" i="6"/>
  <c r="Q721" i="6"/>
  <c r="D721" i="6"/>
  <c r="P720" i="6"/>
  <c r="C720" i="6"/>
  <c r="O719" i="6"/>
  <c r="D719" i="6"/>
  <c r="P718" i="6"/>
  <c r="C718" i="6"/>
  <c r="N717" i="6"/>
  <c r="A717" i="6"/>
  <c r="L716" i="6"/>
  <c r="R715" i="6"/>
  <c r="E715" i="6"/>
  <c r="P714" i="6"/>
  <c r="C714" i="6"/>
  <c r="N713" i="6"/>
  <c r="A713" i="6"/>
  <c r="L712" i="6"/>
  <c r="R711" i="6"/>
  <c r="E711" i="6"/>
  <c r="P710" i="6"/>
  <c r="C710" i="6"/>
  <c r="N709" i="6"/>
  <c r="A709" i="6"/>
  <c r="L708" i="6"/>
  <c r="A708" i="6"/>
  <c r="L707" i="6"/>
  <c r="R706" i="6"/>
  <c r="E706" i="6"/>
  <c r="P705" i="6"/>
  <c r="C705" i="6"/>
  <c r="N704" i="6"/>
  <c r="A704" i="6"/>
  <c r="L703" i="6"/>
  <c r="R702" i="6"/>
  <c r="E702" i="6"/>
  <c r="P701" i="6"/>
  <c r="D701" i="6"/>
  <c r="P700" i="6"/>
  <c r="C700" i="6"/>
  <c r="N699" i="6"/>
  <c r="B699" i="6"/>
  <c r="M698" i="6"/>
  <c r="S697" i="6"/>
  <c r="H697" i="6"/>
  <c r="Q696" i="6"/>
  <c r="D696" i="6"/>
  <c r="O695" i="6"/>
  <c r="B695" i="6"/>
  <c r="M694" i="6"/>
  <c r="S693" i="6"/>
  <c r="H693" i="6"/>
  <c r="Q692" i="6"/>
  <c r="D692" i="6"/>
  <c r="O691" i="6"/>
  <c r="B691" i="6"/>
  <c r="M690" i="6"/>
  <c r="S689" i="6"/>
  <c r="H689" i="6"/>
  <c r="Q688" i="6"/>
  <c r="D688" i="6"/>
  <c r="O687" i="6"/>
  <c r="B687" i="6"/>
  <c r="M686" i="6"/>
  <c r="T685" i="6"/>
  <c r="L685" i="6"/>
  <c r="R684" i="6"/>
  <c r="E684" i="6"/>
  <c r="P683" i="6"/>
  <c r="E683" i="6"/>
  <c r="P682" i="6"/>
  <c r="C682" i="6"/>
  <c r="N681" i="6"/>
  <c r="C681" i="6"/>
  <c r="N680" i="6"/>
  <c r="A680" i="6"/>
  <c r="L679" i="6"/>
  <c r="R678" i="6"/>
  <c r="E678" i="6"/>
  <c r="P677" i="6"/>
  <c r="C677" i="6"/>
  <c r="N676" i="6"/>
  <c r="A676" i="6"/>
  <c r="L675" i="6"/>
  <c r="R674" i="6"/>
  <c r="E674" i="6"/>
  <c r="P673" i="6"/>
  <c r="C673" i="6"/>
  <c r="N672" i="6"/>
  <c r="A672" i="6"/>
  <c r="L671" i="6"/>
  <c r="R670" i="6"/>
  <c r="G670" i="6"/>
  <c r="Q669" i="6"/>
  <c r="D669" i="6"/>
  <c r="O668" i="6"/>
  <c r="B668" i="6"/>
  <c r="M667" i="6"/>
  <c r="S666" i="6"/>
  <c r="H666" i="6"/>
  <c r="Q665" i="6"/>
  <c r="D665" i="6"/>
  <c r="O664" i="6"/>
  <c r="B664" i="6"/>
  <c r="M663" i="6"/>
  <c r="S662" i="6"/>
  <c r="I662" i="6"/>
  <c r="R661" i="6"/>
  <c r="E661" i="6"/>
  <c r="P660" i="6"/>
  <c r="C660" i="6"/>
  <c r="N659" i="6"/>
  <c r="A659" i="6"/>
  <c r="L658" i="6"/>
  <c r="R657" i="6"/>
  <c r="E657" i="6"/>
  <c r="P656" i="6"/>
  <c r="C656" i="6"/>
  <c r="N655" i="6"/>
  <c r="A655" i="6"/>
  <c r="B797" i="6"/>
  <c r="H796" i="6"/>
  <c r="L795" i="6"/>
  <c r="R794" i="6"/>
  <c r="H794" i="6"/>
  <c r="Q793" i="6"/>
  <c r="E793" i="6"/>
  <c r="P792" i="6"/>
  <c r="D792" i="6"/>
  <c r="O791" i="6"/>
  <c r="C791" i="6"/>
  <c r="N790" i="6"/>
  <c r="C790" i="6"/>
  <c r="O789" i="6"/>
  <c r="D789" i="6"/>
  <c r="O788" i="6"/>
  <c r="C788" i="6"/>
  <c r="N787" i="6"/>
  <c r="B787" i="6"/>
  <c r="M786" i="6"/>
  <c r="A786" i="6"/>
  <c r="L785" i="6"/>
  <c r="S784" i="6"/>
  <c r="I784" i="6"/>
  <c r="R783" i="6"/>
  <c r="H783" i="6"/>
  <c r="Q782" i="6"/>
  <c r="E782" i="6"/>
  <c r="P781" i="6"/>
  <c r="D781" i="6"/>
  <c r="O780" i="6"/>
  <c r="C780" i="6"/>
  <c r="N779" i="6"/>
  <c r="B779" i="6"/>
  <c r="M778" i="6"/>
  <c r="A778" i="6"/>
  <c r="L777" i="6"/>
  <c r="S776" i="6"/>
  <c r="I776" i="6"/>
  <c r="R775" i="6"/>
  <c r="H775" i="6"/>
  <c r="Q774" i="6"/>
  <c r="E774" i="6"/>
  <c r="P773" i="6"/>
  <c r="D773" i="6"/>
  <c r="O772" i="6"/>
  <c r="C772" i="6"/>
  <c r="N771" i="6"/>
  <c r="C771" i="6"/>
  <c r="N770" i="6"/>
  <c r="B770" i="6"/>
  <c r="M769" i="6"/>
  <c r="A769" i="6"/>
  <c r="L768" i="6"/>
  <c r="S767" i="6"/>
  <c r="H767" i="6"/>
  <c r="Q766" i="6"/>
  <c r="D766" i="6"/>
  <c r="O765" i="6"/>
  <c r="B765" i="6"/>
  <c r="M764" i="6"/>
  <c r="S763" i="6"/>
  <c r="H763" i="6"/>
  <c r="Q762" i="6"/>
  <c r="D762" i="6"/>
  <c r="O761" i="6"/>
  <c r="B761" i="6"/>
  <c r="M760" i="6"/>
  <c r="S759" i="6"/>
  <c r="H759" i="6"/>
  <c r="Q758" i="6"/>
  <c r="D758" i="6"/>
  <c r="O757" i="6"/>
  <c r="B757" i="6"/>
  <c r="M756" i="6"/>
  <c r="S755" i="6"/>
  <c r="H755" i="6"/>
  <c r="Q754" i="6"/>
  <c r="D754" i="6"/>
  <c r="O753" i="6"/>
  <c r="B753" i="6"/>
  <c r="M752" i="6"/>
  <c r="S751" i="6"/>
  <c r="H751" i="6"/>
  <c r="Q750" i="6"/>
  <c r="D750" i="6"/>
  <c r="O749" i="6"/>
  <c r="B749" i="6"/>
  <c r="M748" i="6"/>
  <c r="S747" i="6"/>
  <c r="H747" i="6"/>
  <c r="Q746" i="6"/>
  <c r="D746" i="6"/>
  <c r="O745" i="6"/>
  <c r="B745" i="6"/>
  <c r="M744" i="6"/>
  <c r="S743" i="6"/>
  <c r="H743" i="6"/>
  <c r="Q742" i="6"/>
  <c r="D742" i="6"/>
  <c r="O741" i="6"/>
  <c r="B741" i="6"/>
  <c r="M740" i="6"/>
  <c r="S739" i="6"/>
  <c r="H739" i="6"/>
  <c r="Q738" i="6"/>
  <c r="D738" i="6"/>
  <c r="O737" i="6"/>
  <c r="B737" i="6"/>
  <c r="M736" i="6"/>
  <c r="S735" i="6"/>
  <c r="H735" i="6"/>
  <c r="Q734" i="6"/>
  <c r="D734" i="6"/>
  <c r="O733" i="6"/>
  <c r="B733" i="6"/>
  <c r="M732" i="6"/>
  <c r="S731" i="6"/>
  <c r="H731" i="6"/>
  <c r="Q730" i="6"/>
  <c r="D730" i="6"/>
  <c r="O729" i="6"/>
  <c r="B729" i="6"/>
  <c r="M728" i="6"/>
  <c r="S727" i="6"/>
  <c r="H727" i="6"/>
  <c r="Q726" i="6"/>
  <c r="D726" i="6"/>
  <c r="O725" i="6"/>
  <c r="B725" i="6"/>
  <c r="M724" i="6"/>
  <c r="S723" i="6"/>
  <c r="H723" i="6"/>
  <c r="Q722" i="6"/>
  <c r="D722" i="6"/>
  <c r="P721" i="6"/>
  <c r="C721" i="6"/>
  <c r="O720" i="6"/>
  <c r="B720" i="6"/>
  <c r="N719" i="6"/>
  <c r="C719" i="6"/>
  <c r="O718" i="6"/>
  <c r="B718" i="6"/>
  <c r="M717" i="6"/>
  <c r="S716" i="6"/>
  <c r="H716" i="6"/>
  <c r="Q715" i="6"/>
  <c r="D715" i="6"/>
  <c r="O714" i="6"/>
  <c r="B714" i="6"/>
  <c r="M713" i="6"/>
  <c r="S712" i="6"/>
  <c r="H712" i="6"/>
  <c r="Q711" i="6"/>
  <c r="D711" i="6"/>
  <c r="O710" i="6"/>
  <c r="B710" i="6"/>
  <c r="M709" i="6"/>
  <c r="S708" i="6"/>
  <c r="I708" i="6"/>
  <c r="S707" i="6"/>
  <c r="H707" i="6"/>
  <c r="Q706" i="6"/>
  <c r="D706" i="6"/>
  <c r="O705" i="6"/>
  <c r="B705" i="6"/>
  <c r="M704" i="6"/>
  <c r="S703" i="6"/>
  <c r="H703" i="6"/>
  <c r="Q702" i="6"/>
  <c r="D702" i="6"/>
  <c r="O701" i="6"/>
  <c r="C701" i="6"/>
  <c r="O700" i="6"/>
  <c r="B700" i="6"/>
  <c r="M699" i="6"/>
  <c r="A699" i="6"/>
  <c r="L698" i="6"/>
  <c r="R697" i="6"/>
  <c r="E697" i="6"/>
  <c r="P696" i="6"/>
  <c r="C696" i="6"/>
  <c r="N695" i="6"/>
  <c r="A695" i="6"/>
  <c r="L694" i="6"/>
  <c r="R693" i="6"/>
  <c r="E693" i="6"/>
  <c r="P692" i="6"/>
  <c r="C692" i="6"/>
  <c r="N691" i="6"/>
  <c r="A691" i="6"/>
  <c r="L690" i="6"/>
  <c r="R689" i="6"/>
  <c r="E689" i="6"/>
  <c r="P688" i="6"/>
  <c r="C688" i="6"/>
  <c r="N687" i="6"/>
  <c r="A687" i="6"/>
  <c r="L686" i="6"/>
  <c r="S685" i="6"/>
  <c r="H685" i="6"/>
  <c r="Q684" i="6"/>
  <c r="D684" i="6"/>
  <c r="O683" i="6"/>
  <c r="D683" i="6"/>
  <c r="O682" i="6"/>
  <c r="B682" i="6"/>
  <c r="M681" i="6"/>
  <c r="B681" i="6"/>
  <c r="M680" i="6"/>
  <c r="S679" i="6"/>
  <c r="H679" i="6"/>
  <c r="Q678" i="6"/>
  <c r="D678" i="6"/>
  <c r="O677" i="6"/>
  <c r="B677" i="6"/>
  <c r="M676" i="6"/>
  <c r="S675" i="6"/>
  <c r="H675" i="6"/>
  <c r="Q674" i="6"/>
  <c r="D674" i="6"/>
  <c r="O673" i="6"/>
  <c r="B673" i="6"/>
  <c r="M672" i="6"/>
  <c r="S671" i="6"/>
  <c r="H671" i="6"/>
  <c r="Q670" i="6"/>
  <c r="E670" i="6"/>
  <c r="P669" i="6"/>
  <c r="C669" i="6"/>
  <c r="N668" i="6"/>
  <c r="A668" i="6"/>
  <c r="L667" i="6"/>
  <c r="R666" i="6"/>
  <c r="E666" i="6"/>
  <c r="P665" i="6"/>
  <c r="C665" i="6"/>
  <c r="N664" i="6"/>
  <c r="A664" i="6"/>
  <c r="L663" i="6"/>
  <c r="R662" i="6"/>
  <c r="H662" i="6"/>
  <c r="Q661" i="6"/>
  <c r="D661" i="6"/>
  <c r="O660" i="6"/>
  <c r="B660" i="6"/>
  <c r="M659" i="6"/>
  <c r="S658" i="6"/>
  <c r="H658" i="6"/>
  <c r="Q657" i="6"/>
  <c r="D657" i="6"/>
  <c r="O656" i="6"/>
  <c r="B656" i="6"/>
  <c r="M655" i="6"/>
  <c r="S654" i="6"/>
  <c r="A656" i="6"/>
  <c r="Q654" i="6"/>
  <c r="C654" i="6"/>
  <c r="M653" i="6"/>
  <c r="R652" i="6"/>
  <c r="D652" i="6"/>
  <c r="O651" i="6"/>
  <c r="B651" i="6"/>
  <c r="M650" i="6"/>
  <c r="S649" i="6"/>
  <c r="H649" i="6"/>
  <c r="Q648" i="6"/>
  <c r="D648" i="6"/>
  <c r="O647" i="6"/>
  <c r="B647" i="6"/>
  <c r="M646" i="6"/>
  <c r="S645" i="6"/>
  <c r="H645" i="6"/>
  <c r="Q644" i="6"/>
  <c r="D644" i="6"/>
  <c r="O643" i="6"/>
  <c r="B643" i="6"/>
  <c r="M642" i="6"/>
  <c r="S641" i="6"/>
  <c r="H641" i="6"/>
  <c r="Q640" i="6"/>
  <c r="D640" i="6"/>
  <c r="O639" i="6"/>
  <c r="B639" i="6"/>
  <c r="M638" i="6"/>
  <c r="S637" i="6"/>
  <c r="H637" i="6"/>
  <c r="Q636" i="6"/>
  <c r="D636" i="6"/>
  <c r="O635" i="6"/>
  <c r="B635" i="6"/>
  <c r="M634" i="6"/>
  <c r="S633" i="6"/>
  <c r="H633" i="6"/>
  <c r="Q632" i="6"/>
  <c r="D632" i="6"/>
  <c r="O631" i="6"/>
  <c r="B631" i="6"/>
  <c r="M630" i="6"/>
  <c r="S629" i="6"/>
  <c r="H629" i="6"/>
  <c r="Q628" i="6"/>
  <c r="D628" i="6"/>
  <c r="O627" i="6"/>
  <c r="B627" i="6"/>
  <c r="M626" i="6"/>
  <c r="S625" i="6"/>
  <c r="H625" i="6"/>
  <c r="Q624" i="6"/>
  <c r="F624" i="6"/>
  <c r="Q623" i="6"/>
  <c r="D623" i="6"/>
  <c r="O622" i="6"/>
  <c r="B622" i="6"/>
  <c r="M621" i="6"/>
  <c r="A621" i="6"/>
  <c r="L620" i="6"/>
  <c r="R619" i="6"/>
  <c r="E619" i="6"/>
  <c r="P618" i="6"/>
  <c r="C618" i="6"/>
  <c r="N617" i="6"/>
  <c r="A617" i="6"/>
  <c r="L616" i="6"/>
  <c r="R615" i="6"/>
  <c r="E615" i="6"/>
  <c r="P614" i="6"/>
  <c r="C614" i="6"/>
  <c r="N613" i="6"/>
  <c r="A613" i="6"/>
  <c r="L612" i="6"/>
  <c r="R611" i="6"/>
  <c r="E611" i="6"/>
  <c r="P610" i="6"/>
  <c r="C610" i="6"/>
  <c r="N609" i="6"/>
  <c r="A609" i="6"/>
  <c r="L608" i="6"/>
  <c r="R607" i="6"/>
  <c r="E607" i="6"/>
  <c r="P606" i="6"/>
  <c r="C606" i="6"/>
  <c r="N605" i="6"/>
  <c r="A605" i="6"/>
  <c r="L604" i="6"/>
  <c r="R603" i="6"/>
  <c r="E603" i="6"/>
  <c r="P602" i="6"/>
  <c r="C602" i="6"/>
  <c r="O601" i="6"/>
  <c r="B601" i="6"/>
  <c r="M600" i="6"/>
  <c r="S599" i="6"/>
  <c r="H599" i="6"/>
  <c r="R598" i="6"/>
  <c r="E598" i="6"/>
  <c r="Q597" i="6"/>
  <c r="D597" i="6"/>
  <c r="P596" i="6"/>
  <c r="C596" i="6"/>
  <c r="O595" i="6"/>
  <c r="B595" i="6"/>
  <c r="N594" i="6"/>
  <c r="A594" i="6"/>
  <c r="L593" i="6"/>
  <c r="R592" i="6"/>
  <c r="E592" i="6"/>
  <c r="Q591" i="6"/>
  <c r="D591" i="6"/>
  <c r="P590" i="6"/>
  <c r="C590" i="6"/>
  <c r="O589" i="6"/>
  <c r="B589" i="6"/>
  <c r="N588" i="6"/>
  <c r="B588" i="6"/>
  <c r="N587" i="6"/>
  <c r="A587" i="6"/>
  <c r="M586" i="6"/>
  <c r="T585" i="6"/>
  <c r="L585" i="6"/>
  <c r="S584" i="6"/>
  <c r="H584" i="6"/>
  <c r="R583" i="6"/>
  <c r="H583" i="6"/>
  <c r="R582" i="6"/>
  <c r="E582" i="6"/>
  <c r="Q581" i="6"/>
  <c r="G581" i="6"/>
  <c r="R580" i="6"/>
  <c r="E580" i="6"/>
  <c r="Q579" i="6"/>
  <c r="D579" i="6"/>
  <c r="O578" i="6"/>
  <c r="C578" i="6"/>
  <c r="O577" i="6"/>
  <c r="C577" i="6"/>
  <c r="O576" i="6"/>
  <c r="C576" i="6"/>
  <c r="O575" i="6"/>
  <c r="B575" i="6"/>
  <c r="N574" i="6"/>
  <c r="A574" i="6"/>
  <c r="M573" i="6"/>
  <c r="T572" i="6"/>
  <c r="L572" i="6"/>
  <c r="S571" i="6"/>
  <c r="H571" i="6"/>
  <c r="R570" i="6"/>
  <c r="E570" i="6"/>
  <c r="Q569" i="6"/>
  <c r="D569" i="6"/>
  <c r="P568" i="6"/>
  <c r="C568" i="6"/>
  <c r="O567" i="6"/>
  <c r="B567" i="6"/>
  <c r="N566" i="6"/>
  <c r="A566" i="6"/>
  <c r="M565" i="6"/>
  <c r="T564" i="6"/>
  <c r="L564" i="6"/>
  <c r="S563" i="6"/>
  <c r="H563" i="6"/>
  <c r="R562" i="6"/>
  <c r="E562" i="6"/>
  <c r="Q561" i="6"/>
  <c r="D561" i="6"/>
  <c r="P560" i="6"/>
  <c r="D560" i="6"/>
  <c r="P559" i="6"/>
  <c r="D559" i="6"/>
  <c r="P558" i="6"/>
  <c r="D558" i="6"/>
  <c r="P557" i="6"/>
  <c r="D557" i="6"/>
  <c r="P556" i="6"/>
  <c r="D556" i="6"/>
  <c r="P555" i="6"/>
  <c r="E555" i="6"/>
  <c r="Q554" i="6"/>
  <c r="G554" i="6"/>
  <c r="R553" i="6"/>
  <c r="F553" i="6"/>
  <c r="R552" i="6"/>
  <c r="H552" i="6"/>
  <c r="S551" i="6"/>
  <c r="H551" i="6"/>
  <c r="S550" i="6"/>
  <c r="I550" i="6"/>
  <c r="T549" i="6"/>
  <c r="L549" i="6"/>
  <c r="T548" i="6"/>
  <c r="L548" i="6"/>
  <c r="A548" i="6"/>
  <c r="M547" i="6"/>
  <c r="A547" i="6"/>
  <c r="M546" i="6"/>
  <c r="A546" i="6"/>
  <c r="M545" i="6"/>
  <c r="A545" i="6"/>
  <c r="M544" i="6"/>
  <c r="A544" i="6"/>
  <c r="M543" i="6"/>
  <c r="A543" i="6"/>
  <c r="M542" i="6"/>
  <c r="A542" i="6"/>
  <c r="M541" i="6"/>
  <c r="A541" i="6"/>
  <c r="M540" i="6"/>
  <c r="A540" i="6"/>
  <c r="M539" i="6"/>
  <c r="B539" i="6"/>
  <c r="N538" i="6"/>
  <c r="B538" i="6"/>
  <c r="N537" i="6"/>
  <c r="B537" i="6"/>
  <c r="N536" i="6"/>
  <c r="B536" i="6"/>
  <c r="N535" i="6"/>
  <c r="B535" i="6"/>
  <c r="N534" i="6"/>
  <c r="C534" i="6"/>
  <c r="O533" i="6"/>
  <c r="C533" i="6"/>
  <c r="O532" i="6"/>
  <c r="C532" i="6"/>
  <c r="O531" i="6"/>
  <c r="C531" i="6"/>
  <c r="O530" i="6"/>
  <c r="C530" i="6"/>
  <c r="O529" i="6"/>
  <c r="C529" i="6"/>
  <c r="O528" i="6"/>
  <c r="C528" i="6"/>
  <c r="O527" i="6"/>
  <c r="C527" i="6"/>
  <c r="O526" i="6"/>
  <c r="C526" i="6"/>
  <c r="O525" i="6"/>
  <c r="C525" i="6"/>
  <c r="O524" i="6"/>
  <c r="C524" i="6"/>
  <c r="O523" i="6"/>
  <c r="C523" i="6"/>
  <c r="O522" i="6"/>
  <c r="C522" i="6"/>
  <c r="O521" i="6"/>
  <c r="C521" i="6"/>
  <c r="O520" i="6"/>
  <c r="C520" i="6"/>
  <c r="O519" i="6"/>
  <c r="C519" i="6"/>
  <c r="O518" i="6"/>
  <c r="C518" i="6"/>
  <c r="O517" i="6"/>
  <c r="C517" i="6"/>
  <c r="O516" i="6"/>
  <c r="C516" i="6"/>
  <c r="O515" i="6"/>
  <c r="C515" i="6"/>
  <c r="O514" i="6"/>
  <c r="C514" i="6"/>
  <c r="O513" i="6"/>
  <c r="C513" i="6"/>
  <c r="O512" i="6"/>
  <c r="C512" i="6"/>
  <c r="O511" i="6"/>
  <c r="C511" i="6"/>
  <c r="O510" i="6"/>
  <c r="C510" i="6"/>
  <c r="O509" i="6"/>
  <c r="C509" i="6"/>
  <c r="O508" i="6"/>
  <c r="C508" i="6"/>
  <c r="O507" i="6"/>
  <c r="C507" i="6"/>
  <c r="O506" i="6"/>
  <c r="C506" i="6"/>
  <c r="O505" i="6"/>
  <c r="C505" i="6"/>
  <c r="O504" i="6"/>
  <c r="C504" i="6"/>
  <c r="O503" i="6"/>
  <c r="C503" i="6"/>
  <c r="O502" i="6"/>
  <c r="C502" i="6"/>
  <c r="O501" i="6"/>
  <c r="C501" i="6"/>
  <c r="O500" i="6"/>
  <c r="C500" i="6"/>
  <c r="O499" i="6"/>
  <c r="B499" i="6"/>
  <c r="N498" i="6"/>
  <c r="B498" i="6"/>
  <c r="N497" i="6"/>
  <c r="B497" i="6"/>
  <c r="N496" i="6"/>
  <c r="B496" i="6"/>
  <c r="N495" i="6"/>
  <c r="B495" i="6"/>
  <c r="N494" i="6"/>
  <c r="B494" i="6"/>
  <c r="N493" i="6"/>
  <c r="B493" i="6"/>
  <c r="N492" i="6"/>
  <c r="B492" i="6"/>
  <c r="N491" i="6"/>
  <c r="B491" i="6"/>
  <c r="N490" i="6"/>
  <c r="B490" i="6"/>
  <c r="N489" i="6"/>
  <c r="B489" i="6"/>
  <c r="N488" i="6"/>
  <c r="A488" i="6"/>
  <c r="M487" i="6"/>
  <c r="T486" i="6"/>
  <c r="L486" i="6"/>
  <c r="S485" i="6"/>
  <c r="H485" i="6"/>
  <c r="R484" i="6"/>
  <c r="E484" i="6"/>
  <c r="Q483" i="6"/>
  <c r="D483" i="6"/>
  <c r="P482" i="6"/>
  <c r="C482" i="6"/>
  <c r="O481" i="6"/>
  <c r="B481" i="6"/>
  <c r="N480" i="6"/>
  <c r="A480" i="6"/>
  <c r="M479" i="6"/>
  <c r="T478" i="6"/>
  <c r="L478" i="6"/>
  <c r="S477" i="6"/>
  <c r="H477" i="6"/>
  <c r="R476" i="6"/>
  <c r="E476" i="6"/>
  <c r="Q475" i="6"/>
  <c r="D475" i="6"/>
  <c r="P474" i="6"/>
  <c r="C474" i="6"/>
  <c r="O473" i="6"/>
  <c r="B473" i="6"/>
  <c r="N472" i="6"/>
  <c r="A472" i="6"/>
  <c r="M471" i="6"/>
  <c r="A471" i="6"/>
  <c r="M470" i="6"/>
  <c r="T469" i="6"/>
  <c r="L469" i="6"/>
  <c r="S468" i="6"/>
  <c r="H468" i="6"/>
  <c r="R467" i="6"/>
  <c r="E467" i="6"/>
  <c r="Q466" i="6"/>
  <c r="E466" i="6"/>
  <c r="Q465" i="6"/>
  <c r="E465" i="6"/>
  <c r="Q464" i="6"/>
  <c r="D464" i="6"/>
  <c r="P463" i="6"/>
  <c r="D463" i="6"/>
  <c r="P462" i="6"/>
  <c r="D462" i="6"/>
  <c r="P461" i="6"/>
  <c r="C461" i="6"/>
  <c r="O460" i="6"/>
  <c r="B460" i="6"/>
  <c r="N459" i="6"/>
  <c r="A459" i="6"/>
  <c r="M458" i="6"/>
  <c r="T457" i="6"/>
  <c r="L457" i="6"/>
  <c r="S456" i="6"/>
  <c r="H456" i="6"/>
  <c r="R455" i="6"/>
  <c r="E455" i="6"/>
  <c r="Q454" i="6"/>
  <c r="D454" i="6"/>
  <c r="P453" i="6"/>
  <c r="C453" i="6"/>
  <c r="O452" i="6"/>
  <c r="B452" i="6"/>
  <c r="N451" i="6"/>
  <c r="A451" i="6"/>
  <c r="M450" i="6"/>
  <c r="T449" i="6"/>
  <c r="L449" i="6"/>
  <c r="S448" i="6"/>
  <c r="I448" i="6"/>
  <c r="S447" i="6"/>
  <c r="H447" i="6"/>
  <c r="R446" i="6"/>
  <c r="E446" i="6"/>
  <c r="Q445" i="6"/>
  <c r="D445" i="6"/>
  <c r="P444" i="6"/>
  <c r="C444" i="6"/>
  <c r="O443" i="6"/>
  <c r="B443" i="6"/>
  <c r="N442" i="6"/>
  <c r="A442" i="6"/>
  <c r="M441" i="6"/>
  <c r="B441" i="6"/>
  <c r="N440" i="6"/>
  <c r="B440" i="6"/>
  <c r="N439" i="6"/>
  <c r="B439" i="6"/>
  <c r="N438" i="6"/>
  <c r="B438" i="6"/>
  <c r="N437" i="6"/>
  <c r="A437" i="6"/>
  <c r="M436" i="6"/>
  <c r="A436" i="6"/>
  <c r="M435" i="6"/>
  <c r="A435" i="6"/>
  <c r="M434" i="6"/>
  <c r="A434" i="6"/>
  <c r="M433" i="6"/>
  <c r="T432" i="6"/>
  <c r="L432" i="6"/>
  <c r="T431" i="6"/>
  <c r="L431" i="6"/>
  <c r="A431" i="6"/>
  <c r="M430" i="6"/>
  <c r="T429" i="6"/>
  <c r="L429" i="6"/>
  <c r="T428" i="6"/>
  <c r="L428" i="6"/>
  <c r="S427" i="6"/>
  <c r="H427" i="6"/>
  <c r="S426" i="6"/>
  <c r="H426" i="6"/>
  <c r="R425" i="6"/>
  <c r="E425" i="6"/>
  <c r="Q424" i="6"/>
  <c r="D424" i="6"/>
  <c r="P423" i="6"/>
  <c r="E423" i="6"/>
  <c r="Q422" i="6"/>
  <c r="D422" i="6"/>
  <c r="P421" i="6"/>
  <c r="C421" i="6"/>
  <c r="O420" i="6"/>
  <c r="B420" i="6"/>
  <c r="N419" i="6"/>
  <c r="A419" i="6"/>
  <c r="M418" i="6"/>
  <c r="A418" i="6"/>
  <c r="M417" i="6"/>
  <c r="T416" i="6"/>
  <c r="L416" i="6"/>
  <c r="S415" i="6"/>
  <c r="H415" i="6"/>
  <c r="R414" i="6"/>
  <c r="E414" i="6"/>
  <c r="Q413" i="6"/>
  <c r="D413" i="6"/>
  <c r="P412" i="6"/>
  <c r="C412" i="6"/>
  <c r="O411" i="6"/>
  <c r="C411" i="6"/>
  <c r="O410" i="6"/>
  <c r="B410" i="6"/>
  <c r="N409" i="6"/>
  <c r="B409" i="6"/>
  <c r="N408" i="6"/>
  <c r="B408" i="6"/>
  <c r="N407" i="6"/>
  <c r="B407" i="6"/>
  <c r="N406" i="6"/>
  <c r="B406" i="6"/>
  <c r="N405" i="6"/>
  <c r="B405" i="6"/>
  <c r="N404" i="6"/>
  <c r="B404" i="6"/>
  <c r="N403" i="6"/>
  <c r="A403" i="6"/>
  <c r="M402" i="6"/>
  <c r="A402" i="6"/>
  <c r="M401" i="6"/>
  <c r="T400" i="6"/>
  <c r="L400" i="6"/>
  <c r="S399" i="6"/>
  <c r="H399" i="6"/>
  <c r="R398" i="6"/>
  <c r="E398" i="6"/>
  <c r="Q397" i="6"/>
  <c r="D397" i="6"/>
  <c r="P396" i="6"/>
  <c r="C396" i="6"/>
  <c r="O395" i="6"/>
  <c r="C395" i="6"/>
  <c r="O394" i="6"/>
  <c r="B394" i="6"/>
  <c r="N393" i="6"/>
  <c r="A393" i="6"/>
  <c r="M392" i="6"/>
  <c r="T391" i="6"/>
  <c r="L391" i="6"/>
  <c r="R655" i="6"/>
  <c r="P654" i="6"/>
  <c r="B654" i="6"/>
  <c r="L653" i="6"/>
  <c r="P652" i="6"/>
  <c r="C652" i="6"/>
  <c r="N651" i="6"/>
  <c r="A651" i="6"/>
  <c r="L650" i="6"/>
  <c r="R649" i="6"/>
  <c r="E649" i="6"/>
  <c r="P648" i="6"/>
  <c r="C648" i="6"/>
  <c r="N647" i="6"/>
  <c r="A647" i="6"/>
  <c r="L646" i="6"/>
  <c r="R645" i="6"/>
  <c r="E645" i="6"/>
  <c r="P644" i="6"/>
  <c r="C644" i="6"/>
  <c r="N643" i="6"/>
  <c r="A643" i="6"/>
  <c r="L642" i="6"/>
  <c r="R641" i="6"/>
  <c r="E641" i="6"/>
  <c r="P640" i="6"/>
  <c r="C640" i="6"/>
  <c r="N639" i="6"/>
  <c r="A639" i="6"/>
  <c r="L638" i="6"/>
  <c r="R637" i="6"/>
  <c r="E637" i="6"/>
  <c r="P636" i="6"/>
  <c r="C636" i="6"/>
  <c r="N635" i="6"/>
  <c r="A635" i="6"/>
  <c r="L634" i="6"/>
  <c r="R633" i="6"/>
  <c r="E633" i="6"/>
  <c r="P632" i="6"/>
  <c r="C632" i="6"/>
  <c r="N631" i="6"/>
  <c r="A631" i="6"/>
  <c r="L630" i="6"/>
  <c r="R629" i="6"/>
  <c r="E629" i="6"/>
  <c r="P628" i="6"/>
  <c r="C628" i="6"/>
  <c r="N627" i="6"/>
  <c r="A627" i="6"/>
  <c r="L626" i="6"/>
  <c r="R625" i="6"/>
  <c r="E625" i="6"/>
  <c r="P624" i="6"/>
  <c r="E624" i="6"/>
  <c r="P623" i="6"/>
  <c r="C623" i="6"/>
  <c r="N622" i="6"/>
  <c r="A622" i="6"/>
  <c r="L621" i="6"/>
  <c r="S620" i="6"/>
  <c r="H620" i="6"/>
  <c r="Q619" i="6"/>
  <c r="D619" i="6"/>
  <c r="O618" i="6"/>
  <c r="B618" i="6"/>
  <c r="M617" i="6"/>
  <c r="S616" i="6"/>
  <c r="H616" i="6"/>
  <c r="Q615" i="6"/>
  <c r="D615" i="6"/>
  <c r="O614" i="6"/>
  <c r="B614" i="6"/>
  <c r="M613" i="6"/>
  <c r="S612" i="6"/>
  <c r="H612" i="6"/>
  <c r="Q611" i="6"/>
  <c r="D611" i="6"/>
  <c r="O610" i="6"/>
  <c r="B610" i="6"/>
  <c r="M609" i="6"/>
  <c r="S608" i="6"/>
  <c r="H608" i="6"/>
  <c r="Q607" i="6"/>
  <c r="D607" i="6"/>
  <c r="O606" i="6"/>
  <c r="B606" i="6"/>
  <c r="M605" i="6"/>
  <c r="S604" i="6"/>
  <c r="H604" i="6"/>
  <c r="Q603" i="6"/>
  <c r="D603" i="6"/>
  <c r="O602" i="6"/>
  <c r="B602" i="6"/>
  <c r="N601" i="6"/>
  <c r="A601" i="6"/>
  <c r="L600" i="6"/>
  <c r="R599" i="6"/>
  <c r="E599" i="6"/>
  <c r="Q598" i="6"/>
  <c r="D598" i="6"/>
  <c r="P597" i="6"/>
  <c r="C597" i="6"/>
  <c r="O596" i="6"/>
  <c r="B596" i="6"/>
  <c r="N595" i="6"/>
  <c r="A595" i="6"/>
  <c r="M594" i="6"/>
  <c r="S593" i="6"/>
  <c r="H593" i="6"/>
  <c r="Q592" i="6"/>
  <c r="D592" i="6"/>
  <c r="P591" i="6"/>
  <c r="C591" i="6"/>
  <c r="O590" i="6"/>
  <c r="B590" i="6"/>
  <c r="N589" i="6"/>
  <c r="A589" i="6"/>
  <c r="M588" i="6"/>
  <c r="A588" i="6"/>
  <c r="M587" i="6"/>
  <c r="T586" i="6"/>
  <c r="L586" i="6"/>
  <c r="S585" i="6"/>
  <c r="H585" i="6"/>
  <c r="R584" i="6"/>
  <c r="E584" i="6"/>
  <c r="Q583" i="6"/>
  <c r="E583" i="6"/>
  <c r="Q582" i="6"/>
  <c r="D582" i="6"/>
  <c r="P581" i="6"/>
  <c r="E581" i="6"/>
  <c r="Q580" i="6"/>
  <c r="D580" i="6"/>
  <c r="P579" i="6"/>
  <c r="C579" i="6"/>
  <c r="N578" i="6"/>
  <c r="B578" i="6"/>
  <c r="N577" i="6"/>
  <c r="B577" i="6"/>
  <c r="N576" i="6"/>
  <c r="B576" i="6"/>
  <c r="N575" i="6"/>
  <c r="A575" i="6"/>
  <c r="M574" i="6"/>
  <c r="T573" i="6"/>
  <c r="L573" i="6"/>
  <c r="S572" i="6"/>
  <c r="H572" i="6"/>
  <c r="R571" i="6"/>
  <c r="E571" i="6"/>
  <c r="Q570" i="6"/>
  <c r="D570" i="6"/>
  <c r="P569" i="6"/>
  <c r="C569" i="6"/>
  <c r="O568" i="6"/>
  <c r="B568" i="6"/>
  <c r="N567" i="6"/>
  <c r="A567" i="6"/>
  <c r="M566" i="6"/>
  <c r="T565" i="6"/>
  <c r="L565" i="6"/>
  <c r="S564" i="6"/>
  <c r="H564" i="6"/>
  <c r="R563" i="6"/>
  <c r="E563" i="6"/>
  <c r="Q562" i="6"/>
  <c r="D562" i="6"/>
  <c r="P561" i="6"/>
  <c r="C561" i="6"/>
  <c r="O560" i="6"/>
  <c r="C560" i="6"/>
  <c r="O559" i="6"/>
  <c r="C559" i="6"/>
  <c r="O558" i="6"/>
  <c r="C558" i="6"/>
  <c r="O557" i="6"/>
  <c r="C557" i="6"/>
  <c r="O556" i="6"/>
  <c r="C556" i="6"/>
  <c r="O555" i="6"/>
  <c r="D555" i="6"/>
  <c r="P554" i="6"/>
  <c r="E554" i="6"/>
  <c r="Q553" i="6"/>
  <c r="E553" i="6"/>
  <c r="Q552" i="6"/>
  <c r="G552" i="6"/>
  <c r="R551" i="6"/>
  <c r="F551" i="6"/>
  <c r="R550" i="6"/>
  <c r="H550" i="6"/>
  <c r="S549" i="6"/>
  <c r="H549" i="6"/>
  <c r="S548" i="6"/>
  <c r="I548" i="6"/>
  <c r="T547" i="6"/>
  <c r="L547" i="6"/>
  <c r="T546" i="6"/>
  <c r="L546" i="6"/>
  <c r="T545" i="6"/>
  <c r="L545" i="6"/>
  <c r="T544" i="6"/>
  <c r="L544" i="6"/>
  <c r="T543" i="6"/>
  <c r="L543" i="6"/>
  <c r="T542" i="6"/>
  <c r="L542" i="6"/>
  <c r="T541" i="6"/>
  <c r="L541" i="6"/>
  <c r="T540" i="6"/>
  <c r="L540" i="6"/>
  <c r="T539" i="6"/>
  <c r="L539" i="6"/>
  <c r="A539" i="6"/>
  <c r="M538" i="6"/>
  <c r="A538" i="6"/>
  <c r="M537" i="6"/>
  <c r="A537" i="6"/>
  <c r="M536" i="6"/>
  <c r="A536" i="6"/>
  <c r="M535" i="6"/>
  <c r="A535" i="6"/>
  <c r="M534" i="6"/>
  <c r="B534" i="6"/>
  <c r="N533" i="6"/>
  <c r="B533" i="6"/>
  <c r="N532" i="6"/>
  <c r="B532" i="6"/>
  <c r="N531" i="6"/>
  <c r="B531" i="6"/>
  <c r="N530" i="6"/>
  <c r="B530" i="6"/>
  <c r="N529" i="6"/>
  <c r="B529" i="6"/>
  <c r="N528" i="6"/>
  <c r="B528" i="6"/>
  <c r="N527" i="6"/>
  <c r="B527" i="6"/>
  <c r="N526" i="6"/>
  <c r="B526" i="6"/>
  <c r="N525" i="6"/>
  <c r="B525" i="6"/>
  <c r="N524" i="6"/>
  <c r="B524" i="6"/>
  <c r="N523" i="6"/>
  <c r="B523" i="6"/>
  <c r="N522" i="6"/>
  <c r="B522" i="6"/>
  <c r="N521" i="6"/>
  <c r="B521" i="6"/>
  <c r="N520" i="6"/>
  <c r="B520" i="6"/>
  <c r="N519" i="6"/>
  <c r="B519" i="6"/>
  <c r="N518" i="6"/>
  <c r="B518" i="6"/>
  <c r="N517" i="6"/>
  <c r="B517" i="6"/>
  <c r="N516" i="6"/>
  <c r="B516" i="6"/>
  <c r="N515" i="6"/>
  <c r="B515" i="6"/>
  <c r="N514" i="6"/>
  <c r="B514" i="6"/>
  <c r="N513" i="6"/>
  <c r="B513" i="6"/>
  <c r="N512" i="6"/>
  <c r="B512" i="6"/>
  <c r="N511" i="6"/>
  <c r="B511" i="6"/>
  <c r="N510" i="6"/>
  <c r="B510" i="6"/>
  <c r="N509" i="6"/>
  <c r="B509" i="6"/>
  <c r="N508" i="6"/>
  <c r="B508" i="6"/>
  <c r="N507" i="6"/>
  <c r="B507" i="6"/>
  <c r="N506" i="6"/>
  <c r="B506" i="6"/>
  <c r="N505" i="6"/>
  <c r="B505" i="6"/>
  <c r="N504" i="6"/>
  <c r="B504" i="6"/>
  <c r="N503" i="6"/>
  <c r="B503" i="6"/>
  <c r="N502" i="6"/>
  <c r="B502" i="6"/>
  <c r="N501" i="6"/>
  <c r="B501" i="6"/>
  <c r="N500" i="6"/>
  <c r="B500" i="6"/>
  <c r="N499" i="6"/>
  <c r="A499" i="6"/>
  <c r="M498" i="6"/>
  <c r="A498" i="6"/>
  <c r="M497" i="6"/>
  <c r="A497" i="6"/>
  <c r="M496" i="6"/>
  <c r="A496" i="6"/>
  <c r="M495" i="6"/>
  <c r="A495" i="6"/>
  <c r="M494" i="6"/>
  <c r="A494" i="6"/>
  <c r="M493" i="6"/>
  <c r="A493" i="6"/>
  <c r="M492" i="6"/>
  <c r="A492" i="6"/>
  <c r="M491" i="6"/>
  <c r="A491" i="6"/>
  <c r="M490" i="6"/>
  <c r="A490" i="6"/>
  <c r="M489" i="6"/>
  <c r="A489" i="6"/>
  <c r="M488" i="6"/>
  <c r="T487" i="6"/>
  <c r="L487" i="6"/>
  <c r="S486" i="6"/>
  <c r="H486" i="6"/>
  <c r="R485" i="6"/>
  <c r="E485" i="6"/>
  <c r="Q484" i="6"/>
  <c r="D484" i="6"/>
  <c r="P483" i="6"/>
  <c r="C483" i="6"/>
  <c r="O482" i="6"/>
  <c r="B482" i="6"/>
  <c r="N481" i="6"/>
  <c r="A481" i="6"/>
  <c r="M480" i="6"/>
  <c r="T479" i="6"/>
  <c r="L479" i="6"/>
  <c r="S478" i="6"/>
  <c r="H478" i="6"/>
  <c r="R477" i="6"/>
  <c r="E477" i="6"/>
  <c r="Q476" i="6"/>
  <c r="D476" i="6"/>
  <c r="P475" i="6"/>
  <c r="C475" i="6"/>
  <c r="O474" i="6"/>
  <c r="B474" i="6"/>
  <c r="N473" i="6"/>
  <c r="A473" i="6"/>
  <c r="M472" i="6"/>
  <c r="T471" i="6"/>
  <c r="L471" i="6"/>
  <c r="T470" i="6"/>
  <c r="L470" i="6"/>
  <c r="S469" i="6"/>
  <c r="H469" i="6"/>
  <c r="R468" i="6"/>
  <c r="E468" i="6"/>
  <c r="Q467" i="6"/>
  <c r="D467" i="6"/>
  <c r="P466" i="6"/>
  <c r="D466" i="6"/>
  <c r="P465" i="6"/>
  <c r="D465" i="6"/>
  <c r="P464" i="6"/>
  <c r="C464" i="6"/>
  <c r="O463" i="6"/>
  <c r="C463" i="6"/>
  <c r="O462" i="6"/>
  <c r="C462" i="6"/>
  <c r="O461" i="6"/>
  <c r="B461" i="6"/>
  <c r="N460" i="6"/>
  <c r="A460" i="6"/>
  <c r="M459" i="6"/>
  <c r="T458" i="6"/>
  <c r="L458" i="6"/>
  <c r="S457" i="6"/>
  <c r="H457" i="6"/>
  <c r="R456" i="6"/>
  <c r="E456" i="6"/>
  <c r="Q455" i="6"/>
  <c r="D455" i="6"/>
  <c r="P454" i="6"/>
  <c r="C454" i="6"/>
  <c r="O453" i="6"/>
  <c r="B453" i="6"/>
  <c r="N452" i="6"/>
  <c r="A452" i="6"/>
  <c r="M451" i="6"/>
  <c r="T450" i="6"/>
  <c r="L450" i="6"/>
  <c r="S449" i="6"/>
  <c r="H449" i="6"/>
  <c r="R448" i="6"/>
  <c r="H448" i="6"/>
  <c r="R447" i="6"/>
  <c r="E447" i="6"/>
  <c r="Q446" i="6"/>
  <c r="D446" i="6"/>
  <c r="P445" i="6"/>
  <c r="C445" i="6"/>
  <c r="O444" i="6"/>
  <c r="B444" i="6"/>
  <c r="N443" i="6"/>
  <c r="A443" i="6"/>
  <c r="M442" i="6"/>
  <c r="T441" i="6"/>
  <c r="L441" i="6"/>
  <c r="A441" i="6"/>
  <c r="M440" i="6"/>
  <c r="A440" i="6"/>
  <c r="M439" i="6"/>
  <c r="A439" i="6"/>
  <c r="M438" i="6"/>
  <c r="A438" i="6"/>
  <c r="M437" i="6"/>
  <c r="T436" i="6"/>
  <c r="L436" i="6"/>
  <c r="T435" i="6"/>
  <c r="L435" i="6"/>
  <c r="T434" i="6"/>
  <c r="L434" i="6"/>
  <c r="T433" i="6"/>
  <c r="L433" i="6"/>
  <c r="S432" i="6"/>
  <c r="I432" i="6"/>
  <c r="S431" i="6"/>
  <c r="I431" i="6"/>
  <c r="T430" i="6"/>
  <c r="L430" i="6"/>
  <c r="S429" i="6"/>
  <c r="H429" i="6"/>
  <c r="S428" i="6"/>
  <c r="H428" i="6"/>
  <c r="R427" i="6"/>
  <c r="F427" i="6"/>
  <c r="R426" i="6"/>
  <c r="E426" i="6"/>
  <c r="Q425" i="6"/>
  <c r="D425" i="6"/>
  <c r="P424" i="6"/>
  <c r="C424" i="6"/>
  <c r="O423" i="6"/>
  <c r="D423" i="6"/>
  <c r="P422" i="6"/>
  <c r="C422" i="6"/>
  <c r="O421" i="6"/>
  <c r="B421" i="6"/>
  <c r="N420" i="6"/>
  <c r="A420" i="6"/>
  <c r="M419" i="6"/>
  <c r="T418" i="6"/>
  <c r="L418" i="6"/>
  <c r="T417" i="6"/>
  <c r="L417" i="6"/>
  <c r="S416" i="6"/>
  <c r="H416" i="6"/>
  <c r="R415" i="6"/>
  <c r="E415" i="6"/>
  <c r="Q414" i="6"/>
  <c r="D414" i="6"/>
  <c r="P413" i="6"/>
  <c r="C413" i="6"/>
  <c r="O412" i="6"/>
  <c r="B412" i="6"/>
  <c r="N411" i="6"/>
  <c r="B411" i="6"/>
  <c r="N410" i="6"/>
  <c r="A410" i="6"/>
  <c r="M409" i="6"/>
  <c r="A409" i="6"/>
  <c r="M408" i="6"/>
  <c r="A408" i="6"/>
  <c r="M407" i="6"/>
  <c r="A407" i="6"/>
  <c r="M406" i="6"/>
  <c r="A406" i="6"/>
  <c r="M405" i="6"/>
  <c r="A405" i="6"/>
  <c r="M404" i="6"/>
  <c r="A404" i="6"/>
  <c r="M403" i="6"/>
  <c r="T402" i="6"/>
  <c r="L402" i="6"/>
  <c r="T401" i="6"/>
  <c r="L401" i="6"/>
  <c r="S400" i="6"/>
  <c r="H400" i="6"/>
  <c r="R399" i="6"/>
  <c r="E399" i="6"/>
  <c r="Q398" i="6"/>
  <c r="D398" i="6"/>
  <c r="P397" i="6"/>
  <c r="C397" i="6"/>
  <c r="O396" i="6"/>
  <c r="B396" i="6"/>
  <c r="N395" i="6"/>
  <c r="B395" i="6"/>
  <c r="N394" i="6"/>
  <c r="A394" i="6"/>
  <c r="M393" i="6"/>
  <c r="T392" i="6"/>
  <c r="L392" i="6"/>
  <c r="S391" i="6"/>
  <c r="I391" i="6"/>
  <c r="S390" i="6"/>
  <c r="H390" i="6"/>
  <c r="R389" i="6"/>
  <c r="E389" i="6"/>
  <c r="Q388" i="6"/>
  <c r="E388" i="6"/>
  <c r="Q387" i="6"/>
  <c r="D387" i="6"/>
  <c r="Q655" i="6"/>
  <c r="O654" i="6"/>
  <c r="A654" i="6"/>
  <c r="E653" i="6"/>
  <c r="O652" i="6"/>
  <c r="B652" i="6"/>
  <c r="M651" i="6"/>
  <c r="S650" i="6"/>
  <c r="H650" i="6"/>
  <c r="Q649" i="6"/>
  <c r="D649" i="6"/>
  <c r="O648" i="6"/>
  <c r="B648" i="6"/>
  <c r="M647" i="6"/>
  <c r="S646" i="6"/>
  <c r="H646" i="6"/>
  <c r="Q645" i="6"/>
  <c r="D645" i="6"/>
  <c r="O644" i="6"/>
  <c r="B644" i="6"/>
  <c r="M643" i="6"/>
  <c r="S642" i="6"/>
  <c r="H642" i="6"/>
  <c r="Q641" i="6"/>
  <c r="D641" i="6"/>
  <c r="O640" i="6"/>
  <c r="B640" i="6"/>
  <c r="M639" i="6"/>
  <c r="S638" i="6"/>
  <c r="H638" i="6"/>
  <c r="Q637" i="6"/>
  <c r="D637" i="6"/>
  <c r="O636" i="6"/>
  <c r="B636" i="6"/>
  <c r="M635" i="6"/>
  <c r="S634" i="6"/>
  <c r="H634" i="6"/>
  <c r="Q633" i="6"/>
  <c r="D633" i="6"/>
  <c r="O632" i="6"/>
  <c r="B632" i="6"/>
  <c r="M631" i="6"/>
  <c r="S630" i="6"/>
  <c r="H630" i="6"/>
  <c r="Q629" i="6"/>
  <c r="D629" i="6"/>
  <c r="O628" i="6"/>
  <c r="B628" i="6"/>
  <c r="M627" i="6"/>
  <c r="S626" i="6"/>
  <c r="H626" i="6"/>
  <c r="Q625" i="6"/>
  <c r="D625" i="6"/>
  <c r="O624" i="6"/>
  <c r="D624" i="6"/>
  <c r="O623" i="6"/>
  <c r="B623" i="6"/>
  <c r="M622" i="6"/>
  <c r="S621" i="6"/>
  <c r="H621" i="6"/>
  <c r="R620" i="6"/>
  <c r="E620" i="6"/>
  <c r="P619" i="6"/>
  <c r="C619" i="6"/>
  <c r="N618" i="6"/>
  <c r="A618" i="6"/>
  <c r="L617" i="6"/>
  <c r="R616" i="6"/>
  <c r="E616" i="6"/>
  <c r="P615" i="6"/>
  <c r="C615" i="6"/>
  <c r="N614" i="6"/>
  <c r="A614" i="6"/>
  <c r="L613" i="6"/>
  <c r="R612" i="6"/>
  <c r="E612" i="6"/>
  <c r="P611" i="6"/>
  <c r="C611" i="6"/>
  <c r="N610" i="6"/>
  <c r="A610" i="6"/>
  <c r="L609" i="6"/>
  <c r="R608" i="6"/>
  <c r="E608" i="6"/>
  <c r="P607" i="6"/>
  <c r="C607" i="6"/>
  <c r="N606" i="6"/>
  <c r="A606" i="6"/>
  <c r="L605" i="6"/>
  <c r="R604" i="6"/>
  <c r="E604" i="6"/>
  <c r="P603" i="6"/>
  <c r="C603" i="6"/>
  <c r="N602" i="6"/>
  <c r="A602" i="6"/>
  <c r="M601" i="6"/>
  <c r="S600" i="6"/>
  <c r="H600" i="6"/>
  <c r="Q599" i="6"/>
  <c r="D599" i="6"/>
  <c r="P598" i="6"/>
  <c r="C598" i="6"/>
  <c r="O597" i="6"/>
  <c r="B597" i="6"/>
  <c r="N596" i="6"/>
  <c r="A596" i="6"/>
  <c r="M595" i="6"/>
  <c r="T594" i="6"/>
  <c r="L594" i="6"/>
  <c r="R593" i="6"/>
  <c r="E593" i="6"/>
  <c r="P592" i="6"/>
  <c r="C592" i="6"/>
  <c r="O591" i="6"/>
  <c r="B591" i="6"/>
  <c r="N590" i="6"/>
  <c r="A590" i="6"/>
  <c r="M589" i="6"/>
  <c r="T588" i="6"/>
  <c r="L588" i="6"/>
  <c r="T587" i="6"/>
  <c r="L587" i="6"/>
  <c r="S586" i="6"/>
  <c r="H586" i="6"/>
  <c r="R585" i="6"/>
  <c r="E585" i="6"/>
  <c r="Q584" i="6"/>
  <c r="D584" i="6"/>
  <c r="P583" i="6"/>
  <c r="D583" i="6"/>
  <c r="P582" i="6"/>
  <c r="C582" i="6"/>
  <c r="O581" i="6"/>
  <c r="D581" i="6"/>
  <c r="P580" i="6"/>
  <c r="C580" i="6"/>
  <c r="O579" i="6"/>
  <c r="B579" i="6"/>
  <c r="M578" i="6"/>
  <c r="A578" i="6"/>
  <c r="M577" i="6"/>
  <c r="A577" i="6"/>
  <c r="M576" i="6"/>
  <c r="A576" i="6"/>
  <c r="M575" i="6"/>
  <c r="T574" i="6"/>
  <c r="L574" i="6"/>
  <c r="S573" i="6"/>
  <c r="H573" i="6"/>
  <c r="R572" i="6"/>
  <c r="E572" i="6"/>
  <c r="Q571" i="6"/>
  <c r="D571" i="6"/>
  <c r="P570" i="6"/>
  <c r="C570" i="6"/>
  <c r="O569" i="6"/>
  <c r="B569" i="6"/>
  <c r="N568" i="6"/>
  <c r="A568" i="6"/>
  <c r="M567" i="6"/>
  <c r="T566" i="6"/>
  <c r="L566" i="6"/>
  <c r="S565" i="6"/>
  <c r="H565" i="6"/>
  <c r="R564" i="6"/>
  <c r="E564" i="6"/>
  <c r="Q563" i="6"/>
  <c r="D563" i="6"/>
  <c r="P562" i="6"/>
  <c r="C562" i="6"/>
  <c r="O561" i="6"/>
  <c r="B561" i="6"/>
  <c r="N560" i="6"/>
  <c r="B560" i="6"/>
  <c r="N559" i="6"/>
  <c r="B559" i="6"/>
  <c r="N558" i="6"/>
  <c r="B558" i="6"/>
  <c r="N557" i="6"/>
  <c r="B557" i="6"/>
  <c r="N556" i="6"/>
  <c r="B556" i="6"/>
  <c r="N555" i="6"/>
  <c r="C555" i="6"/>
  <c r="O554" i="6"/>
  <c r="D554" i="6"/>
  <c r="P553" i="6"/>
  <c r="D553" i="6"/>
  <c r="P552" i="6"/>
  <c r="E552" i="6"/>
  <c r="Q551" i="6"/>
  <c r="E551" i="6"/>
  <c r="Q550" i="6"/>
  <c r="G550" i="6"/>
  <c r="R549" i="6"/>
  <c r="F549" i="6"/>
  <c r="R548" i="6"/>
  <c r="H548" i="6"/>
  <c r="S547" i="6"/>
  <c r="H547" i="6"/>
  <c r="S546" i="6"/>
  <c r="I546" i="6"/>
  <c r="S545" i="6"/>
  <c r="I545" i="6"/>
  <c r="S544" i="6"/>
  <c r="I544" i="6"/>
  <c r="S543" i="6"/>
  <c r="I543" i="6"/>
  <c r="S542" i="6"/>
  <c r="I542" i="6"/>
  <c r="S541" i="6"/>
  <c r="I541" i="6"/>
  <c r="S540" i="6"/>
  <c r="H540" i="6"/>
  <c r="S539" i="6"/>
  <c r="I539" i="6"/>
  <c r="T538" i="6"/>
  <c r="L538" i="6"/>
  <c r="T537" i="6"/>
  <c r="L537" i="6"/>
  <c r="T536" i="6"/>
  <c r="L536" i="6"/>
  <c r="T535" i="6"/>
  <c r="L535" i="6"/>
  <c r="T534" i="6"/>
  <c r="L534" i="6"/>
  <c r="A534" i="6"/>
  <c r="M533" i="6"/>
  <c r="A533" i="6"/>
  <c r="M532" i="6"/>
  <c r="A532" i="6"/>
  <c r="M531" i="6"/>
  <c r="A531" i="6"/>
  <c r="M530" i="6"/>
  <c r="A530" i="6"/>
  <c r="M529" i="6"/>
  <c r="A529" i="6"/>
  <c r="M528" i="6"/>
  <c r="A528" i="6"/>
  <c r="M527" i="6"/>
  <c r="A527" i="6"/>
  <c r="M526" i="6"/>
  <c r="A526" i="6"/>
  <c r="M525" i="6"/>
  <c r="A525" i="6"/>
  <c r="M524" i="6"/>
  <c r="A524" i="6"/>
  <c r="M523" i="6"/>
  <c r="A523" i="6"/>
  <c r="M522" i="6"/>
  <c r="A522" i="6"/>
  <c r="M521" i="6"/>
  <c r="A521" i="6"/>
  <c r="M520" i="6"/>
  <c r="A520" i="6"/>
  <c r="M519" i="6"/>
  <c r="A519" i="6"/>
  <c r="M518" i="6"/>
  <c r="A518" i="6"/>
  <c r="M517" i="6"/>
  <c r="A517" i="6"/>
  <c r="M516" i="6"/>
  <c r="A516" i="6"/>
  <c r="M515" i="6"/>
  <c r="A515" i="6"/>
  <c r="M514" i="6"/>
  <c r="A514" i="6"/>
  <c r="M513" i="6"/>
  <c r="A513" i="6"/>
  <c r="M512" i="6"/>
  <c r="A512" i="6"/>
  <c r="M511" i="6"/>
  <c r="A511" i="6"/>
  <c r="M510" i="6"/>
  <c r="A510" i="6"/>
  <c r="M509" i="6"/>
  <c r="A509" i="6"/>
  <c r="M508" i="6"/>
  <c r="A508" i="6"/>
  <c r="M507" i="6"/>
  <c r="A507" i="6"/>
  <c r="M506" i="6"/>
  <c r="A506" i="6"/>
  <c r="M505" i="6"/>
  <c r="A505" i="6"/>
  <c r="M504" i="6"/>
  <c r="A504" i="6"/>
  <c r="M503" i="6"/>
  <c r="A503" i="6"/>
  <c r="M502" i="6"/>
  <c r="A502" i="6"/>
  <c r="M501" i="6"/>
  <c r="A501" i="6"/>
  <c r="M500" i="6"/>
  <c r="A500" i="6"/>
  <c r="M499" i="6"/>
  <c r="T498" i="6"/>
  <c r="L498" i="6"/>
  <c r="T497" i="6"/>
  <c r="L497" i="6"/>
  <c r="T496" i="6"/>
  <c r="L496" i="6"/>
  <c r="T495" i="6"/>
  <c r="L495" i="6"/>
  <c r="T494" i="6"/>
  <c r="L494" i="6"/>
  <c r="T493" i="6"/>
  <c r="L493" i="6"/>
  <c r="T492" i="6"/>
  <c r="L492" i="6"/>
  <c r="T491" i="6"/>
  <c r="L491" i="6"/>
  <c r="T490" i="6"/>
  <c r="L490" i="6"/>
  <c r="T489" i="6"/>
  <c r="L489" i="6"/>
  <c r="T488" i="6"/>
  <c r="L488" i="6"/>
  <c r="S487" i="6"/>
  <c r="H487" i="6"/>
  <c r="R486" i="6"/>
  <c r="E486" i="6"/>
  <c r="Q485" i="6"/>
  <c r="D485" i="6"/>
  <c r="P484" i="6"/>
  <c r="C484" i="6"/>
  <c r="O483" i="6"/>
  <c r="B483" i="6"/>
  <c r="N482" i="6"/>
  <c r="A482" i="6"/>
  <c r="M481" i="6"/>
  <c r="T480" i="6"/>
  <c r="L480" i="6"/>
  <c r="S479" i="6"/>
  <c r="H479" i="6"/>
  <c r="R478" i="6"/>
  <c r="E478" i="6"/>
  <c r="Q477" i="6"/>
  <c r="D477" i="6"/>
  <c r="P476" i="6"/>
  <c r="C476" i="6"/>
  <c r="O475" i="6"/>
  <c r="B475" i="6"/>
  <c r="N474" i="6"/>
  <c r="A474" i="6"/>
  <c r="M473" i="6"/>
  <c r="T472" i="6"/>
  <c r="L472" i="6"/>
  <c r="S471" i="6"/>
  <c r="I471" i="6"/>
  <c r="S470" i="6"/>
  <c r="H470" i="6"/>
  <c r="R469" i="6"/>
  <c r="E469" i="6"/>
  <c r="Q468" i="6"/>
  <c r="D468" i="6"/>
  <c r="P467" i="6"/>
  <c r="C467" i="6"/>
  <c r="O466" i="6"/>
  <c r="C466" i="6"/>
  <c r="O465" i="6"/>
  <c r="C465" i="6"/>
  <c r="O464" i="6"/>
  <c r="B464" i="6"/>
  <c r="N463" i="6"/>
  <c r="B463" i="6"/>
  <c r="N462" i="6"/>
  <c r="B462" i="6"/>
  <c r="N461" i="6"/>
  <c r="A461" i="6"/>
  <c r="M460" i="6"/>
  <c r="T459" i="6"/>
  <c r="L459" i="6"/>
  <c r="S458" i="6"/>
  <c r="H458" i="6"/>
  <c r="R457" i="6"/>
  <c r="E457" i="6"/>
  <c r="Q456" i="6"/>
  <c r="D456" i="6"/>
  <c r="P455" i="6"/>
  <c r="C455" i="6"/>
  <c r="O454" i="6"/>
  <c r="B454" i="6"/>
  <c r="N453" i="6"/>
  <c r="A453" i="6"/>
  <c r="M452" i="6"/>
  <c r="T451" i="6"/>
  <c r="L451" i="6"/>
  <c r="S450" i="6"/>
  <c r="H450" i="6"/>
  <c r="R449" i="6"/>
  <c r="E449" i="6"/>
  <c r="Q448" i="6"/>
  <c r="E448" i="6"/>
  <c r="Q447" i="6"/>
  <c r="D447" i="6"/>
  <c r="P446" i="6"/>
  <c r="C446" i="6"/>
  <c r="O445" i="6"/>
  <c r="B445" i="6"/>
  <c r="N444" i="6"/>
  <c r="A444" i="6"/>
  <c r="M443" i="6"/>
  <c r="T442" i="6"/>
  <c r="L442" i="6"/>
  <c r="S441" i="6"/>
  <c r="I441" i="6"/>
  <c r="T440" i="6"/>
  <c r="L440" i="6"/>
  <c r="T439" i="6"/>
  <c r="L439" i="6"/>
  <c r="T438" i="6"/>
  <c r="L438" i="6"/>
  <c r="T437" i="6"/>
  <c r="L437" i="6"/>
  <c r="S436" i="6"/>
  <c r="H436" i="6"/>
  <c r="S435" i="6"/>
  <c r="H435" i="6"/>
  <c r="S434" i="6"/>
  <c r="I434" i="6"/>
  <c r="S433" i="6"/>
  <c r="H433" i="6"/>
  <c r="R432" i="6"/>
  <c r="H432" i="6"/>
  <c r="R431" i="6"/>
  <c r="H431" i="6"/>
  <c r="S430" i="6"/>
  <c r="H430" i="6"/>
  <c r="R429" i="6"/>
  <c r="F429" i="6"/>
  <c r="R428" i="6"/>
  <c r="E428" i="6"/>
  <c r="Q427" i="6"/>
  <c r="E427" i="6"/>
  <c r="Q426" i="6"/>
  <c r="D426" i="6"/>
  <c r="P425" i="6"/>
  <c r="C425" i="6"/>
  <c r="O424" i="6"/>
  <c r="B424" i="6"/>
  <c r="N423" i="6"/>
  <c r="C423" i="6"/>
  <c r="O422" i="6"/>
  <c r="B422" i="6"/>
  <c r="N421" i="6"/>
  <c r="A421" i="6"/>
  <c r="M420" i="6"/>
  <c r="T419" i="6"/>
  <c r="L419" i="6"/>
  <c r="S418" i="6"/>
  <c r="I418" i="6"/>
  <c r="S417" i="6"/>
  <c r="H417" i="6"/>
  <c r="R416" i="6"/>
  <c r="E416" i="6"/>
  <c r="Q415" i="6"/>
  <c r="D415" i="6"/>
  <c r="P414" i="6"/>
  <c r="C414" i="6"/>
  <c r="O413" i="6"/>
  <c r="B413" i="6"/>
  <c r="N412" i="6"/>
  <c r="A412" i="6"/>
  <c r="M411" i="6"/>
  <c r="A411" i="6"/>
  <c r="M410" i="6"/>
  <c r="T409" i="6"/>
  <c r="L409" i="6"/>
  <c r="T408" i="6"/>
  <c r="L408" i="6"/>
  <c r="T407" i="6"/>
  <c r="L407" i="6"/>
  <c r="T406" i="6"/>
  <c r="L406" i="6"/>
  <c r="T405" i="6"/>
  <c r="L405" i="6"/>
  <c r="T404" i="6"/>
  <c r="L404" i="6"/>
  <c r="T403" i="6"/>
  <c r="L403" i="6"/>
  <c r="S402" i="6"/>
  <c r="I402" i="6"/>
  <c r="S401" i="6"/>
  <c r="H401" i="6"/>
  <c r="R400" i="6"/>
  <c r="E400" i="6"/>
  <c r="Q399" i="6"/>
  <c r="D399" i="6"/>
  <c r="P398" i="6"/>
  <c r="C398" i="6"/>
  <c r="O397" i="6"/>
  <c r="B397" i="6"/>
  <c r="N396" i="6"/>
  <c r="A396" i="6"/>
  <c r="M395" i="6"/>
  <c r="A395" i="6"/>
  <c r="M394" i="6"/>
  <c r="T393" i="6"/>
  <c r="L393" i="6"/>
  <c r="S392" i="6"/>
  <c r="H392" i="6"/>
  <c r="L655" i="6"/>
  <c r="N654" i="6"/>
  <c r="R653" i="6"/>
  <c r="D653" i="6"/>
  <c r="N652" i="6"/>
  <c r="A652" i="6"/>
  <c r="L651" i="6"/>
  <c r="R650" i="6"/>
  <c r="E650" i="6"/>
  <c r="P649" i="6"/>
  <c r="C649" i="6"/>
  <c r="N648" i="6"/>
  <c r="A648" i="6"/>
  <c r="L647" i="6"/>
  <c r="R646" i="6"/>
  <c r="E646" i="6"/>
  <c r="P645" i="6"/>
  <c r="C645" i="6"/>
  <c r="N644" i="6"/>
  <c r="A644" i="6"/>
  <c r="L643" i="6"/>
  <c r="R642" i="6"/>
  <c r="E642" i="6"/>
  <c r="P641" i="6"/>
  <c r="C641" i="6"/>
  <c r="N640" i="6"/>
  <c r="A640" i="6"/>
  <c r="L639" i="6"/>
  <c r="R638" i="6"/>
  <c r="E638" i="6"/>
  <c r="P637" i="6"/>
  <c r="C637" i="6"/>
  <c r="N636" i="6"/>
  <c r="A636" i="6"/>
  <c r="L635" i="6"/>
  <c r="R634" i="6"/>
  <c r="E634" i="6"/>
  <c r="P633" i="6"/>
  <c r="C633" i="6"/>
  <c r="N632" i="6"/>
  <c r="A632" i="6"/>
  <c r="L631" i="6"/>
  <c r="R630" i="6"/>
  <c r="E630" i="6"/>
  <c r="P629" i="6"/>
  <c r="C629" i="6"/>
  <c r="N628" i="6"/>
  <c r="A628" i="6"/>
  <c r="L627" i="6"/>
  <c r="R626" i="6"/>
  <c r="E626" i="6"/>
  <c r="P625" i="6"/>
  <c r="C625" i="6"/>
  <c r="N624" i="6"/>
  <c r="C624" i="6"/>
  <c r="N623" i="6"/>
  <c r="A623" i="6"/>
  <c r="L622" i="6"/>
  <c r="R621" i="6"/>
  <c r="G621" i="6"/>
  <c r="Q620" i="6"/>
  <c r="D620" i="6"/>
  <c r="O619" i="6"/>
  <c r="B619" i="6"/>
  <c r="M618" i="6"/>
  <c r="S617" i="6"/>
  <c r="H617" i="6"/>
  <c r="Q616" i="6"/>
  <c r="D616" i="6"/>
  <c r="O615" i="6"/>
  <c r="B615" i="6"/>
  <c r="M614" i="6"/>
  <c r="S613" i="6"/>
  <c r="H613" i="6"/>
  <c r="Q612" i="6"/>
  <c r="D612" i="6"/>
  <c r="O611" i="6"/>
  <c r="B611" i="6"/>
  <c r="M610" i="6"/>
  <c r="S609" i="6"/>
  <c r="H609" i="6"/>
  <c r="Q608" i="6"/>
  <c r="D608" i="6"/>
  <c r="O607" i="6"/>
  <c r="B607" i="6"/>
  <c r="M606" i="6"/>
  <c r="S605" i="6"/>
  <c r="H605" i="6"/>
  <c r="Q604" i="6"/>
  <c r="D604" i="6"/>
  <c r="O603" i="6"/>
  <c r="B603" i="6"/>
  <c r="M602" i="6"/>
  <c r="T601" i="6"/>
  <c r="L601" i="6"/>
  <c r="R600" i="6"/>
  <c r="E600" i="6"/>
  <c r="P599" i="6"/>
  <c r="C599" i="6"/>
  <c r="O598" i="6"/>
  <c r="B598" i="6"/>
  <c r="N597" i="6"/>
  <c r="A597" i="6"/>
  <c r="M596" i="6"/>
  <c r="T595" i="6"/>
  <c r="L595" i="6"/>
  <c r="S594" i="6"/>
  <c r="H594" i="6"/>
  <c r="Q593" i="6"/>
  <c r="D593" i="6"/>
  <c r="O592" i="6"/>
  <c r="B592" i="6"/>
  <c r="N591" i="6"/>
  <c r="A591" i="6"/>
  <c r="M590" i="6"/>
  <c r="T589" i="6"/>
  <c r="L589" i="6"/>
  <c r="S588" i="6"/>
  <c r="I588" i="6"/>
  <c r="S587" i="6"/>
  <c r="H587" i="6"/>
  <c r="R586" i="6"/>
  <c r="E586" i="6"/>
  <c r="Q585" i="6"/>
  <c r="D585" i="6"/>
  <c r="P584" i="6"/>
  <c r="C584" i="6"/>
  <c r="O583" i="6"/>
  <c r="C583" i="6"/>
  <c r="O582" i="6"/>
  <c r="B582" i="6"/>
  <c r="N581" i="6"/>
  <c r="C581" i="6"/>
  <c r="O580" i="6"/>
  <c r="B580" i="6"/>
  <c r="N579" i="6"/>
  <c r="A579" i="6"/>
  <c r="L578" i="6"/>
  <c r="T577" i="6"/>
  <c r="L577" i="6"/>
  <c r="T576" i="6"/>
  <c r="L576" i="6"/>
  <c r="T575" i="6"/>
  <c r="L575" i="6"/>
  <c r="S574" i="6"/>
  <c r="H574" i="6"/>
  <c r="R573" i="6"/>
  <c r="E573" i="6"/>
  <c r="Q572" i="6"/>
  <c r="D572" i="6"/>
  <c r="P571" i="6"/>
  <c r="C571" i="6"/>
  <c r="O570" i="6"/>
  <c r="B570" i="6"/>
  <c r="N569" i="6"/>
  <c r="A569" i="6"/>
  <c r="M568" i="6"/>
  <c r="T567" i="6"/>
  <c r="L567" i="6"/>
  <c r="S566" i="6"/>
  <c r="H566" i="6"/>
  <c r="R565" i="6"/>
  <c r="E565" i="6"/>
  <c r="Q564" i="6"/>
  <c r="D564" i="6"/>
  <c r="P563" i="6"/>
  <c r="C563" i="6"/>
  <c r="O562" i="6"/>
  <c r="B562" i="6"/>
  <c r="N561" i="6"/>
  <c r="A561" i="6"/>
  <c r="M560" i="6"/>
  <c r="A560" i="6"/>
  <c r="M559" i="6"/>
  <c r="A559" i="6"/>
  <c r="M558" i="6"/>
  <c r="A558" i="6"/>
  <c r="M557" i="6"/>
  <c r="A557" i="6"/>
  <c r="M556" i="6"/>
  <c r="A556" i="6"/>
  <c r="M555" i="6"/>
  <c r="B555" i="6"/>
  <c r="N554" i="6"/>
  <c r="C554" i="6"/>
  <c r="O553" i="6"/>
  <c r="C553" i="6"/>
  <c r="O552" i="6"/>
  <c r="D552" i="6"/>
  <c r="P551" i="6"/>
  <c r="D551" i="6"/>
  <c r="P550" i="6"/>
  <c r="E550" i="6"/>
  <c r="Q549" i="6"/>
  <c r="E549" i="6"/>
  <c r="Q548" i="6"/>
  <c r="G548" i="6"/>
  <c r="R547" i="6"/>
  <c r="F547" i="6"/>
  <c r="R546" i="6"/>
  <c r="H546" i="6"/>
  <c r="R545" i="6"/>
  <c r="H545" i="6"/>
  <c r="R544" i="6"/>
  <c r="H544" i="6"/>
  <c r="R543" i="6"/>
  <c r="H543" i="6"/>
  <c r="R542" i="6"/>
  <c r="H542" i="6"/>
  <c r="R541" i="6"/>
  <c r="H541" i="6"/>
  <c r="R540" i="6"/>
  <c r="F540" i="6"/>
  <c r="R539" i="6"/>
  <c r="H539" i="6"/>
  <c r="S538" i="6"/>
  <c r="I538" i="6"/>
  <c r="S537" i="6"/>
  <c r="I537" i="6"/>
  <c r="S536" i="6"/>
  <c r="I536" i="6"/>
  <c r="S535" i="6"/>
  <c r="I535" i="6"/>
  <c r="S534" i="6"/>
  <c r="I534" i="6"/>
  <c r="T533" i="6"/>
  <c r="L533" i="6"/>
  <c r="T532" i="6"/>
  <c r="L532" i="6"/>
  <c r="T531" i="6"/>
  <c r="L531" i="6"/>
  <c r="T530" i="6"/>
  <c r="L530" i="6"/>
  <c r="T529" i="6"/>
  <c r="L529" i="6"/>
  <c r="T528" i="6"/>
  <c r="L528" i="6"/>
  <c r="T527" i="6"/>
  <c r="L527" i="6"/>
  <c r="T526" i="6"/>
  <c r="L526" i="6"/>
  <c r="T525" i="6"/>
  <c r="L525" i="6"/>
  <c r="T524" i="6"/>
  <c r="L524" i="6"/>
  <c r="T523" i="6"/>
  <c r="L523" i="6"/>
  <c r="T522" i="6"/>
  <c r="L522" i="6"/>
  <c r="T521" i="6"/>
  <c r="L521" i="6"/>
  <c r="T520" i="6"/>
  <c r="L520" i="6"/>
  <c r="T519" i="6"/>
  <c r="L519" i="6"/>
  <c r="T518" i="6"/>
  <c r="L518" i="6"/>
  <c r="T517" i="6"/>
  <c r="L517" i="6"/>
  <c r="T516" i="6"/>
  <c r="L516" i="6"/>
  <c r="T515" i="6"/>
  <c r="L515" i="6"/>
  <c r="T514" i="6"/>
  <c r="L514" i="6"/>
  <c r="T513" i="6"/>
  <c r="L513" i="6"/>
  <c r="T512" i="6"/>
  <c r="L512" i="6"/>
  <c r="T511" i="6"/>
  <c r="L511" i="6"/>
  <c r="T510" i="6"/>
  <c r="L510" i="6"/>
  <c r="T509" i="6"/>
  <c r="L509" i="6"/>
  <c r="T508" i="6"/>
  <c r="L508" i="6"/>
  <c r="T507" i="6"/>
  <c r="L507" i="6"/>
  <c r="T506" i="6"/>
  <c r="L506" i="6"/>
  <c r="T505" i="6"/>
  <c r="L505" i="6"/>
  <c r="T504" i="6"/>
  <c r="L504" i="6"/>
  <c r="T503" i="6"/>
  <c r="L503" i="6"/>
  <c r="T502" i="6"/>
  <c r="L502" i="6"/>
  <c r="T501" i="6"/>
  <c r="L501" i="6"/>
  <c r="T500" i="6"/>
  <c r="L500" i="6"/>
  <c r="T499" i="6"/>
  <c r="L499" i="6"/>
  <c r="S498" i="6"/>
  <c r="H498" i="6"/>
  <c r="S497" i="6"/>
  <c r="H497" i="6"/>
  <c r="S496" i="6"/>
  <c r="H496" i="6"/>
  <c r="S495" i="6"/>
  <c r="H495" i="6"/>
  <c r="S494" i="6"/>
  <c r="H494" i="6"/>
  <c r="S493" i="6"/>
  <c r="H493" i="6"/>
  <c r="S492" i="6"/>
  <c r="H492" i="6"/>
  <c r="S491" i="6"/>
  <c r="H491" i="6"/>
  <c r="S490" i="6"/>
  <c r="H490" i="6"/>
  <c r="S489" i="6"/>
  <c r="H489" i="6"/>
  <c r="S488" i="6"/>
  <c r="H488" i="6"/>
  <c r="R487" i="6"/>
  <c r="E487" i="6"/>
  <c r="Q486" i="6"/>
  <c r="D486" i="6"/>
  <c r="P485" i="6"/>
  <c r="C485" i="6"/>
  <c r="O484" i="6"/>
  <c r="B484" i="6"/>
  <c r="N483" i="6"/>
  <c r="A483" i="6"/>
  <c r="M482" i="6"/>
  <c r="T481" i="6"/>
  <c r="L481" i="6"/>
  <c r="S480" i="6"/>
  <c r="H480" i="6"/>
  <c r="R479" i="6"/>
  <c r="E479" i="6"/>
  <c r="Q478" i="6"/>
  <c r="D478" i="6"/>
  <c r="P477" i="6"/>
  <c r="C477" i="6"/>
  <c r="O476" i="6"/>
  <c r="B476" i="6"/>
  <c r="N475" i="6"/>
  <c r="A475" i="6"/>
  <c r="M474" i="6"/>
  <c r="T473" i="6"/>
  <c r="L473" i="6"/>
  <c r="S472" i="6"/>
  <c r="H472" i="6"/>
  <c r="R471" i="6"/>
  <c r="H471" i="6"/>
  <c r="R470" i="6"/>
  <c r="E470" i="6"/>
  <c r="Q469" i="6"/>
  <c r="D469" i="6"/>
  <c r="P468" i="6"/>
  <c r="C468" i="6"/>
  <c r="O467" i="6"/>
  <c r="B467" i="6"/>
  <c r="N466" i="6"/>
  <c r="B466" i="6"/>
  <c r="N465" i="6"/>
  <c r="B465" i="6"/>
  <c r="N464" i="6"/>
  <c r="A464" i="6"/>
  <c r="M463" i="6"/>
  <c r="A463" i="6"/>
  <c r="M462" i="6"/>
  <c r="A462" i="6"/>
  <c r="M461" i="6"/>
  <c r="T460" i="6"/>
  <c r="L460" i="6"/>
  <c r="S459" i="6"/>
  <c r="H459" i="6"/>
  <c r="R458" i="6"/>
  <c r="E458" i="6"/>
  <c r="Q457" i="6"/>
  <c r="D457" i="6"/>
  <c r="P456" i="6"/>
  <c r="C456" i="6"/>
  <c r="O455" i="6"/>
  <c r="B455" i="6"/>
  <c r="N454" i="6"/>
  <c r="A454" i="6"/>
  <c r="M453" i="6"/>
  <c r="T452" i="6"/>
  <c r="L452" i="6"/>
  <c r="S451" i="6"/>
  <c r="H451" i="6"/>
  <c r="R450" i="6"/>
  <c r="E450" i="6"/>
  <c r="Q449" i="6"/>
  <c r="D449" i="6"/>
  <c r="P448" i="6"/>
  <c r="D448" i="6"/>
  <c r="P447" i="6"/>
  <c r="C447" i="6"/>
  <c r="O446" i="6"/>
  <c r="B446" i="6"/>
  <c r="N445" i="6"/>
  <c r="A445" i="6"/>
  <c r="M444" i="6"/>
  <c r="T443" i="6"/>
  <c r="L443" i="6"/>
  <c r="S442" i="6"/>
  <c r="H442" i="6"/>
  <c r="R441" i="6"/>
  <c r="H441" i="6"/>
  <c r="S440" i="6"/>
  <c r="H440" i="6"/>
  <c r="S439" i="6"/>
  <c r="H439" i="6"/>
  <c r="S438" i="6"/>
  <c r="H438" i="6"/>
  <c r="S437" i="6"/>
  <c r="H437" i="6"/>
  <c r="R436" i="6"/>
  <c r="F436" i="6"/>
  <c r="R435" i="6"/>
  <c r="G435" i="6"/>
  <c r="R434" i="6"/>
  <c r="H434" i="6"/>
  <c r="R433" i="6"/>
  <c r="E433" i="6"/>
  <c r="Q432" i="6"/>
  <c r="E432" i="6"/>
  <c r="Q431" i="6"/>
  <c r="F431" i="6"/>
  <c r="R430" i="6"/>
  <c r="E430" i="6"/>
  <c r="Q429" i="6"/>
  <c r="E429" i="6"/>
  <c r="Q428" i="6"/>
  <c r="D428" i="6"/>
  <c r="P427" i="6"/>
  <c r="D427" i="6"/>
  <c r="P426" i="6"/>
  <c r="C426" i="6"/>
  <c r="O425" i="6"/>
  <c r="B425" i="6"/>
  <c r="N424" i="6"/>
  <c r="A424" i="6"/>
  <c r="M423" i="6"/>
  <c r="B423" i="6"/>
  <c r="N422" i="6"/>
  <c r="A422" i="6"/>
  <c r="M421" i="6"/>
  <c r="T420" i="6"/>
  <c r="L420" i="6"/>
  <c r="S419" i="6"/>
  <c r="H419" i="6"/>
  <c r="R418" i="6"/>
  <c r="H418" i="6"/>
  <c r="R417" i="6"/>
  <c r="E417" i="6"/>
  <c r="Q416" i="6"/>
  <c r="D416" i="6"/>
  <c r="P415" i="6"/>
  <c r="C415" i="6"/>
  <c r="O414" i="6"/>
  <c r="B414" i="6"/>
  <c r="N413" i="6"/>
  <c r="A413" i="6"/>
  <c r="M412" i="6"/>
  <c r="T411" i="6"/>
  <c r="L411" i="6"/>
  <c r="T410" i="6"/>
  <c r="L410" i="6"/>
  <c r="S409" i="6"/>
  <c r="H409" i="6"/>
  <c r="S408" i="6"/>
  <c r="H408" i="6"/>
  <c r="S407" i="6"/>
  <c r="H407" i="6"/>
  <c r="S406" i="6"/>
  <c r="H406" i="6"/>
  <c r="S405" i="6"/>
  <c r="I405" i="6"/>
  <c r="S404" i="6"/>
  <c r="I404" i="6"/>
  <c r="S403" i="6"/>
  <c r="H403" i="6"/>
  <c r="R402" i="6"/>
  <c r="H402" i="6"/>
  <c r="R401" i="6"/>
  <c r="E401" i="6"/>
  <c r="Q400" i="6"/>
  <c r="D400" i="6"/>
  <c r="P399" i="6"/>
  <c r="C399" i="6"/>
  <c r="O398" i="6"/>
  <c r="B398" i="6"/>
  <c r="N397" i="6"/>
  <c r="A397" i="6"/>
  <c r="M396" i="6"/>
  <c r="T395" i="6"/>
  <c r="L395" i="6"/>
  <c r="T394" i="6"/>
  <c r="L394" i="6"/>
  <c r="S393" i="6"/>
  <c r="H393" i="6"/>
  <c r="R392" i="6"/>
  <c r="E392" i="6"/>
  <c r="H655" i="6"/>
  <c r="L654" i="6"/>
  <c r="Q653" i="6"/>
  <c r="C653" i="6"/>
  <c r="M652" i="6"/>
  <c r="S651" i="6"/>
  <c r="H651" i="6"/>
  <c r="Q650" i="6"/>
  <c r="D650" i="6"/>
  <c r="O649" i="6"/>
  <c r="B649" i="6"/>
  <c r="M648" i="6"/>
  <c r="S647" i="6"/>
  <c r="H647" i="6"/>
  <c r="Q646" i="6"/>
  <c r="D646" i="6"/>
  <c r="O645" i="6"/>
  <c r="B645" i="6"/>
  <c r="M644" i="6"/>
  <c r="S643" i="6"/>
  <c r="H643" i="6"/>
  <c r="Q642" i="6"/>
  <c r="D642" i="6"/>
  <c r="O641" i="6"/>
  <c r="B641" i="6"/>
  <c r="M640" i="6"/>
  <c r="S639" i="6"/>
  <c r="H639" i="6"/>
  <c r="Q638" i="6"/>
  <c r="D638" i="6"/>
  <c r="O637" i="6"/>
  <c r="B637" i="6"/>
  <c r="M636" i="6"/>
  <c r="S635" i="6"/>
  <c r="H635" i="6"/>
  <c r="Q634" i="6"/>
  <c r="D634" i="6"/>
  <c r="O633" i="6"/>
  <c r="B633" i="6"/>
  <c r="M632" i="6"/>
  <c r="S631" i="6"/>
  <c r="H631" i="6"/>
  <c r="Q630" i="6"/>
  <c r="D630" i="6"/>
  <c r="O629" i="6"/>
  <c r="B629" i="6"/>
  <c r="M628" i="6"/>
  <c r="S627" i="6"/>
  <c r="H627" i="6"/>
  <c r="Q626" i="6"/>
  <c r="D626" i="6"/>
  <c r="O625" i="6"/>
  <c r="B625" i="6"/>
  <c r="M624" i="6"/>
  <c r="B624" i="6"/>
  <c r="M623" i="6"/>
  <c r="S622" i="6"/>
  <c r="H622" i="6"/>
  <c r="Q621" i="6"/>
  <c r="E621" i="6"/>
  <c r="P620" i="6"/>
  <c r="C620" i="6"/>
  <c r="N619" i="6"/>
  <c r="A619" i="6"/>
  <c r="L618" i="6"/>
  <c r="R617" i="6"/>
  <c r="E617" i="6"/>
  <c r="P616" i="6"/>
  <c r="C616" i="6"/>
  <c r="N615" i="6"/>
  <c r="A615" i="6"/>
  <c r="L614" i="6"/>
  <c r="R613" i="6"/>
  <c r="E613" i="6"/>
  <c r="P612" i="6"/>
  <c r="C612" i="6"/>
  <c r="N611" i="6"/>
  <c r="A611" i="6"/>
  <c r="L610" i="6"/>
  <c r="R609" i="6"/>
  <c r="E609" i="6"/>
  <c r="P608" i="6"/>
  <c r="C608" i="6"/>
  <c r="N607" i="6"/>
  <c r="A607" i="6"/>
  <c r="L606" i="6"/>
  <c r="R605" i="6"/>
  <c r="E605" i="6"/>
  <c r="P604" i="6"/>
  <c r="C604" i="6"/>
  <c r="N603" i="6"/>
  <c r="A603" i="6"/>
  <c r="L602" i="6"/>
  <c r="S601" i="6"/>
  <c r="H601" i="6"/>
  <c r="Q600" i="6"/>
  <c r="D600" i="6"/>
  <c r="O599" i="6"/>
  <c r="B599" i="6"/>
  <c r="N598" i="6"/>
  <c r="A598" i="6"/>
  <c r="M597" i="6"/>
  <c r="T596" i="6"/>
  <c r="L596" i="6"/>
  <c r="S595" i="6"/>
  <c r="H595" i="6"/>
  <c r="R594" i="6"/>
  <c r="E594" i="6"/>
  <c r="P593" i="6"/>
  <c r="C593" i="6"/>
  <c r="N592" i="6"/>
  <c r="A592" i="6"/>
  <c r="M591" i="6"/>
  <c r="T590" i="6"/>
  <c r="L590" i="6"/>
  <c r="S589" i="6"/>
  <c r="H589" i="6"/>
  <c r="R588" i="6"/>
  <c r="H588" i="6"/>
  <c r="R587" i="6"/>
  <c r="E587" i="6"/>
  <c r="Q586" i="6"/>
  <c r="D586" i="6"/>
  <c r="P585" i="6"/>
  <c r="C585" i="6"/>
  <c r="O584" i="6"/>
  <c r="B584" i="6"/>
  <c r="N583" i="6"/>
  <c r="B583" i="6"/>
  <c r="N582" i="6"/>
  <c r="A582" i="6"/>
  <c r="M581" i="6"/>
  <c r="B581" i="6"/>
  <c r="N580" i="6"/>
  <c r="A580" i="6"/>
  <c r="M579" i="6"/>
  <c r="S578" i="6"/>
  <c r="I578" i="6"/>
  <c r="S577" i="6"/>
  <c r="H577" i="6"/>
  <c r="S576" i="6"/>
  <c r="H576" i="6"/>
  <c r="S575" i="6"/>
  <c r="H575" i="6"/>
  <c r="R574" i="6"/>
  <c r="E574" i="6"/>
  <c r="Q573" i="6"/>
  <c r="D573" i="6"/>
  <c r="P572" i="6"/>
  <c r="C572" i="6"/>
  <c r="O571" i="6"/>
  <c r="B571" i="6"/>
  <c r="N570" i="6"/>
  <c r="A570" i="6"/>
  <c r="M569" i="6"/>
  <c r="T568" i="6"/>
  <c r="L568" i="6"/>
  <c r="S567" i="6"/>
  <c r="H567" i="6"/>
  <c r="R566" i="6"/>
  <c r="E566" i="6"/>
  <c r="Q565" i="6"/>
  <c r="D565" i="6"/>
  <c r="P564" i="6"/>
  <c r="C564" i="6"/>
  <c r="O563" i="6"/>
  <c r="B563" i="6"/>
  <c r="N562" i="6"/>
  <c r="A562" i="6"/>
  <c r="M561" i="6"/>
  <c r="T560" i="6"/>
  <c r="L560" i="6"/>
  <c r="T559" i="6"/>
  <c r="L559" i="6"/>
  <c r="T558" i="6"/>
  <c r="L558" i="6"/>
  <c r="T557" i="6"/>
  <c r="L557" i="6"/>
  <c r="T556" i="6"/>
  <c r="L556" i="6"/>
  <c r="T555" i="6"/>
  <c r="L555" i="6"/>
  <c r="A555" i="6"/>
  <c r="M554" i="6"/>
  <c r="B554" i="6"/>
  <c r="N553" i="6"/>
  <c r="B553" i="6"/>
  <c r="N552" i="6"/>
  <c r="C552" i="6"/>
  <c r="O551" i="6"/>
  <c r="C551" i="6"/>
  <c r="O550" i="6"/>
  <c r="D550" i="6"/>
  <c r="P549" i="6"/>
  <c r="D549" i="6"/>
  <c r="P548" i="6"/>
  <c r="E548" i="6"/>
  <c r="Q547" i="6"/>
  <c r="E547" i="6"/>
  <c r="Q546" i="6"/>
  <c r="E546" i="6"/>
  <c r="Q545" i="6"/>
  <c r="E545" i="6"/>
  <c r="Q544" i="6"/>
  <c r="E544" i="6"/>
  <c r="Q543" i="6"/>
  <c r="E543" i="6"/>
  <c r="Q542" i="6"/>
  <c r="E542" i="6"/>
  <c r="Q541" i="6"/>
  <c r="E541" i="6"/>
  <c r="Q540" i="6"/>
  <c r="E540" i="6"/>
  <c r="Q539" i="6"/>
  <c r="G539" i="6"/>
  <c r="R538" i="6"/>
  <c r="H538" i="6"/>
  <c r="R537" i="6"/>
  <c r="H537" i="6"/>
  <c r="R536" i="6"/>
  <c r="H536" i="6"/>
  <c r="R535" i="6"/>
  <c r="H535" i="6"/>
  <c r="R534" i="6"/>
  <c r="H534" i="6"/>
  <c r="S533" i="6"/>
  <c r="I533" i="6"/>
  <c r="S532" i="6"/>
  <c r="I532" i="6"/>
  <c r="S531" i="6"/>
  <c r="I531" i="6"/>
  <c r="S530" i="6"/>
  <c r="I530" i="6"/>
  <c r="S529" i="6"/>
  <c r="I529" i="6"/>
  <c r="S528" i="6"/>
  <c r="I528" i="6"/>
  <c r="S527" i="6"/>
  <c r="I527" i="6"/>
  <c r="S526" i="6"/>
  <c r="I526" i="6"/>
  <c r="S525" i="6"/>
  <c r="I525" i="6"/>
  <c r="S524" i="6"/>
  <c r="I524" i="6"/>
  <c r="S523" i="6"/>
  <c r="I523" i="6"/>
  <c r="S522" i="6"/>
  <c r="I522" i="6"/>
  <c r="S521" i="6"/>
  <c r="I521" i="6"/>
  <c r="S520" i="6"/>
  <c r="I520" i="6"/>
  <c r="S519" i="6"/>
  <c r="I519" i="6"/>
  <c r="S518" i="6"/>
  <c r="I518" i="6"/>
  <c r="S517" i="6"/>
  <c r="I517" i="6"/>
  <c r="S516" i="6"/>
  <c r="I516" i="6"/>
  <c r="S515" i="6"/>
  <c r="I515" i="6"/>
  <c r="S514" i="6"/>
  <c r="I514" i="6"/>
  <c r="S513" i="6"/>
  <c r="I513" i="6"/>
  <c r="S512" i="6"/>
  <c r="I512" i="6"/>
  <c r="S511" i="6"/>
  <c r="I511" i="6"/>
  <c r="S510" i="6"/>
  <c r="I510" i="6"/>
  <c r="S509" i="6"/>
  <c r="I509" i="6"/>
  <c r="S508" i="6"/>
  <c r="I508" i="6"/>
  <c r="S507" i="6"/>
  <c r="I507" i="6"/>
  <c r="S506" i="6"/>
  <c r="I506" i="6"/>
  <c r="S505" i="6"/>
  <c r="I505" i="6"/>
  <c r="S504" i="6"/>
  <c r="I504" i="6"/>
  <c r="S503" i="6"/>
  <c r="I503" i="6"/>
  <c r="S502" i="6"/>
  <c r="I502" i="6"/>
  <c r="S501" i="6"/>
  <c r="I501" i="6"/>
  <c r="S500" i="6"/>
  <c r="I500" i="6"/>
  <c r="S499" i="6"/>
  <c r="H499" i="6"/>
  <c r="R498" i="6"/>
  <c r="F498" i="6"/>
  <c r="R497" i="6"/>
  <c r="G497" i="6"/>
  <c r="R496" i="6"/>
  <c r="F496" i="6"/>
  <c r="R495" i="6"/>
  <c r="G495" i="6"/>
  <c r="R494" i="6"/>
  <c r="F494" i="6"/>
  <c r="R493" i="6"/>
  <c r="G493" i="6"/>
  <c r="R492" i="6"/>
  <c r="F492" i="6"/>
  <c r="R491" i="6"/>
  <c r="G491" i="6"/>
  <c r="R490" i="6"/>
  <c r="F490" i="6"/>
  <c r="R489" i="6"/>
  <c r="G489" i="6"/>
  <c r="R488" i="6"/>
  <c r="E488" i="6"/>
  <c r="Q487" i="6"/>
  <c r="D487" i="6"/>
  <c r="P486" i="6"/>
  <c r="C486" i="6"/>
  <c r="O485" i="6"/>
  <c r="B485" i="6"/>
  <c r="N484" i="6"/>
  <c r="A484" i="6"/>
  <c r="M483" i="6"/>
  <c r="T482" i="6"/>
  <c r="L482" i="6"/>
  <c r="S481" i="6"/>
  <c r="H481" i="6"/>
  <c r="R480" i="6"/>
  <c r="E480" i="6"/>
  <c r="Q479" i="6"/>
  <c r="D479" i="6"/>
  <c r="P478" i="6"/>
  <c r="C478" i="6"/>
  <c r="O477" i="6"/>
  <c r="B477" i="6"/>
  <c r="N476" i="6"/>
  <c r="A476" i="6"/>
  <c r="M475" i="6"/>
  <c r="T474" i="6"/>
  <c r="L474" i="6"/>
  <c r="S473" i="6"/>
  <c r="H473" i="6"/>
  <c r="R472" i="6"/>
  <c r="E472" i="6"/>
  <c r="Q471" i="6"/>
  <c r="E471" i="6"/>
  <c r="Q470" i="6"/>
  <c r="D470" i="6"/>
  <c r="P469" i="6"/>
  <c r="C469" i="6"/>
  <c r="O468" i="6"/>
  <c r="B468" i="6"/>
  <c r="N467" i="6"/>
  <c r="A467" i="6"/>
  <c r="M466" i="6"/>
  <c r="A466" i="6"/>
  <c r="M465" i="6"/>
  <c r="A465" i="6"/>
  <c r="M464" i="6"/>
  <c r="T463" i="6"/>
  <c r="L463" i="6"/>
  <c r="T462" i="6"/>
  <c r="L462" i="6"/>
  <c r="T461" i="6"/>
  <c r="L461" i="6"/>
  <c r="S460" i="6"/>
  <c r="H460" i="6"/>
  <c r="R459" i="6"/>
  <c r="E459" i="6"/>
  <c r="Q458" i="6"/>
  <c r="D458" i="6"/>
  <c r="P457" i="6"/>
  <c r="C457" i="6"/>
  <c r="O456" i="6"/>
  <c r="B456" i="6"/>
  <c r="N455" i="6"/>
  <c r="A455" i="6"/>
  <c r="M454" i="6"/>
  <c r="T453" i="6"/>
  <c r="L453" i="6"/>
  <c r="S452" i="6"/>
  <c r="H452" i="6"/>
  <c r="R451" i="6"/>
  <c r="E451" i="6"/>
  <c r="Q450" i="6"/>
  <c r="D450" i="6"/>
  <c r="P449" i="6"/>
  <c r="C449" i="6"/>
  <c r="O448" i="6"/>
  <c r="C448" i="6"/>
  <c r="O447" i="6"/>
  <c r="B447" i="6"/>
  <c r="N446" i="6"/>
  <c r="A446" i="6"/>
  <c r="M445" i="6"/>
  <c r="T444" i="6"/>
  <c r="L444" i="6"/>
  <c r="S443" i="6"/>
  <c r="H443" i="6"/>
  <c r="R442" i="6"/>
  <c r="E442" i="6"/>
  <c r="Q441" i="6"/>
  <c r="F441" i="6"/>
  <c r="R440" i="6"/>
  <c r="G440" i="6"/>
  <c r="R439" i="6"/>
  <c r="F439" i="6"/>
  <c r="R438" i="6"/>
  <c r="G438" i="6"/>
  <c r="R437" i="6"/>
  <c r="E437" i="6"/>
  <c r="Q436" i="6"/>
  <c r="E436" i="6"/>
  <c r="Q435" i="6"/>
  <c r="E435" i="6"/>
  <c r="Q434" i="6"/>
  <c r="E434" i="6"/>
  <c r="Q433" i="6"/>
  <c r="D433" i="6"/>
  <c r="P432" i="6"/>
  <c r="D432" i="6"/>
  <c r="P431" i="6"/>
  <c r="E431" i="6"/>
  <c r="Q430" i="6"/>
  <c r="D430" i="6"/>
  <c r="P429" i="6"/>
  <c r="D429" i="6"/>
  <c r="P428" i="6"/>
  <c r="C428" i="6"/>
  <c r="O427" i="6"/>
  <c r="C427" i="6"/>
  <c r="O426" i="6"/>
  <c r="B426" i="6"/>
  <c r="N425" i="6"/>
  <c r="A425" i="6"/>
  <c r="M424" i="6"/>
  <c r="T423" i="6"/>
  <c r="L423" i="6"/>
  <c r="A423" i="6"/>
  <c r="M422" i="6"/>
  <c r="T421" i="6"/>
  <c r="L421" i="6"/>
  <c r="S420" i="6"/>
  <c r="H420" i="6"/>
  <c r="R419" i="6"/>
  <c r="E419" i="6"/>
  <c r="Q418" i="6"/>
  <c r="E418" i="6"/>
  <c r="Q417" i="6"/>
  <c r="D417" i="6"/>
  <c r="P416" i="6"/>
  <c r="C416" i="6"/>
  <c r="O415" i="6"/>
  <c r="B415" i="6"/>
  <c r="N414" i="6"/>
  <c r="A414" i="6"/>
  <c r="M413" i="6"/>
  <c r="T412" i="6"/>
  <c r="L412" i="6"/>
  <c r="S411" i="6"/>
  <c r="I411" i="6"/>
  <c r="S410" i="6"/>
  <c r="H410" i="6"/>
  <c r="R409" i="6"/>
  <c r="F409" i="6"/>
  <c r="R408" i="6"/>
  <c r="G408" i="6"/>
  <c r="R407" i="6"/>
  <c r="F407" i="6"/>
  <c r="R406" i="6"/>
  <c r="G406" i="6"/>
  <c r="R405" i="6"/>
  <c r="H405" i="6"/>
  <c r="R404" i="6"/>
  <c r="H404" i="6"/>
  <c r="R403" i="6"/>
  <c r="E403" i="6"/>
  <c r="Q402" i="6"/>
  <c r="E402" i="6"/>
  <c r="Q401" i="6"/>
  <c r="D401" i="6"/>
  <c r="P400" i="6"/>
  <c r="C400" i="6"/>
  <c r="O399" i="6"/>
  <c r="B399" i="6"/>
  <c r="N398" i="6"/>
  <c r="A398" i="6"/>
  <c r="M397" i="6"/>
  <c r="T396" i="6"/>
  <c r="L396" i="6"/>
  <c r="S395" i="6"/>
  <c r="I395" i="6"/>
  <c r="S394" i="6"/>
  <c r="H394" i="6"/>
  <c r="R393" i="6"/>
  <c r="E393" i="6"/>
  <c r="Q392" i="6"/>
  <c r="E655" i="6"/>
  <c r="H654" i="6"/>
  <c r="P653" i="6"/>
  <c r="B653" i="6"/>
  <c r="L652" i="6"/>
  <c r="R651" i="6"/>
  <c r="E651" i="6"/>
  <c r="P650" i="6"/>
  <c r="C650" i="6"/>
  <c r="N649" i="6"/>
  <c r="A649" i="6"/>
  <c r="L648" i="6"/>
  <c r="R647" i="6"/>
  <c r="E647" i="6"/>
  <c r="P646" i="6"/>
  <c r="C646" i="6"/>
  <c r="N645" i="6"/>
  <c r="A645" i="6"/>
  <c r="L644" i="6"/>
  <c r="R643" i="6"/>
  <c r="E643" i="6"/>
  <c r="P642" i="6"/>
  <c r="C642" i="6"/>
  <c r="N641" i="6"/>
  <c r="A641" i="6"/>
  <c r="L640" i="6"/>
  <c r="R639" i="6"/>
  <c r="E639" i="6"/>
  <c r="P638" i="6"/>
  <c r="C638" i="6"/>
  <c r="N637" i="6"/>
  <c r="A637" i="6"/>
  <c r="L636" i="6"/>
  <c r="R635" i="6"/>
  <c r="E635" i="6"/>
  <c r="P634" i="6"/>
  <c r="C634" i="6"/>
  <c r="N633" i="6"/>
  <c r="A633" i="6"/>
  <c r="L632" i="6"/>
  <c r="R631" i="6"/>
  <c r="E631" i="6"/>
  <c r="P630" i="6"/>
  <c r="C630" i="6"/>
  <c r="N629" i="6"/>
  <c r="A629" i="6"/>
  <c r="L628" i="6"/>
  <c r="R627" i="6"/>
  <c r="E627" i="6"/>
  <c r="P626" i="6"/>
  <c r="C626" i="6"/>
  <c r="N625" i="6"/>
  <c r="A625" i="6"/>
  <c r="L624" i="6"/>
  <c r="A624" i="6"/>
  <c r="L623" i="6"/>
  <c r="R622" i="6"/>
  <c r="E622" i="6"/>
  <c r="P621" i="6"/>
  <c r="D621" i="6"/>
  <c r="O620" i="6"/>
  <c r="B620" i="6"/>
  <c r="M619" i="6"/>
  <c r="S618" i="6"/>
  <c r="H618" i="6"/>
  <c r="Q617" i="6"/>
  <c r="D617" i="6"/>
  <c r="O616" i="6"/>
  <c r="B616" i="6"/>
  <c r="M615" i="6"/>
  <c r="S614" i="6"/>
  <c r="H614" i="6"/>
  <c r="Q613" i="6"/>
  <c r="D613" i="6"/>
  <c r="O612" i="6"/>
  <c r="B612" i="6"/>
  <c r="M611" i="6"/>
  <c r="S610" i="6"/>
  <c r="H610" i="6"/>
  <c r="Q609" i="6"/>
  <c r="D609" i="6"/>
  <c r="O608" i="6"/>
  <c r="B608" i="6"/>
  <c r="M607" i="6"/>
  <c r="S606" i="6"/>
  <c r="H606" i="6"/>
  <c r="Q605" i="6"/>
  <c r="D605" i="6"/>
  <c r="O604" i="6"/>
  <c r="B604" i="6"/>
  <c r="M603" i="6"/>
  <c r="S602" i="6"/>
  <c r="H602" i="6"/>
  <c r="R601" i="6"/>
  <c r="E601" i="6"/>
  <c r="P600" i="6"/>
  <c r="C600" i="6"/>
  <c r="N599" i="6"/>
  <c r="A599" i="6"/>
  <c r="M598" i="6"/>
  <c r="T597" i="6"/>
  <c r="L597" i="6"/>
  <c r="S596" i="6"/>
  <c r="H596" i="6"/>
  <c r="R595" i="6"/>
  <c r="E595" i="6"/>
  <c r="Q594" i="6"/>
  <c r="D594" i="6"/>
  <c r="O593" i="6"/>
  <c r="B593" i="6"/>
  <c r="M592" i="6"/>
  <c r="T591" i="6"/>
  <c r="L591" i="6"/>
  <c r="S590" i="6"/>
  <c r="H590" i="6"/>
  <c r="R589" i="6"/>
  <c r="E589" i="6"/>
  <c r="Q588" i="6"/>
  <c r="E588" i="6"/>
  <c r="Q587" i="6"/>
  <c r="D587" i="6"/>
  <c r="P586" i="6"/>
  <c r="C586" i="6"/>
  <c r="O585" i="6"/>
  <c r="B585" i="6"/>
  <c r="N584" i="6"/>
  <c r="A584" i="6"/>
  <c r="M583" i="6"/>
  <c r="A583" i="6"/>
  <c r="M582" i="6"/>
  <c r="T581" i="6"/>
  <c r="L581" i="6"/>
  <c r="A581" i="6"/>
  <c r="M580" i="6"/>
  <c r="T579" i="6"/>
  <c r="L579" i="6"/>
  <c r="R578" i="6"/>
  <c r="H578" i="6"/>
  <c r="R577" i="6"/>
  <c r="G577" i="6"/>
  <c r="R576" i="6"/>
  <c r="F576" i="6"/>
  <c r="R575" i="6"/>
  <c r="E575" i="6"/>
  <c r="Q574" i="6"/>
  <c r="D574" i="6"/>
  <c r="P573" i="6"/>
  <c r="C573" i="6"/>
  <c r="O572" i="6"/>
  <c r="B572" i="6"/>
  <c r="N571" i="6"/>
  <c r="A571" i="6"/>
  <c r="M570" i="6"/>
  <c r="T569" i="6"/>
  <c r="L569" i="6"/>
  <c r="S568" i="6"/>
  <c r="H568" i="6"/>
  <c r="R567" i="6"/>
  <c r="E567" i="6"/>
  <c r="Q566" i="6"/>
  <c r="D566" i="6"/>
  <c r="P565" i="6"/>
  <c r="C565" i="6"/>
  <c r="O564" i="6"/>
  <c r="B564" i="6"/>
  <c r="N563" i="6"/>
  <c r="A563" i="6"/>
  <c r="M562" i="6"/>
  <c r="T561" i="6"/>
  <c r="L561" i="6"/>
  <c r="S560" i="6"/>
  <c r="I560" i="6"/>
  <c r="S559" i="6"/>
  <c r="I559" i="6"/>
  <c r="S558" i="6"/>
  <c r="I558" i="6"/>
  <c r="S557" i="6"/>
  <c r="I557" i="6"/>
  <c r="S556" i="6"/>
  <c r="H556" i="6"/>
  <c r="S555" i="6"/>
  <c r="I555" i="6"/>
  <c r="T554" i="6"/>
  <c r="L554" i="6"/>
  <c r="A554" i="6"/>
  <c r="M553" i="6"/>
  <c r="A553" i="6"/>
  <c r="M552" i="6"/>
  <c r="B552" i="6"/>
  <c r="N551" i="6"/>
  <c r="B551" i="6"/>
  <c r="N550" i="6"/>
  <c r="C550" i="6"/>
  <c r="O549" i="6"/>
  <c r="C549" i="6"/>
  <c r="O548" i="6"/>
  <c r="D548" i="6"/>
  <c r="P547" i="6"/>
  <c r="D547" i="6"/>
  <c r="P546" i="6"/>
  <c r="D546" i="6"/>
  <c r="P545" i="6"/>
  <c r="D545" i="6"/>
  <c r="P544" i="6"/>
  <c r="D544" i="6"/>
  <c r="P543" i="6"/>
  <c r="D543" i="6"/>
  <c r="P542" i="6"/>
  <c r="D542" i="6"/>
  <c r="P541" i="6"/>
  <c r="D541" i="6"/>
  <c r="P540" i="6"/>
  <c r="D540" i="6"/>
  <c r="P539" i="6"/>
  <c r="E539" i="6"/>
  <c r="Q538" i="6"/>
  <c r="E538" i="6"/>
  <c r="Q537" i="6"/>
  <c r="E537" i="6"/>
  <c r="Q536" i="6"/>
  <c r="E536" i="6"/>
  <c r="Q535" i="6"/>
  <c r="E535" i="6"/>
  <c r="Q534" i="6"/>
  <c r="F534" i="6"/>
  <c r="R533" i="6"/>
  <c r="H533" i="6"/>
  <c r="R532" i="6"/>
  <c r="H532" i="6"/>
  <c r="R531" i="6"/>
  <c r="H531" i="6"/>
  <c r="R530" i="6"/>
  <c r="H530" i="6"/>
  <c r="R529" i="6"/>
  <c r="H529" i="6"/>
  <c r="R528" i="6"/>
  <c r="H528" i="6"/>
  <c r="R527" i="6"/>
  <c r="H527" i="6"/>
  <c r="R526" i="6"/>
  <c r="H526" i="6"/>
  <c r="R525" i="6"/>
  <c r="H525" i="6"/>
  <c r="R524" i="6"/>
  <c r="H524" i="6"/>
  <c r="R523" i="6"/>
  <c r="H523" i="6"/>
  <c r="R522" i="6"/>
  <c r="H522" i="6"/>
  <c r="R521" i="6"/>
  <c r="H521" i="6"/>
  <c r="R520" i="6"/>
  <c r="H520" i="6"/>
  <c r="R519" i="6"/>
  <c r="H519" i="6"/>
  <c r="R518" i="6"/>
  <c r="H518" i="6"/>
  <c r="R517" i="6"/>
  <c r="H517" i="6"/>
  <c r="R516" i="6"/>
  <c r="H516" i="6"/>
  <c r="R515" i="6"/>
  <c r="H515" i="6"/>
  <c r="R514" i="6"/>
  <c r="H514" i="6"/>
  <c r="R513" i="6"/>
  <c r="H513" i="6"/>
  <c r="R512" i="6"/>
  <c r="H512" i="6"/>
  <c r="R511" i="6"/>
  <c r="H511" i="6"/>
  <c r="R510" i="6"/>
  <c r="H510" i="6"/>
  <c r="R509" i="6"/>
  <c r="H509" i="6"/>
  <c r="R508" i="6"/>
  <c r="H508" i="6"/>
  <c r="R507" i="6"/>
  <c r="H507" i="6"/>
  <c r="R506" i="6"/>
  <c r="H506" i="6"/>
  <c r="R505" i="6"/>
  <c r="H505" i="6"/>
  <c r="R504" i="6"/>
  <c r="H504" i="6"/>
  <c r="R503" i="6"/>
  <c r="H503" i="6"/>
  <c r="R502" i="6"/>
  <c r="H502" i="6"/>
  <c r="R501" i="6"/>
  <c r="H501" i="6"/>
  <c r="R500" i="6"/>
  <c r="H500" i="6"/>
  <c r="R499" i="6"/>
  <c r="E499" i="6"/>
  <c r="Q498" i="6"/>
  <c r="E498" i="6"/>
  <c r="Q497" i="6"/>
  <c r="E497" i="6"/>
  <c r="Q496" i="6"/>
  <c r="E496" i="6"/>
  <c r="Q495" i="6"/>
  <c r="E495" i="6"/>
  <c r="Q494" i="6"/>
  <c r="E494" i="6"/>
  <c r="Q493" i="6"/>
  <c r="E493" i="6"/>
  <c r="Q492" i="6"/>
  <c r="E492" i="6"/>
  <c r="Q491" i="6"/>
  <c r="E491" i="6"/>
  <c r="Q490" i="6"/>
  <c r="E490" i="6"/>
  <c r="Q489" i="6"/>
  <c r="E489" i="6"/>
  <c r="Q488" i="6"/>
  <c r="D488" i="6"/>
  <c r="P487" i="6"/>
  <c r="C487" i="6"/>
  <c r="O486" i="6"/>
  <c r="B486" i="6"/>
  <c r="N485" i="6"/>
  <c r="A485" i="6"/>
  <c r="M484" i="6"/>
  <c r="T483" i="6"/>
  <c r="L483" i="6"/>
  <c r="S482" i="6"/>
  <c r="H482" i="6"/>
  <c r="R481" i="6"/>
  <c r="E481" i="6"/>
  <c r="Q480" i="6"/>
  <c r="D480" i="6"/>
  <c r="P479" i="6"/>
  <c r="C479" i="6"/>
  <c r="O478" i="6"/>
  <c r="B478" i="6"/>
  <c r="N477" i="6"/>
  <c r="A477" i="6"/>
  <c r="M476" i="6"/>
  <c r="T475" i="6"/>
  <c r="L475" i="6"/>
  <c r="S474" i="6"/>
  <c r="H474" i="6"/>
  <c r="R473" i="6"/>
  <c r="E473" i="6"/>
  <c r="Q472" i="6"/>
  <c r="D472" i="6"/>
  <c r="P471" i="6"/>
  <c r="D471" i="6"/>
  <c r="P470" i="6"/>
  <c r="C470" i="6"/>
  <c r="O469" i="6"/>
  <c r="B469" i="6"/>
  <c r="N468" i="6"/>
  <c r="A468" i="6"/>
  <c r="M467" i="6"/>
  <c r="T466" i="6"/>
  <c r="L466" i="6"/>
  <c r="T465" i="6"/>
  <c r="L465" i="6"/>
  <c r="T464" i="6"/>
  <c r="L464" i="6"/>
  <c r="S463" i="6"/>
  <c r="I463" i="6"/>
  <c r="S462" i="6"/>
  <c r="I462" i="6"/>
  <c r="S461" i="6"/>
  <c r="H461" i="6"/>
  <c r="R460" i="6"/>
  <c r="E460" i="6"/>
  <c r="Q459" i="6"/>
  <c r="D459" i="6"/>
  <c r="P458" i="6"/>
  <c r="C458" i="6"/>
  <c r="O457" i="6"/>
  <c r="B457" i="6"/>
  <c r="N456" i="6"/>
  <c r="A456" i="6"/>
  <c r="M455" i="6"/>
  <c r="T454" i="6"/>
  <c r="L454" i="6"/>
  <c r="S453" i="6"/>
  <c r="H453" i="6"/>
  <c r="R452" i="6"/>
  <c r="E452" i="6"/>
  <c r="Q451" i="6"/>
  <c r="D451" i="6"/>
  <c r="P450" i="6"/>
  <c r="C450" i="6"/>
  <c r="O449" i="6"/>
  <c r="B449" i="6"/>
  <c r="N448" i="6"/>
  <c r="B448" i="6"/>
  <c r="N447" i="6"/>
  <c r="A447" i="6"/>
  <c r="M446" i="6"/>
  <c r="T445" i="6"/>
  <c r="L445" i="6"/>
  <c r="S444" i="6"/>
  <c r="H444" i="6"/>
  <c r="R443" i="6"/>
  <c r="E443" i="6"/>
  <c r="Q442" i="6"/>
  <c r="D442" i="6"/>
  <c r="P441" i="6"/>
  <c r="E441" i="6"/>
  <c r="Q440" i="6"/>
  <c r="E440" i="6"/>
  <c r="Q439" i="6"/>
  <c r="E439" i="6"/>
  <c r="Q438" i="6"/>
  <c r="E438" i="6"/>
  <c r="Q437" i="6"/>
  <c r="D437" i="6"/>
  <c r="P436" i="6"/>
  <c r="D436" i="6"/>
  <c r="P435" i="6"/>
  <c r="D435" i="6"/>
  <c r="P434" i="6"/>
  <c r="D434" i="6"/>
  <c r="P433" i="6"/>
  <c r="C433" i="6"/>
  <c r="O432" i="6"/>
  <c r="C432" i="6"/>
  <c r="O431" i="6"/>
  <c r="D431" i="6"/>
  <c r="P430" i="6"/>
  <c r="C430" i="6"/>
  <c r="O429" i="6"/>
  <c r="C429" i="6"/>
  <c r="O428" i="6"/>
  <c r="B428" i="6"/>
  <c r="N427" i="6"/>
  <c r="B427" i="6"/>
  <c r="N426" i="6"/>
  <c r="A426" i="6"/>
  <c r="M425" i="6"/>
  <c r="T424" i="6"/>
  <c r="L424" i="6"/>
  <c r="S423" i="6"/>
  <c r="I423" i="6"/>
  <c r="T422" i="6"/>
  <c r="L422" i="6"/>
  <c r="S421" i="6"/>
  <c r="H421" i="6"/>
  <c r="R420" i="6"/>
  <c r="E420" i="6"/>
  <c r="Q419" i="6"/>
  <c r="D419" i="6"/>
  <c r="P418" i="6"/>
  <c r="D418" i="6"/>
  <c r="P417" i="6"/>
  <c r="C417" i="6"/>
  <c r="O416" i="6"/>
  <c r="B416" i="6"/>
  <c r="N415" i="6"/>
  <c r="A415" i="6"/>
  <c r="M414" i="6"/>
  <c r="T413" i="6"/>
  <c r="L413" i="6"/>
  <c r="S412" i="6"/>
  <c r="H412" i="6"/>
  <c r="R411" i="6"/>
  <c r="H411" i="6"/>
  <c r="R410" i="6"/>
  <c r="E410" i="6"/>
  <c r="Q409" i="6"/>
  <c r="E409" i="6"/>
  <c r="Q408" i="6"/>
  <c r="E408" i="6"/>
  <c r="Q407" i="6"/>
  <c r="E407" i="6"/>
  <c r="Q406" i="6"/>
  <c r="E406" i="6"/>
  <c r="Q405" i="6"/>
  <c r="E405" i="6"/>
  <c r="Q404" i="6"/>
  <c r="E404" i="6"/>
  <c r="Q403" i="6"/>
  <c r="D403" i="6"/>
  <c r="P402" i="6"/>
  <c r="D402" i="6"/>
  <c r="P401" i="6"/>
  <c r="C401" i="6"/>
  <c r="O400" i="6"/>
  <c r="B400" i="6"/>
  <c r="N399" i="6"/>
  <c r="A399" i="6"/>
  <c r="M398" i="6"/>
  <c r="T397" i="6"/>
  <c r="L397" i="6"/>
  <c r="S396" i="6"/>
  <c r="H396" i="6"/>
  <c r="R395" i="6"/>
  <c r="H395" i="6"/>
  <c r="R394" i="6"/>
  <c r="E394" i="6"/>
  <c r="Q393" i="6"/>
  <c r="D393" i="6"/>
  <c r="P392" i="6"/>
  <c r="C392" i="6"/>
  <c r="D655" i="6"/>
  <c r="E654" i="6"/>
  <c r="O653" i="6"/>
  <c r="A653" i="6"/>
  <c r="H652" i="6"/>
  <c r="Q651" i="6"/>
  <c r="D651" i="6"/>
  <c r="O650" i="6"/>
  <c r="B650" i="6"/>
  <c r="M649" i="6"/>
  <c r="S648" i="6"/>
  <c r="H648" i="6"/>
  <c r="Q647" i="6"/>
  <c r="D647" i="6"/>
  <c r="O646" i="6"/>
  <c r="B646" i="6"/>
  <c r="M645" i="6"/>
  <c r="S644" i="6"/>
  <c r="H644" i="6"/>
  <c r="Q643" i="6"/>
  <c r="D643" i="6"/>
  <c r="O642" i="6"/>
  <c r="B642" i="6"/>
  <c r="M641" i="6"/>
  <c r="S640" i="6"/>
  <c r="H640" i="6"/>
  <c r="Q639" i="6"/>
  <c r="D639" i="6"/>
  <c r="O638" i="6"/>
  <c r="B638" i="6"/>
  <c r="M637" i="6"/>
  <c r="S636" i="6"/>
  <c r="H636" i="6"/>
  <c r="Q635" i="6"/>
  <c r="D635" i="6"/>
  <c r="O634" i="6"/>
  <c r="B634" i="6"/>
  <c r="M633" i="6"/>
  <c r="S632" i="6"/>
  <c r="H632" i="6"/>
  <c r="Q631" i="6"/>
  <c r="D631" i="6"/>
  <c r="O630" i="6"/>
  <c r="B630" i="6"/>
  <c r="M629" i="6"/>
  <c r="S628" i="6"/>
  <c r="H628" i="6"/>
  <c r="Q627" i="6"/>
  <c r="D627" i="6"/>
  <c r="O626" i="6"/>
  <c r="B626" i="6"/>
  <c r="M625" i="6"/>
  <c r="S624" i="6"/>
  <c r="I624" i="6"/>
  <c r="S623" i="6"/>
  <c r="H623" i="6"/>
  <c r="Q622" i="6"/>
  <c r="D622" i="6"/>
  <c r="O621" i="6"/>
  <c r="C621" i="6"/>
  <c r="N620" i="6"/>
  <c r="A620" i="6"/>
  <c r="L619" i="6"/>
  <c r="R618" i="6"/>
  <c r="E618" i="6"/>
  <c r="P617" i="6"/>
  <c r="C617" i="6"/>
  <c r="N616" i="6"/>
  <c r="A616" i="6"/>
  <c r="L615" i="6"/>
  <c r="R614" i="6"/>
  <c r="E614" i="6"/>
  <c r="P613" i="6"/>
  <c r="C613" i="6"/>
  <c r="N612" i="6"/>
  <c r="A612" i="6"/>
  <c r="L611" i="6"/>
  <c r="R610" i="6"/>
  <c r="E610" i="6"/>
  <c r="P609" i="6"/>
  <c r="C609" i="6"/>
  <c r="N608" i="6"/>
  <c r="A608" i="6"/>
  <c r="L607" i="6"/>
  <c r="R606" i="6"/>
  <c r="E606" i="6"/>
  <c r="P605" i="6"/>
  <c r="C605" i="6"/>
  <c r="N604" i="6"/>
  <c r="A604" i="6"/>
  <c r="L603" i="6"/>
  <c r="R602" i="6"/>
  <c r="E602" i="6"/>
  <c r="Q601" i="6"/>
  <c r="D601" i="6"/>
  <c r="O600" i="6"/>
  <c r="B600" i="6"/>
  <c r="M599" i="6"/>
  <c r="T598" i="6"/>
  <c r="L598" i="6"/>
  <c r="S597" i="6"/>
  <c r="H597" i="6"/>
  <c r="R596" i="6"/>
  <c r="E596" i="6"/>
  <c r="Q595" i="6"/>
  <c r="D595" i="6"/>
  <c r="P594" i="6"/>
  <c r="C594" i="6"/>
  <c r="N593" i="6"/>
  <c r="A593" i="6"/>
  <c r="L592" i="6"/>
  <c r="S591" i="6"/>
  <c r="H591" i="6"/>
  <c r="R590" i="6"/>
  <c r="E590" i="6"/>
  <c r="Q589" i="6"/>
  <c r="D589" i="6"/>
  <c r="P588" i="6"/>
  <c r="D588" i="6"/>
  <c r="P587" i="6"/>
  <c r="C587" i="6"/>
  <c r="O586" i="6"/>
  <c r="B586" i="6"/>
  <c r="N585" i="6"/>
  <c r="A585" i="6"/>
  <c r="M584" i="6"/>
  <c r="T583" i="6"/>
  <c r="L583" i="6"/>
  <c r="T582" i="6"/>
  <c r="L582" i="6"/>
  <c r="S581" i="6"/>
  <c r="I581" i="6"/>
  <c r="T580" i="6"/>
  <c r="L580" i="6"/>
  <c r="S579" i="6"/>
  <c r="H579" i="6"/>
  <c r="Q578" i="6"/>
  <c r="E578" i="6"/>
  <c r="Q577" i="6"/>
  <c r="E577" i="6"/>
  <c r="Q576" i="6"/>
  <c r="E576" i="6"/>
  <c r="Q575" i="6"/>
  <c r="D575" i="6"/>
  <c r="P574" i="6"/>
  <c r="C574" i="6"/>
  <c r="O573" i="6"/>
  <c r="B573" i="6"/>
  <c r="N572" i="6"/>
  <c r="A572" i="6"/>
  <c r="M571" i="6"/>
  <c r="T570" i="6"/>
  <c r="L570" i="6"/>
  <c r="S569" i="6"/>
  <c r="H569" i="6"/>
  <c r="R568" i="6"/>
  <c r="E568" i="6"/>
  <c r="Q567" i="6"/>
  <c r="D567" i="6"/>
  <c r="P566" i="6"/>
  <c r="C566" i="6"/>
  <c r="O565" i="6"/>
  <c r="B565" i="6"/>
  <c r="N564" i="6"/>
  <c r="A564" i="6"/>
  <c r="M563" i="6"/>
  <c r="T562" i="6"/>
  <c r="L562" i="6"/>
  <c r="S561" i="6"/>
  <c r="H561" i="6"/>
  <c r="R560" i="6"/>
  <c r="H560" i="6"/>
  <c r="R559" i="6"/>
  <c r="H559" i="6"/>
  <c r="R558" i="6"/>
  <c r="H558" i="6"/>
  <c r="R557" i="6"/>
  <c r="H557" i="6"/>
  <c r="R556" i="6"/>
  <c r="F556" i="6"/>
  <c r="R555" i="6"/>
  <c r="H555" i="6"/>
  <c r="S554" i="6"/>
  <c r="I554" i="6"/>
  <c r="T553" i="6"/>
  <c r="L553" i="6"/>
  <c r="T552" i="6"/>
  <c r="L552" i="6"/>
  <c r="A552" i="6"/>
  <c r="M551" i="6"/>
  <c r="A551" i="6"/>
  <c r="M550" i="6"/>
  <c r="B550" i="6"/>
  <c r="N549" i="6"/>
  <c r="B549" i="6"/>
  <c r="N548" i="6"/>
  <c r="C548" i="6"/>
  <c r="O547" i="6"/>
  <c r="C547" i="6"/>
  <c r="O546" i="6"/>
  <c r="C546" i="6"/>
  <c r="O545" i="6"/>
  <c r="C545" i="6"/>
  <c r="O544" i="6"/>
  <c r="C544" i="6"/>
  <c r="O543" i="6"/>
  <c r="C543" i="6"/>
  <c r="O542" i="6"/>
  <c r="C542" i="6"/>
  <c r="O541" i="6"/>
  <c r="C541" i="6"/>
  <c r="O540" i="6"/>
  <c r="C540" i="6"/>
  <c r="O539" i="6"/>
  <c r="D539" i="6"/>
  <c r="P538" i="6"/>
  <c r="D538" i="6"/>
  <c r="P537" i="6"/>
  <c r="D537" i="6"/>
  <c r="P536" i="6"/>
  <c r="D536" i="6"/>
  <c r="P535" i="6"/>
  <c r="D535" i="6"/>
  <c r="P534" i="6"/>
  <c r="E534" i="6"/>
  <c r="Q533" i="6"/>
  <c r="E533" i="6"/>
  <c r="Q532" i="6"/>
  <c r="E532" i="6"/>
  <c r="Q531" i="6"/>
  <c r="E531" i="6"/>
  <c r="Q530" i="6"/>
  <c r="E530" i="6"/>
  <c r="Q529" i="6"/>
  <c r="E529" i="6"/>
  <c r="Q528" i="6"/>
  <c r="E528" i="6"/>
  <c r="Q527" i="6"/>
  <c r="E527" i="6"/>
  <c r="Q526" i="6"/>
  <c r="E526" i="6"/>
  <c r="Q525" i="6"/>
  <c r="E525" i="6"/>
  <c r="Q524" i="6"/>
  <c r="E524" i="6"/>
  <c r="Q523" i="6"/>
  <c r="E523" i="6"/>
  <c r="Q522" i="6"/>
  <c r="E522" i="6"/>
  <c r="Q521" i="6"/>
  <c r="E521" i="6"/>
  <c r="Q520" i="6"/>
  <c r="E520" i="6"/>
  <c r="Q519" i="6"/>
  <c r="E519" i="6"/>
  <c r="Q518" i="6"/>
  <c r="E518" i="6"/>
  <c r="Q517" i="6"/>
  <c r="E517" i="6"/>
  <c r="Q516" i="6"/>
  <c r="E516" i="6"/>
  <c r="Q515" i="6"/>
  <c r="E515" i="6"/>
  <c r="Q514" i="6"/>
  <c r="E514" i="6"/>
  <c r="Q513" i="6"/>
  <c r="E513" i="6"/>
  <c r="Q512" i="6"/>
  <c r="E512" i="6"/>
  <c r="Q511" i="6"/>
  <c r="E511" i="6"/>
  <c r="Q510" i="6"/>
  <c r="E510" i="6"/>
  <c r="Q509" i="6"/>
  <c r="E509" i="6"/>
  <c r="Q508" i="6"/>
  <c r="E508" i="6"/>
  <c r="Q507" i="6"/>
  <c r="E507" i="6"/>
  <c r="Q506" i="6"/>
  <c r="E506" i="6"/>
  <c r="Q505" i="6"/>
  <c r="E505" i="6"/>
  <c r="Q504" i="6"/>
  <c r="E504" i="6"/>
  <c r="Q503" i="6"/>
  <c r="E503" i="6"/>
  <c r="Q502" i="6"/>
  <c r="E502" i="6"/>
  <c r="Q501" i="6"/>
  <c r="E501" i="6"/>
  <c r="Q500" i="6"/>
  <c r="E500" i="6"/>
  <c r="Q499" i="6"/>
  <c r="D499" i="6"/>
  <c r="P498" i="6"/>
  <c r="D498" i="6"/>
  <c r="P497" i="6"/>
  <c r="D497" i="6"/>
  <c r="P496" i="6"/>
  <c r="D496" i="6"/>
  <c r="P495" i="6"/>
  <c r="D495" i="6"/>
  <c r="P494" i="6"/>
  <c r="D494" i="6"/>
  <c r="P493" i="6"/>
  <c r="D493" i="6"/>
  <c r="P492" i="6"/>
  <c r="D492" i="6"/>
  <c r="P491" i="6"/>
  <c r="D491" i="6"/>
  <c r="P490" i="6"/>
  <c r="D490" i="6"/>
  <c r="P489" i="6"/>
  <c r="D489" i="6"/>
  <c r="P488" i="6"/>
  <c r="C488" i="6"/>
  <c r="O487" i="6"/>
  <c r="B487" i="6"/>
  <c r="N486" i="6"/>
  <c r="A486" i="6"/>
  <c r="M485" i="6"/>
  <c r="T484" i="6"/>
  <c r="L484" i="6"/>
  <c r="S483" i="6"/>
  <c r="H483" i="6"/>
  <c r="R482" i="6"/>
  <c r="E482" i="6"/>
  <c r="Q481" i="6"/>
  <c r="D481" i="6"/>
  <c r="P480" i="6"/>
  <c r="C480" i="6"/>
  <c r="O479" i="6"/>
  <c r="B479" i="6"/>
  <c r="N478" i="6"/>
  <c r="A478" i="6"/>
  <c r="M477" i="6"/>
  <c r="T476" i="6"/>
  <c r="L476" i="6"/>
  <c r="S475" i="6"/>
  <c r="H475" i="6"/>
  <c r="R474" i="6"/>
  <c r="E474" i="6"/>
  <c r="Q473" i="6"/>
  <c r="D473" i="6"/>
  <c r="P472" i="6"/>
  <c r="C472" i="6"/>
  <c r="O471" i="6"/>
  <c r="C471" i="6"/>
  <c r="O470" i="6"/>
  <c r="B470" i="6"/>
  <c r="N469" i="6"/>
  <c r="A469" i="6"/>
  <c r="M468" i="6"/>
  <c r="T467" i="6"/>
  <c r="L467" i="6"/>
  <c r="S466" i="6"/>
  <c r="I466" i="6"/>
  <c r="S465" i="6"/>
  <c r="I465" i="6"/>
  <c r="S464" i="6"/>
  <c r="H464" i="6"/>
  <c r="R463" i="6"/>
  <c r="H463" i="6"/>
  <c r="R462" i="6"/>
  <c r="H462" i="6"/>
  <c r="R461" i="6"/>
  <c r="E461" i="6"/>
  <c r="Q460" i="6"/>
  <c r="D460" i="6"/>
  <c r="P459" i="6"/>
  <c r="C459" i="6"/>
  <c r="O458" i="6"/>
  <c r="B458" i="6"/>
  <c r="N457" i="6"/>
  <c r="A457" i="6"/>
  <c r="M456" i="6"/>
  <c r="T455" i="6"/>
  <c r="L455" i="6"/>
  <c r="S454" i="6"/>
  <c r="H454" i="6"/>
  <c r="R453" i="6"/>
  <c r="E453" i="6"/>
  <c r="Q452" i="6"/>
  <c r="D452" i="6"/>
  <c r="P451" i="6"/>
  <c r="C451" i="6"/>
  <c r="O450" i="6"/>
  <c r="B450" i="6"/>
  <c r="N449" i="6"/>
  <c r="A449" i="6"/>
  <c r="M448" i="6"/>
  <c r="A448" i="6"/>
  <c r="M447" i="6"/>
  <c r="T446" i="6"/>
  <c r="L446" i="6"/>
  <c r="S445" i="6"/>
  <c r="H445" i="6"/>
  <c r="R444" i="6"/>
  <c r="E444" i="6"/>
  <c r="Q443" i="6"/>
  <c r="D443" i="6"/>
  <c r="P442" i="6"/>
  <c r="C442" i="6"/>
  <c r="O441" i="6"/>
  <c r="D441" i="6"/>
  <c r="P440" i="6"/>
  <c r="D440" i="6"/>
  <c r="P439" i="6"/>
  <c r="D439" i="6"/>
  <c r="P438" i="6"/>
  <c r="D438" i="6"/>
  <c r="P437" i="6"/>
  <c r="C437" i="6"/>
  <c r="O436" i="6"/>
  <c r="C436" i="6"/>
  <c r="O435" i="6"/>
  <c r="C435" i="6"/>
  <c r="O434" i="6"/>
  <c r="C434" i="6"/>
  <c r="O433" i="6"/>
  <c r="B433" i="6"/>
  <c r="N432" i="6"/>
  <c r="B432" i="6"/>
  <c r="N431" i="6"/>
  <c r="C431" i="6"/>
  <c r="O430" i="6"/>
  <c r="B430" i="6"/>
  <c r="N429" i="6"/>
  <c r="B429" i="6"/>
  <c r="N428" i="6"/>
  <c r="A428" i="6"/>
  <c r="M427" i="6"/>
  <c r="A427" i="6"/>
  <c r="M426" i="6"/>
  <c r="T425" i="6"/>
  <c r="L425" i="6"/>
  <c r="S424" i="6"/>
  <c r="H424" i="6"/>
  <c r="R423" i="6"/>
  <c r="H423" i="6"/>
  <c r="S422" i="6"/>
  <c r="H422" i="6"/>
  <c r="R421" i="6"/>
  <c r="E421" i="6"/>
  <c r="Q420" i="6"/>
  <c r="D420" i="6"/>
  <c r="P419" i="6"/>
  <c r="C419" i="6"/>
  <c r="O418" i="6"/>
  <c r="C418" i="6"/>
  <c r="O417" i="6"/>
  <c r="B417" i="6"/>
  <c r="N416" i="6"/>
  <c r="A416" i="6"/>
  <c r="M415" i="6"/>
  <c r="T414" i="6"/>
  <c r="L414" i="6"/>
  <c r="S413" i="6"/>
  <c r="H413" i="6"/>
  <c r="R412" i="6"/>
  <c r="E412" i="6"/>
  <c r="Q411" i="6"/>
  <c r="E411" i="6"/>
  <c r="Q410" i="6"/>
  <c r="D410" i="6"/>
  <c r="P409" i="6"/>
  <c r="D409" i="6"/>
  <c r="P408" i="6"/>
  <c r="D408" i="6"/>
  <c r="P407" i="6"/>
  <c r="D407" i="6"/>
  <c r="P406" i="6"/>
  <c r="D406" i="6"/>
  <c r="P405" i="6"/>
  <c r="D405" i="6"/>
  <c r="P404" i="6"/>
  <c r="D404" i="6"/>
  <c r="P403" i="6"/>
  <c r="C403" i="6"/>
  <c r="O402" i="6"/>
  <c r="C402" i="6"/>
  <c r="O401" i="6"/>
  <c r="B401" i="6"/>
  <c r="N400" i="6"/>
  <c r="A400" i="6"/>
  <c r="M399" i="6"/>
  <c r="T398" i="6"/>
  <c r="L398" i="6"/>
  <c r="S397" i="6"/>
  <c r="H397" i="6"/>
  <c r="R396" i="6"/>
  <c r="E396" i="6"/>
  <c r="Q395" i="6"/>
  <c r="E395" i="6"/>
  <c r="Q394" i="6"/>
  <c r="D394" i="6"/>
  <c r="P393" i="6"/>
  <c r="C393" i="6"/>
  <c r="O392" i="6"/>
  <c r="R654" i="6"/>
  <c r="D654" i="6"/>
  <c r="N653" i="6"/>
  <c r="S652" i="6"/>
  <c r="E652" i="6"/>
  <c r="P651" i="6"/>
  <c r="C651" i="6"/>
  <c r="N650" i="6"/>
  <c r="A650" i="6"/>
  <c r="L649" i="6"/>
  <c r="R648" i="6"/>
  <c r="E648" i="6"/>
  <c r="P647" i="6"/>
  <c r="C647" i="6"/>
  <c r="N646" i="6"/>
  <c r="A646" i="6"/>
  <c r="L645" i="6"/>
  <c r="R644" i="6"/>
  <c r="E644" i="6"/>
  <c r="P643" i="6"/>
  <c r="C643" i="6"/>
  <c r="N642" i="6"/>
  <c r="A642" i="6"/>
  <c r="L641" i="6"/>
  <c r="R640" i="6"/>
  <c r="E640" i="6"/>
  <c r="P639" i="6"/>
  <c r="C639" i="6"/>
  <c r="N638" i="6"/>
  <c r="A638" i="6"/>
  <c r="L637" i="6"/>
  <c r="R636" i="6"/>
  <c r="E636" i="6"/>
  <c r="P635" i="6"/>
  <c r="C635" i="6"/>
  <c r="N634" i="6"/>
  <c r="A634" i="6"/>
  <c r="L633" i="6"/>
  <c r="R632" i="6"/>
  <c r="E632" i="6"/>
  <c r="P631" i="6"/>
  <c r="C631" i="6"/>
  <c r="N630" i="6"/>
  <c r="A630" i="6"/>
  <c r="L629" i="6"/>
  <c r="R628" i="6"/>
  <c r="E628" i="6"/>
  <c r="P627" i="6"/>
  <c r="C627" i="6"/>
  <c r="N626" i="6"/>
  <c r="A626" i="6"/>
  <c r="L625" i="6"/>
  <c r="R624" i="6"/>
  <c r="H624" i="6"/>
  <c r="R623" i="6"/>
  <c r="E623" i="6"/>
  <c r="P622" i="6"/>
  <c r="C622" i="6"/>
  <c r="N621" i="6"/>
  <c r="B621" i="6"/>
  <c r="M620" i="6"/>
  <c r="S619" i="6"/>
  <c r="H619" i="6"/>
  <c r="Q618" i="6"/>
  <c r="D618" i="6"/>
  <c r="O617" i="6"/>
  <c r="B617" i="6"/>
  <c r="M616" i="6"/>
  <c r="S615" i="6"/>
  <c r="H615" i="6"/>
  <c r="Q614" i="6"/>
  <c r="D614" i="6"/>
  <c r="O613" i="6"/>
  <c r="B613" i="6"/>
  <c r="M612" i="6"/>
  <c r="S611" i="6"/>
  <c r="H611" i="6"/>
  <c r="Q610" i="6"/>
  <c r="D610" i="6"/>
  <c r="O609" i="6"/>
  <c r="B609" i="6"/>
  <c r="M608" i="6"/>
  <c r="S607" i="6"/>
  <c r="H607" i="6"/>
  <c r="Q606" i="6"/>
  <c r="D606" i="6"/>
  <c r="O605" i="6"/>
  <c r="B605" i="6"/>
  <c r="M604" i="6"/>
  <c r="S603" i="6"/>
  <c r="H603" i="6"/>
  <c r="Q602" i="6"/>
  <c r="D602" i="6"/>
  <c r="P601" i="6"/>
  <c r="C601" i="6"/>
  <c r="N600" i="6"/>
  <c r="A600" i="6"/>
  <c r="L599" i="6"/>
  <c r="S598" i="6"/>
  <c r="H598" i="6"/>
  <c r="R597" i="6"/>
  <c r="E597" i="6"/>
  <c r="Q596" i="6"/>
  <c r="D596" i="6"/>
  <c r="P595" i="6"/>
  <c r="C595" i="6"/>
  <c r="O594" i="6"/>
  <c r="B594" i="6"/>
  <c r="M593" i="6"/>
  <c r="S592" i="6"/>
  <c r="H592" i="6"/>
  <c r="R591" i="6"/>
  <c r="E591" i="6"/>
  <c r="Q590" i="6"/>
  <c r="D590" i="6"/>
  <c r="P589" i="6"/>
  <c r="C589" i="6"/>
  <c r="O588" i="6"/>
  <c r="C588" i="6"/>
  <c r="O587" i="6"/>
  <c r="B587" i="6"/>
  <c r="N586" i="6"/>
  <c r="A586" i="6"/>
  <c r="M585" i="6"/>
  <c r="T584" i="6"/>
  <c r="L584" i="6"/>
  <c r="S583" i="6"/>
  <c r="I583" i="6"/>
  <c r="S582" i="6"/>
  <c r="H582" i="6"/>
  <c r="R581" i="6"/>
  <c r="H581" i="6"/>
  <c r="S580" i="6"/>
  <c r="H580" i="6"/>
  <c r="R579" i="6"/>
  <c r="E579" i="6"/>
  <c r="P578" i="6"/>
  <c r="D578" i="6"/>
  <c r="P577" i="6"/>
  <c r="D577" i="6"/>
  <c r="P576" i="6"/>
  <c r="D576" i="6"/>
  <c r="P575" i="6"/>
  <c r="C575" i="6"/>
  <c r="O574" i="6"/>
  <c r="B574" i="6"/>
  <c r="N573" i="6"/>
  <c r="A573" i="6"/>
  <c r="M572" i="6"/>
  <c r="T571" i="6"/>
  <c r="L571" i="6"/>
  <c r="S570" i="6"/>
  <c r="H570" i="6"/>
  <c r="R569" i="6"/>
  <c r="E569" i="6"/>
  <c r="Q568" i="6"/>
  <c r="D568" i="6"/>
  <c r="P567" i="6"/>
  <c r="C567" i="6"/>
  <c r="O566" i="6"/>
  <c r="B566" i="6"/>
  <c r="N565" i="6"/>
  <c r="A565" i="6"/>
  <c r="M564" i="6"/>
  <c r="T563" i="6"/>
  <c r="L563" i="6"/>
  <c r="S562" i="6"/>
  <c r="H562" i="6"/>
  <c r="R561" i="6"/>
  <c r="E561" i="6"/>
  <c r="Q560" i="6"/>
  <c r="E560" i="6"/>
  <c r="Q559" i="6"/>
  <c r="E559" i="6"/>
  <c r="Q558" i="6"/>
  <c r="E558" i="6"/>
  <c r="Q557" i="6"/>
  <c r="E557" i="6"/>
  <c r="Q556" i="6"/>
  <c r="E556" i="6"/>
  <c r="Q555" i="6"/>
  <c r="G555" i="6"/>
  <c r="R554" i="6"/>
  <c r="H554" i="6"/>
  <c r="S553" i="6"/>
  <c r="H553" i="6"/>
  <c r="S552" i="6"/>
  <c r="I552" i="6"/>
  <c r="T551" i="6"/>
  <c r="L551" i="6"/>
  <c r="T550" i="6"/>
  <c r="L550" i="6"/>
  <c r="A550" i="6"/>
  <c r="M549" i="6"/>
  <c r="A549" i="6"/>
  <c r="M548" i="6"/>
  <c r="B548" i="6"/>
  <c r="N547" i="6"/>
  <c r="B547" i="6"/>
  <c r="N546" i="6"/>
  <c r="B546" i="6"/>
  <c r="N545" i="6"/>
  <c r="B545" i="6"/>
  <c r="N544" i="6"/>
  <c r="B544" i="6"/>
  <c r="N543" i="6"/>
  <c r="B543" i="6"/>
  <c r="N542" i="6"/>
  <c r="B542" i="6"/>
  <c r="N541" i="6"/>
  <c r="B541" i="6"/>
  <c r="N540" i="6"/>
  <c r="B540" i="6"/>
  <c r="N539" i="6"/>
  <c r="C539" i="6"/>
  <c r="O538" i="6"/>
  <c r="C538" i="6"/>
  <c r="O537" i="6"/>
  <c r="C537" i="6"/>
  <c r="O536" i="6"/>
  <c r="C536" i="6"/>
  <c r="O535" i="6"/>
  <c r="C535" i="6"/>
  <c r="O534" i="6"/>
  <c r="D534" i="6"/>
  <c r="P533" i="6"/>
  <c r="D533" i="6"/>
  <c r="P532" i="6"/>
  <c r="D532" i="6"/>
  <c r="P531" i="6"/>
  <c r="D531" i="6"/>
  <c r="P530" i="6"/>
  <c r="D530" i="6"/>
  <c r="P529" i="6"/>
  <c r="D529" i="6"/>
  <c r="P528" i="6"/>
  <c r="D528" i="6"/>
  <c r="P527" i="6"/>
  <c r="D527" i="6"/>
  <c r="P526" i="6"/>
  <c r="D526" i="6"/>
  <c r="P525" i="6"/>
  <c r="D525" i="6"/>
  <c r="P524" i="6"/>
  <c r="D524" i="6"/>
  <c r="P523" i="6"/>
  <c r="D523" i="6"/>
  <c r="P522" i="6"/>
  <c r="D522" i="6"/>
  <c r="P521" i="6"/>
  <c r="D521" i="6"/>
  <c r="P520" i="6"/>
  <c r="D520" i="6"/>
  <c r="P519" i="6"/>
  <c r="D519" i="6"/>
  <c r="P518" i="6"/>
  <c r="D518" i="6"/>
  <c r="P517" i="6"/>
  <c r="D517" i="6"/>
  <c r="P516" i="6"/>
  <c r="D516" i="6"/>
  <c r="P515" i="6"/>
  <c r="D515" i="6"/>
  <c r="P514" i="6"/>
  <c r="D514" i="6"/>
  <c r="P513" i="6"/>
  <c r="D513" i="6"/>
  <c r="P512" i="6"/>
  <c r="D512" i="6"/>
  <c r="P511" i="6"/>
  <c r="D511" i="6"/>
  <c r="P510" i="6"/>
  <c r="D510" i="6"/>
  <c r="P509" i="6"/>
  <c r="D509" i="6"/>
  <c r="P508" i="6"/>
  <c r="D508" i="6"/>
  <c r="P507" i="6"/>
  <c r="D507" i="6"/>
  <c r="P506" i="6"/>
  <c r="D506" i="6"/>
  <c r="P505" i="6"/>
  <c r="D505" i="6"/>
  <c r="P504" i="6"/>
  <c r="D504" i="6"/>
  <c r="P503" i="6"/>
  <c r="D503" i="6"/>
  <c r="P502" i="6"/>
  <c r="D502" i="6"/>
  <c r="P501" i="6"/>
  <c r="D501" i="6"/>
  <c r="P500" i="6"/>
  <c r="D500" i="6"/>
  <c r="P499" i="6"/>
  <c r="C499" i="6"/>
  <c r="O498" i="6"/>
  <c r="C498" i="6"/>
  <c r="O497" i="6"/>
  <c r="C497" i="6"/>
  <c r="O496" i="6"/>
  <c r="C496" i="6"/>
  <c r="O495" i="6"/>
  <c r="C495" i="6"/>
  <c r="O494" i="6"/>
  <c r="C494" i="6"/>
  <c r="O493" i="6"/>
  <c r="C493" i="6"/>
  <c r="O492" i="6"/>
  <c r="C492" i="6"/>
  <c r="O491" i="6"/>
  <c r="C491" i="6"/>
  <c r="O490" i="6"/>
  <c r="C490" i="6"/>
  <c r="O489" i="6"/>
  <c r="C489" i="6"/>
  <c r="O488" i="6"/>
  <c r="B488" i="6"/>
  <c r="N487" i="6"/>
  <c r="A487" i="6"/>
  <c r="M486" i="6"/>
  <c r="T485" i="6"/>
  <c r="L485" i="6"/>
  <c r="S484" i="6"/>
  <c r="H484" i="6"/>
  <c r="R483" i="6"/>
  <c r="E483" i="6"/>
  <c r="Q482" i="6"/>
  <c r="D482" i="6"/>
  <c r="P481" i="6"/>
  <c r="C481" i="6"/>
  <c r="O480" i="6"/>
  <c r="B480" i="6"/>
  <c r="N479" i="6"/>
  <c r="A479" i="6"/>
  <c r="M478" i="6"/>
  <c r="T477" i="6"/>
  <c r="L477" i="6"/>
  <c r="S476" i="6"/>
  <c r="H476" i="6"/>
  <c r="R475" i="6"/>
  <c r="E475" i="6"/>
  <c r="Q474" i="6"/>
  <c r="D474" i="6"/>
  <c r="P473" i="6"/>
  <c r="C473" i="6"/>
  <c r="O472" i="6"/>
  <c r="B472" i="6"/>
  <c r="N471" i="6"/>
  <c r="B471" i="6"/>
  <c r="N470" i="6"/>
  <c r="A470" i="6"/>
  <c r="M469" i="6"/>
  <c r="T468" i="6"/>
  <c r="L468" i="6"/>
  <c r="S467" i="6"/>
  <c r="H467" i="6"/>
  <c r="R466" i="6"/>
  <c r="H466" i="6"/>
  <c r="R465" i="6"/>
  <c r="H465" i="6"/>
  <c r="R464" i="6"/>
  <c r="E464" i="6"/>
  <c r="Q463" i="6"/>
  <c r="E463" i="6"/>
  <c r="Q462" i="6"/>
  <c r="E462" i="6"/>
  <c r="Q461" i="6"/>
  <c r="D461" i="6"/>
  <c r="P460" i="6"/>
  <c r="C460" i="6"/>
  <c r="O459" i="6"/>
  <c r="B459" i="6"/>
  <c r="N458" i="6"/>
  <c r="A458" i="6"/>
  <c r="M457" i="6"/>
  <c r="T456" i="6"/>
  <c r="L456" i="6"/>
  <c r="S455" i="6"/>
  <c r="H455" i="6"/>
  <c r="R454" i="6"/>
  <c r="E454" i="6"/>
  <c r="Q453" i="6"/>
  <c r="D453" i="6"/>
  <c r="P452" i="6"/>
  <c r="C452" i="6"/>
  <c r="O451" i="6"/>
  <c r="B451" i="6"/>
  <c r="N450" i="6"/>
  <c r="A450" i="6"/>
  <c r="M449" i="6"/>
  <c r="T448" i="6"/>
  <c r="L448" i="6"/>
  <c r="T447" i="6"/>
  <c r="L447" i="6"/>
  <c r="S446" i="6"/>
  <c r="H446" i="6"/>
  <c r="R445" i="6"/>
  <c r="E445" i="6"/>
  <c r="Q444" i="6"/>
  <c r="D444" i="6"/>
  <c r="P443" i="6"/>
  <c r="C443" i="6"/>
  <c r="O442" i="6"/>
  <c r="B442" i="6"/>
  <c r="N441" i="6"/>
  <c r="C441" i="6"/>
  <c r="O440" i="6"/>
  <c r="C440" i="6"/>
  <c r="O439" i="6"/>
  <c r="C439" i="6"/>
  <c r="O438" i="6"/>
  <c r="C438" i="6"/>
  <c r="O437" i="6"/>
  <c r="B437" i="6"/>
  <c r="N436" i="6"/>
  <c r="B436" i="6"/>
  <c r="N435" i="6"/>
  <c r="B435" i="6"/>
  <c r="N434" i="6"/>
  <c r="B434" i="6"/>
  <c r="N433" i="6"/>
  <c r="A433" i="6"/>
  <c r="M432" i="6"/>
  <c r="A432" i="6"/>
  <c r="M431" i="6"/>
  <c r="B431" i="6"/>
  <c r="N430" i="6"/>
  <c r="A430" i="6"/>
  <c r="M429" i="6"/>
  <c r="A429" i="6"/>
  <c r="M428" i="6"/>
  <c r="T427" i="6"/>
  <c r="L427" i="6"/>
  <c r="T426" i="6"/>
  <c r="L426" i="6"/>
  <c r="S425" i="6"/>
  <c r="H425" i="6"/>
  <c r="R424" i="6"/>
  <c r="E424" i="6"/>
  <c r="Q423" i="6"/>
  <c r="F423" i="6"/>
  <c r="R422" i="6"/>
  <c r="E422" i="6"/>
  <c r="Q421" i="6"/>
  <c r="D421" i="6"/>
  <c r="P420" i="6"/>
  <c r="C420" i="6"/>
  <c r="O419" i="6"/>
  <c r="B419" i="6"/>
  <c r="N418" i="6"/>
  <c r="B418" i="6"/>
  <c r="N417" i="6"/>
  <c r="A417" i="6"/>
  <c r="M416" i="6"/>
  <c r="T415" i="6"/>
  <c r="L415" i="6"/>
  <c r="S414" i="6"/>
  <c r="H414" i="6"/>
  <c r="R413" i="6"/>
  <c r="E413" i="6"/>
  <c r="Q412" i="6"/>
  <c r="D412" i="6"/>
  <c r="P411" i="6"/>
  <c r="D411" i="6"/>
  <c r="P410" i="6"/>
  <c r="C410" i="6"/>
  <c r="O409" i="6"/>
  <c r="C409" i="6"/>
  <c r="O408" i="6"/>
  <c r="C408" i="6"/>
  <c r="O407" i="6"/>
  <c r="C407" i="6"/>
  <c r="O406" i="6"/>
  <c r="C406" i="6"/>
  <c r="O405" i="6"/>
  <c r="C405" i="6"/>
  <c r="O404" i="6"/>
  <c r="C404" i="6"/>
  <c r="O403" i="6"/>
  <c r="B403" i="6"/>
  <c r="N402" i="6"/>
  <c r="B402" i="6"/>
  <c r="N401" i="6"/>
  <c r="A401" i="6"/>
  <c r="M400" i="6"/>
  <c r="T399" i="6"/>
  <c r="L399" i="6"/>
  <c r="S398" i="6"/>
  <c r="H398" i="6"/>
  <c r="R397" i="6"/>
  <c r="E397" i="6"/>
  <c r="Q396" i="6"/>
  <c r="D396" i="6"/>
  <c r="P395" i="6"/>
  <c r="D395" i="6"/>
  <c r="P394" i="6"/>
  <c r="C394" i="6"/>
  <c r="O393" i="6"/>
  <c r="B393" i="6"/>
  <c r="N392" i="6"/>
  <c r="A392" i="6"/>
  <c r="M391" i="6"/>
  <c r="D392" i="6"/>
  <c r="E391" i="6"/>
  <c r="P390" i="6"/>
  <c r="B390" i="6"/>
  <c r="M389" i="6"/>
  <c r="S388" i="6"/>
  <c r="H388" i="6"/>
  <c r="P387" i="6"/>
  <c r="B387" i="6"/>
  <c r="N386" i="6"/>
  <c r="B386" i="6"/>
  <c r="N385" i="6"/>
  <c r="B385" i="6"/>
  <c r="N384" i="6"/>
  <c r="B384" i="6"/>
  <c r="N383" i="6"/>
  <c r="A383" i="6"/>
  <c r="M382" i="6"/>
  <c r="T381" i="6"/>
  <c r="L381" i="6"/>
  <c r="S380" i="6"/>
  <c r="I380" i="6"/>
  <c r="S379" i="6"/>
  <c r="I379" i="6"/>
  <c r="S378" i="6"/>
  <c r="I378" i="6"/>
  <c r="S377" i="6"/>
  <c r="H377" i="6"/>
  <c r="S376" i="6"/>
  <c r="H376" i="6"/>
  <c r="S375" i="6"/>
  <c r="H375" i="6"/>
  <c r="R374" i="6"/>
  <c r="E374" i="6"/>
  <c r="Q373" i="6"/>
  <c r="D373" i="6"/>
  <c r="P372" i="6"/>
  <c r="C372" i="6"/>
  <c r="O371" i="6"/>
  <c r="C371" i="6"/>
  <c r="O370" i="6"/>
  <c r="B370" i="6"/>
  <c r="N369" i="6"/>
  <c r="A369" i="6"/>
  <c r="M368" i="6"/>
  <c r="A368" i="6"/>
  <c r="M367" i="6"/>
  <c r="A367" i="6"/>
  <c r="M366" i="6"/>
  <c r="A366" i="6"/>
  <c r="M365" i="6"/>
  <c r="A365" i="6"/>
  <c r="M364" i="6"/>
  <c r="A364" i="6"/>
  <c r="M363" i="6"/>
  <c r="A363" i="6"/>
  <c r="M362" i="6"/>
  <c r="A362" i="6"/>
  <c r="M361" i="6"/>
  <c r="A361" i="6"/>
  <c r="M360" i="6"/>
  <c r="A360" i="6"/>
  <c r="M359" i="6"/>
  <c r="T358" i="6"/>
  <c r="L358" i="6"/>
  <c r="S357" i="6"/>
  <c r="H357" i="6"/>
  <c r="R356" i="6"/>
  <c r="E356" i="6"/>
  <c r="Q355" i="6"/>
  <c r="D355" i="6"/>
  <c r="P354" i="6"/>
  <c r="C354" i="6"/>
  <c r="O353" i="6"/>
  <c r="B353" i="6"/>
  <c r="N352" i="6"/>
  <c r="A352" i="6"/>
  <c r="M351" i="6"/>
  <c r="T350" i="6"/>
  <c r="L350" i="6"/>
  <c r="S349" i="6"/>
  <c r="H349" i="6"/>
  <c r="R348" i="6"/>
  <c r="E348" i="6"/>
  <c r="Q347" i="6"/>
  <c r="D347" i="6"/>
  <c r="P346" i="6"/>
  <c r="C346" i="6"/>
  <c r="O345" i="6"/>
  <c r="B345" i="6"/>
  <c r="N344" i="6"/>
  <c r="A344" i="6"/>
  <c r="M343" i="6"/>
  <c r="T342" i="6"/>
  <c r="L342" i="6"/>
  <c r="S341" i="6"/>
  <c r="H341" i="6"/>
  <c r="R340" i="6"/>
  <c r="E340" i="6"/>
  <c r="Q339" i="6"/>
  <c r="D339" i="6"/>
  <c r="P338" i="6"/>
  <c r="D338" i="6"/>
  <c r="P337" i="6"/>
  <c r="D337" i="6"/>
  <c r="P336" i="6"/>
  <c r="D336" i="6"/>
  <c r="P335" i="6"/>
  <c r="D335" i="6"/>
  <c r="P334" i="6"/>
  <c r="D334" i="6"/>
  <c r="P333" i="6"/>
  <c r="D333" i="6"/>
  <c r="P332" i="6"/>
  <c r="C332" i="6"/>
  <c r="O331" i="6"/>
  <c r="B331" i="6"/>
  <c r="N330" i="6"/>
  <c r="B330" i="6"/>
  <c r="N329" i="6"/>
  <c r="A329" i="6"/>
  <c r="M328" i="6"/>
  <c r="T327" i="6"/>
  <c r="L327" i="6"/>
  <c r="S326" i="6"/>
  <c r="H326" i="6"/>
  <c r="R325" i="6"/>
  <c r="E325" i="6"/>
  <c r="Q324" i="6"/>
  <c r="D324" i="6"/>
  <c r="P323" i="6"/>
  <c r="C323" i="6"/>
  <c r="O322" i="6"/>
  <c r="B322" i="6"/>
  <c r="N321" i="6"/>
  <c r="A321" i="6"/>
  <c r="M320" i="6"/>
  <c r="A320" i="6"/>
  <c r="M319" i="6"/>
  <c r="T318" i="6"/>
  <c r="L318" i="6"/>
  <c r="S317" i="6"/>
  <c r="H317" i="6"/>
  <c r="R316" i="6"/>
  <c r="E316" i="6"/>
  <c r="Q315" i="6"/>
  <c r="D315" i="6"/>
  <c r="P314" i="6"/>
  <c r="C314" i="6"/>
  <c r="O313" i="6"/>
  <c r="B313" i="6"/>
  <c r="N312" i="6"/>
  <c r="A312" i="6"/>
  <c r="M311" i="6"/>
  <c r="A311" i="6"/>
  <c r="M310" i="6"/>
  <c r="A310" i="6"/>
  <c r="M309" i="6"/>
  <c r="A309" i="6"/>
  <c r="M308" i="6"/>
  <c r="A308" i="6"/>
  <c r="M307" i="6"/>
  <c r="A307" i="6"/>
  <c r="M306" i="6"/>
  <c r="A306" i="6"/>
  <c r="M305" i="6"/>
  <c r="A305" i="6"/>
  <c r="M304" i="6"/>
  <c r="T303" i="6"/>
  <c r="L303" i="6"/>
  <c r="T302" i="6"/>
  <c r="L302" i="6"/>
  <c r="T301" i="6"/>
  <c r="L301" i="6"/>
  <c r="S300" i="6"/>
  <c r="H300" i="6"/>
  <c r="R299" i="6"/>
  <c r="E299" i="6"/>
  <c r="Q298" i="6"/>
  <c r="E298" i="6"/>
  <c r="Q297" i="6"/>
  <c r="D297" i="6"/>
  <c r="P296" i="6"/>
  <c r="C296" i="6"/>
  <c r="O295" i="6"/>
  <c r="B295" i="6"/>
  <c r="N294" i="6"/>
  <c r="A294" i="6"/>
  <c r="M293" i="6"/>
  <c r="T292" i="6"/>
  <c r="L292" i="6"/>
  <c r="S291" i="6"/>
  <c r="H291" i="6"/>
  <c r="S290" i="6"/>
  <c r="H290" i="6"/>
  <c r="R289" i="6"/>
  <c r="H289" i="6"/>
  <c r="S288" i="6"/>
  <c r="H288" i="6"/>
  <c r="R287" i="6"/>
  <c r="F287" i="6"/>
  <c r="R286" i="6"/>
  <c r="G286" i="6"/>
  <c r="R285" i="6"/>
  <c r="E285" i="6"/>
  <c r="Q284" i="6"/>
  <c r="D284" i="6"/>
  <c r="P283" i="6"/>
  <c r="C283" i="6"/>
  <c r="O282" i="6"/>
  <c r="B282" i="6"/>
  <c r="N281" i="6"/>
  <c r="B281" i="6"/>
  <c r="N280" i="6"/>
  <c r="B280" i="6"/>
  <c r="N279" i="6"/>
  <c r="A279" i="6"/>
  <c r="M278" i="6"/>
  <c r="T277" i="6"/>
  <c r="L277" i="6"/>
  <c r="T276" i="6"/>
  <c r="L276" i="6"/>
  <c r="S275" i="6"/>
  <c r="H275" i="6"/>
  <c r="R274" i="6"/>
  <c r="E274" i="6"/>
  <c r="Q273" i="6"/>
  <c r="E273" i="6"/>
  <c r="Q272" i="6"/>
  <c r="D272" i="6"/>
  <c r="P271" i="6"/>
  <c r="D271" i="6"/>
  <c r="P270" i="6"/>
  <c r="D270" i="6"/>
  <c r="P269" i="6"/>
  <c r="C269" i="6"/>
  <c r="O268" i="6"/>
  <c r="B268" i="6"/>
  <c r="N267" i="6"/>
  <c r="A267" i="6"/>
  <c r="M266" i="6"/>
  <c r="A266" i="6"/>
  <c r="M265" i="6"/>
  <c r="T264" i="6"/>
  <c r="L264" i="6"/>
  <c r="S263" i="6"/>
  <c r="I263" i="6"/>
  <c r="S262" i="6"/>
  <c r="I262" i="6"/>
  <c r="S261" i="6"/>
  <c r="H261" i="6"/>
  <c r="R260" i="6"/>
  <c r="E260" i="6"/>
  <c r="Q259" i="6"/>
  <c r="E259" i="6"/>
  <c r="Q258" i="6"/>
  <c r="D258" i="6"/>
  <c r="P257" i="6"/>
  <c r="C257" i="6"/>
  <c r="M256" i="6"/>
  <c r="A256" i="6"/>
  <c r="M255" i="6"/>
  <c r="A255" i="6"/>
  <c r="M254" i="6"/>
  <c r="T253" i="6"/>
  <c r="L253" i="6"/>
  <c r="T252" i="6"/>
  <c r="L252" i="6"/>
  <c r="T251" i="6"/>
  <c r="L251" i="6"/>
  <c r="S250" i="6"/>
  <c r="H250" i="6"/>
  <c r="R249" i="6"/>
  <c r="E249" i="6"/>
  <c r="Q248" i="6"/>
  <c r="D248" i="6"/>
  <c r="P247" i="6"/>
  <c r="D247" i="6"/>
  <c r="P246" i="6"/>
  <c r="D246" i="6"/>
  <c r="P245" i="6"/>
  <c r="D245" i="6"/>
  <c r="P244" i="6"/>
  <c r="D244" i="6"/>
  <c r="P243" i="6"/>
  <c r="D243" i="6"/>
  <c r="P242" i="6"/>
  <c r="C242" i="6"/>
  <c r="O241" i="6"/>
  <c r="B241" i="6"/>
  <c r="N240" i="6"/>
  <c r="A240" i="6"/>
  <c r="M239" i="6"/>
  <c r="T238" i="6"/>
  <c r="L238" i="6"/>
  <c r="S237" i="6"/>
  <c r="H237" i="6"/>
  <c r="R236" i="6"/>
  <c r="E236" i="6"/>
  <c r="Q235" i="6"/>
  <c r="E235" i="6"/>
  <c r="Q234" i="6"/>
  <c r="E234" i="6"/>
  <c r="Q233" i="6"/>
  <c r="D233" i="6"/>
  <c r="P232" i="6"/>
  <c r="C232" i="6"/>
  <c r="O231" i="6"/>
  <c r="B231" i="6"/>
  <c r="N230" i="6"/>
  <c r="A230" i="6"/>
  <c r="M229" i="6"/>
  <c r="T228" i="6"/>
  <c r="L228" i="6"/>
  <c r="S227" i="6"/>
  <c r="H227" i="6"/>
  <c r="R226" i="6"/>
  <c r="E226" i="6"/>
  <c r="Q225" i="6"/>
  <c r="D225" i="6"/>
  <c r="P224" i="6"/>
  <c r="C224" i="6"/>
  <c r="O223" i="6"/>
  <c r="B223" i="6"/>
  <c r="N222" i="6"/>
  <c r="A222" i="6"/>
  <c r="M221" i="6"/>
  <c r="T220" i="6"/>
  <c r="L220" i="6"/>
  <c r="S219" i="6"/>
  <c r="H219" i="6"/>
  <c r="R218" i="6"/>
  <c r="E218" i="6"/>
  <c r="Q217" i="6"/>
  <c r="D217" i="6"/>
  <c r="P216" i="6"/>
  <c r="D216" i="6"/>
  <c r="P215" i="6"/>
  <c r="C215" i="6"/>
  <c r="O214" i="6"/>
  <c r="C214" i="6"/>
  <c r="O213" i="6"/>
  <c r="B213" i="6"/>
  <c r="N212" i="6"/>
  <c r="A212" i="6"/>
  <c r="M211" i="6"/>
  <c r="A211" i="6"/>
  <c r="M210" i="6"/>
  <c r="A210" i="6"/>
  <c r="M209" i="6"/>
  <c r="A209" i="6"/>
  <c r="M208" i="6"/>
  <c r="A208" i="6"/>
  <c r="M207" i="6"/>
  <c r="A207" i="6"/>
  <c r="M206" i="6"/>
  <c r="A206" i="6"/>
  <c r="M205" i="6"/>
  <c r="A205" i="6"/>
  <c r="M204" i="6"/>
  <c r="T203" i="6"/>
  <c r="L203" i="6"/>
  <c r="T202" i="6"/>
  <c r="L202" i="6"/>
  <c r="S201" i="6"/>
  <c r="H201" i="6"/>
  <c r="R200" i="6"/>
  <c r="E200" i="6"/>
  <c r="Q199" i="6"/>
  <c r="D199" i="6"/>
  <c r="P198" i="6"/>
  <c r="C198" i="6"/>
  <c r="O197" i="6"/>
  <c r="B197" i="6"/>
  <c r="N196" i="6"/>
  <c r="B196" i="6"/>
  <c r="N195" i="6"/>
  <c r="B195" i="6"/>
  <c r="N194" i="6"/>
  <c r="B194" i="6"/>
  <c r="N193" i="6"/>
  <c r="A193" i="6"/>
  <c r="M192" i="6"/>
  <c r="T191" i="6"/>
  <c r="L191" i="6"/>
  <c r="T190" i="6"/>
  <c r="L190" i="6"/>
  <c r="S189" i="6"/>
  <c r="I189" i="6"/>
  <c r="S188" i="6"/>
  <c r="H188" i="6"/>
  <c r="R187" i="6"/>
  <c r="E187" i="6"/>
  <c r="Q186" i="6"/>
  <c r="E186" i="6"/>
  <c r="Q185" i="6"/>
  <c r="D185" i="6"/>
  <c r="P184" i="6"/>
  <c r="C184" i="6"/>
  <c r="O183" i="6"/>
  <c r="B183" i="6"/>
  <c r="N182" i="6"/>
  <c r="B182" i="6"/>
  <c r="N181" i="6"/>
  <c r="A181" i="6"/>
  <c r="M180" i="6"/>
  <c r="A180" i="6"/>
  <c r="M179" i="6"/>
  <c r="A179" i="6"/>
  <c r="M178" i="6"/>
  <c r="T177" i="6"/>
  <c r="L177" i="6"/>
  <c r="S176" i="6"/>
  <c r="I176" i="6"/>
  <c r="S175" i="6"/>
  <c r="H175" i="6"/>
  <c r="R174" i="6"/>
  <c r="E174" i="6"/>
  <c r="Q173" i="6"/>
  <c r="D173" i="6"/>
  <c r="P172" i="6"/>
  <c r="C172" i="6"/>
  <c r="O171" i="6"/>
  <c r="B171" i="6"/>
  <c r="N170" i="6"/>
  <c r="A170" i="6"/>
  <c r="M169" i="6"/>
  <c r="T168" i="6"/>
  <c r="L168" i="6"/>
  <c r="S167" i="6"/>
  <c r="H167" i="6"/>
  <c r="R166" i="6"/>
  <c r="E166" i="6"/>
  <c r="Q165" i="6"/>
  <c r="D165" i="6"/>
  <c r="P164" i="6"/>
  <c r="C164" i="6"/>
  <c r="O163" i="6"/>
  <c r="B163" i="6"/>
  <c r="N162" i="6"/>
  <c r="A162" i="6"/>
  <c r="M161" i="6"/>
  <c r="T160" i="6"/>
  <c r="L160" i="6"/>
  <c r="S159" i="6"/>
  <c r="H159" i="6"/>
  <c r="R158" i="6"/>
  <c r="E158" i="6"/>
  <c r="Q157" i="6"/>
  <c r="D157" i="6"/>
  <c r="P156" i="6"/>
  <c r="C156" i="6"/>
  <c r="O155" i="6"/>
  <c r="B155" i="6"/>
  <c r="N154" i="6"/>
  <c r="A154" i="6"/>
  <c r="M153" i="6"/>
  <c r="T152" i="6"/>
  <c r="L152" i="6"/>
  <c r="S151" i="6"/>
  <c r="H151" i="6"/>
  <c r="R150" i="6"/>
  <c r="H150" i="6"/>
  <c r="R149" i="6"/>
  <c r="E149" i="6"/>
  <c r="Q148" i="6"/>
  <c r="D148" i="6"/>
  <c r="P147" i="6"/>
  <c r="C147" i="6"/>
  <c r="O146" i="6"/>
  <c r="B146" i="6"/>
  <c r="N145" i="6"/>
  <c r="A145" i="6"/>
  <c r="M144" i="6"/>
  <c r="T143" i="6"/>
  <c r="L143" i="6"/>
  <c r="S142" i="6"/>
  <c r="H142" i="6"/>
  <c r="R141" i="6"/>
  <c r="E141" i="6"/>
  <c r="Q140" i="6"/>
  <c r="D140" i="6"/>
  <c r="P139" i="6"/>
  <c r="C139" i="6"/>
  <c r="O138" i="6"/>
  <c r="B138" i="6"/>
  <c r="N137" i="6"/>
  <c r="A137" i="6"/>
  <c r="M136" i="6"/>
  <c r="T135" i="6"/>
  <c r="L135" i="6"/>
  <c r="S134" i="6"/>
  <c r="H134" i="6"/>
  <c r="R133" i="6"/>
  <c r="E133" i="6"/>
  <c r="Q132" i="6"/>
  <c r="D132" i="6"/>
  <c r="P131" i="6"/>
  <c r="C131" i="6"/>
  <c r="O130" i="6"/>
  <c r="B130" i="6"/>
  <c r="N129" i="6"/>
  <c r="A129" i="6"/>
  <c r="M128" i="6"/>
  <c r="T127" i="6"/>
  <c r="L127" i="6"/>
  <c r="S126" i="6"/>
  <c r="H126" i="6"/>
  <c r="R125" i="6"/>
  <c r="B392" i="6"/>
  <c r="D391" i="6"/>
  <c r="O390" i="6"/>
  <c r="A390" i="6"/>
  <c r="L389" i="6"/>
  <c r="R388" i="6"/>
  <c r="D388" i="6"/>
  <c r="O387" i="6"/>
  <c r="A387" i="6"/>
  <c r="M386" i="6"/>
  <c r="A386" i="6"/>
  <c r="M385" i="6"/>
  <c r="A385" i="6"/>
  <c r="M384" i="6"/>
  <c r="A384" i="6"/>
  <c r="M383" i="6"/>
  <c r="T382" i="6"/>
  <c r="L382" i="6"/>
  <c r="S381" i="6"/>
  <c r="H381" i="6"/>
  <c r="R380" i="6"/>
  <c r="H380" i="6"/>
  <c r="R379" i="6"/>
  <c r="H379" i="6"/>
  <c r="R378" i="6"/>
  <c r="H378" i="6"/>
  <c r="R377" i="6"/>
  <c r="F377" i="6"/>
  <c r="R376" i="6"/>
  <c r="G376" i="6"/>
  <c r="R375" i="6"/>
  <c r="E375" i="6"/>
  <c r="Q374" i="6"/>
  <c r="D374" i="6"/>
  <c r="P373" i="6"/>
  <c r="C373" i="6"/>
  <c r="O372" i="6"/>
  <c r="B372" i="6"/>
  <c r="N371" i="6"/>
  <c r="B371" i="6"/>
  <c r="N370" i="6"/>
  <c r="A370" i="6"/>
  <c r="M369" i="6"/>
  <c r="T368" i="6"/>
  <c r="L368" i="6"/>
  <c r="T367" i="6"/>
  <c r="L367" i="6"/>
  <c r="T366" i="6"/>
  <c r="L366" i="6"/>
  <c r="T365" i="6"/>
  <c r="L365" i="6"/>
  <c r="T364" i="6"/>
  <c r="L364" i="6"/>
  <c r="T363" i="6"/>
  <c r="L363" i="6"/>
  <c r="T362" i="6"/>
  <c r="L362" i="6"/>
  <c r="T361" i="6"/>
  <c r="L361" i="6"/>
  <c r="T360" i="6"/>
  <c r="L360" i="6"/>
  <c r="T359" i="6"/>
  <c r="L359" i="6"/>
  <c r="S358" i="6"/>
  <c r="H358" i="6"/>
  <c r="R357" i="6"/>
  <c r="E357" i="6"/>
  <c r="Q356" i="6"/>
  <c r="D356" i="6"/>
  <c r="P355" i="6"/>
  <c r="C355" i="6"/>
  <c r="O354" i="6"/>
  <c r="B354" i="6"/>
  <c r="N353" i="6"/>
  <c r="A353" i="6"/>
  <c r="M352" i="6"/>
  <c r="T351" i="6"/>
  <c r="L351" i="6"/>
  <c r="S350" i="6"/>
  <c r="H350" i="6"/>
  <c r="R349" i="6"/>
  <c r="E349" i="6"/>
  <c r="Q348" i="6"/>
  <c r="D348" i="6"/>
  <c r="P347" i="6"/>
  <c r="C347" i="6"/>
  <c r="O346" i="6"/>
  <c r="B346" i="6"/>
  <c r="N345" i="6"/>
  <c r="A345" i="6"/>
  <c r="M344" i="6"/>
  <c r="T343" i="6"/>
  <c r="L343" i="6"/>
  <c r="S342" i="6"/>
  <c r="H342" i="6"/>
  <c r="R341" i="6"/>
  <c r="E341" i="6"/>
  <c r="Q340" i="6"/>
  <c r="D340" i="6"/>
  <c r="P339" i="6"/>
  <c r="C339" i="6"/>
  <c r="O338" i="6"/>
  <c r="C338" i="6"/>
  <c r="O337" i="6"/>
  <c r="C337" i="6"/>
  <c r="O336" i="6"/>
  <c r="C336" i="6"/>
  <c r="O335" i="6"/>
  <c r="C335" i="6"/>
  <c r="O334" i="6"/>
  <c r="C334" i="6"/>
  <c r="O333" i="6"/>
  <c r="C333" i="6"/>
  <c r="O332" i="6"/>
  <c r="B332" i="6"/>
  <c r="N331" i="6"/>
  <c r="A331" i="6"/>
  <c r="M330" i="6"/>
  <c r="A330" i="6"/>
  <c r="M329" i="6"/>
  <c r="T328" i="6"/>
  <c r="L328" i="6"/>
  <c r="S327" i="6"/>
  <c r="H327" i="6"/>
  <c r="R326" i="6"/>
  <c r="E326" i="6"/>
  <c r="Q325" i="6"/>
  <c r="D325" i="6"/>
  <c r="P324" i="6"/>
  <c r="C324" i="6"/>
  <c r="O323" i="6"/>
  <c r="B323" i="6"/>
  <c r="N322" i="6"/>
  <c r="A322" i="6"/>
  <c r="M321" i="6"/>
  <c r="T320" i="6"/>
  <c r="L320" i="6"/>
  <c r="T319" i="6"/>
  <c r="L319" i="6"/>
  <c r="S318" i="6"/>
  <c r="H318" i="6"/>
  <c r="R317" i="6"/>
  <c r="E317" i="6"/>
  <c r="Q316" i="6"/>
  <c r="D316" i="6"/>
  <c r="P315" i="6"/>
  <c r="C315" i="6"/>
  <c r="O314" i="6"/>
  <c r="B314" i="6"/>
  <c r="N313" i="6"/>
  <c r="A313" i="6"/>
  <c r="M312" i="6"/>
  <c r="T311" i="6"/>
  <c r="L311" i="6"/>
  <c r="T310" i="6"/>
  <c r="L310" i="6"/>
  <c r="T309" i="6"/>
  <c r="L309" i="6"/>
  <c r="T308" i="6"/>
  <c r="L308" i="6"/>
  <c r="T307" i="6"/>
  <c r="L307" i="6"/>
  <c r="T306" i="6"/>
  <c r="L306" i="6"/>
  <c r="T305" i="6"/>
  <c r="L305" i="6"/>
  <c r="T304" i="6"/>
  <c r="L304" i="6"/>
  <c r="S303" i="6"/>
  <c r="I303" i="6"/>
  <c r="S302" i="6"/>
  <c r="I302" i="6"/>
  <c r="S301" i="6"/>
  <c r="H301" i="6"/>
  <c r="R300" i="6"/>
  <c r="E300" i="6"/>
  <c r="Q299" i="6"/>
  <c r="D299" i="6"/>
  <c r="P298" i="6"/>
  <c r="D298" i="6"/>
  <c r="P297" i="6"/>
  <c r="C297" i="6"/>
  <c r="O296" i="6"/>
  <c r="B296" i="6"/>
  <c r="N295" i="6"/>
  <c r="A295" i="6"/>
  <c r="M294" i="6"/>
  <c r="T293" i="6"/>
  <c r="L293" i="6"/>
  <c r="S292" i="6"/>
  <c r="H292" i="6"/>
  <c r="R291" i="6"/>
  <c r="F291" i="6"/>
  <c r="R290" i="6"/>
  <c r="E290" i="6"/>
  <c r="Q289" i="6"/>
  <c r="F289" i="6"/>
  <c r="R288" i="6"/>
  <c r="E288" i="6"/>
  <c r="Q287" i="6"/>
  <c r="E287" i="6"/>
  <c r="Q286" i="6"/>
  <c r="E286" i="6"/>
  <c r="Q285" i="6"/>
  <c r="D285" i="6"/>
  <c r="P284" i="6"/>
  <c r="C284" i="6"/>
  <c r="O283" i="6"/>
  <c r="B283" i="6"/>
  <c r="N282" i="6"/>
  <c r="A282" i="6"/>
  <c r="M281" i="6"/>
  <c r="A281" i="6"/>
  <c r="M280" i="6"/>
  <c r="A280" i="6"/>
  <c r="M279" i="6"/>
  <c r="T278" i="6"/>
  <c r="L278" i="6"/>
  <c r="S277" i="6"/>
  <c r="I277" i="6"/>
  <c r="S276" i="6"/>
  <c r="H276" i="6"/>
  <c r="R275" i="6"/>
  <c r="E275" i="6"/>
  <c r="Q274" i="6"/>
  <c r="D274" i="6"/>
  <c r="P273" i="6"/>
  <c r="D273" i="6"/>
  <c r="P272" i="6"/>
  <c r="C272" i="6"/>
  <c r="O271" i="6"/>
  <c r="C271" i="6"/>
  <c r="O270" i="6"/>
  <c r="C270" i="6"/>
  <c r="O269" i="6"/>
  <c r="B269" i="6"/>
  <c r="N268" i="6"/>
  <c r="A268" i="6"/>
  <c r="M267" i="6"/>
  <c r="T266" i="6"/>
  <c r="L266" i="6"/>
  <c r="T265" i="6"/>
  <c r="L265" i="6"/>
  <c r="S264" i="6"/>
  <c r="H264" i="6"/>
  <c r="R263" i="6"/>
  <c r="H263" i="6"/>
  <c r="R262" i="6"/>
  <c r="H262" i="6"/>
  <c r="R261" i="6"/>
  <c r="E261" i="6"/>
  <c r="Q260" i="6"/>
  <c r="D260" i="6"/>
  <c r="P259" i="6"/>
  <c r="D259" i="6"/>
  <c r="P258" i="6"/>
  <c r="C258" i="6"/>
  <c r="O257" i="6"/>
  <c r="B257" i="6"/>
  <c r="L256" i="6"/>
  <c r="T255" i="6"/>
  <c r="L255" i="6"/>
  <c r="T254" i="6"/>
  <c r="L254" i="6"/>
  <c r="S253" i="6"/>
  <c r="H253" i="6"/>
  <c r="S252" i="6"/>
  <c r="H252" i="6"/>
  <c r="S251" i="6"/>
  <c r="H251" i="6"/>
  <c r="R250" i="6"/>
  <c r="E250" i="6"/>
  <c r="Q249" i="6"/>
  <c r="D249" i="6"/>
  <c r="P248" i="6"/>
  <c r="C248" i="6"/>
  <c r="O247" i="6"/>
  <c r="C247" i="6"/>
  <c r="O246" i="6"/>
  <c r="C246" i="6"/>
  <c r="O245" i="6"/>
  <c r="C245" i="6"/>
  <c r="O244" i="6"/>
  <c r="C244" i="6"/>
  <c r="O243" i="6"/>
  <c r="C243" i="6"/>
  <c r="O242" i="6"/>
  <c r="B242" i="6"/>
  <c r="N241" i="6"/>
  <c r="A241" i="6"/>
  <c r="M240" i="6"/>
  <c r="T239" i="6"/>
  <c r="L239" i="6"/>
  <c r="S238" i="6"/>
  <c r="H238" i="6"/>
  <c r="R237" i="6"/>
  <c r="E237" i="6"/>
  <c r="Q236" i="6"/>
  <c r="D236" i="6"/>
  <c r="P235" i="6"/>
  <c r="D235" i="6"/>
  <c r="P234" i="6"/>
  <c r="D234" i="6"/>
  <c r="P233" i="6"/>
  <c r="C233" i="6"/>
  <c r="O232" i="6"/>
  <c r="B232" i="6"/>
  <c r="N231" i="6"/>
  <c r="A231" i="6"/>
  <c r="M230" i="6"/>
  <c r="T229" i="6"/>
  <c r="L229" i="6"/>
  <c r="S228" i="6"/>
  <c r="H228" i="6"/>
  <c r="R227" i="6"/>
  <c r="E227" i="6"/>
  <c r="Q226" i="6"/>
  <c r="D226" i="6"/>
  <c r="P225" i="6"/>
  <c r="C225" i="6"/>
  <c r="O224" i="6"/>
  <c r="B224" i="6"/>
  <c r="N223" i="6"/>
  <c r="A223" i="6"/>
  <c r="M222" i="6"/>
  <c r="T221" i="6"/>
  <c r="L221" i="6"/>
  <c r="S220" i="6"/>
  <c r="H220" i="6"/>
  <c r="R219" i="6"/>
  <c r="E219" i="6"/>
  <c r="Q218" i="6"/>
  <c r="D218" i="6"/>
  <c r="P217" i="6"/>
  <c r="C217" i="6"/>
  <c r="O216" i="6"/>
  <c r="C216" i="6"/>
  <c r="O215" i="6"/>
  <c r="B215" i="6"/>
  <c r="N214" i="6"/>
  <c r="B214" i="6"/>
  <c r="N213" i="6"/>
  <c r="A213" i="6"/>
  <c r="M212" i="6"/>
  <c r="T211" i="6"/>
  <c r="L211" i="6"/>
  <c r="T210" i="6"/>
  <c r="L210" i="6"/>
  <c r="T209" i="6"/>
  <c r="L209" i="6"/>
  <c r="T208" i="6"/>
  <c r="L208" i="6"/>
  <c r="T207" i="6"/>
  <c r="L207" i="6"/>
  <c r="T206" i="6"/>
  <c r="L206" i="6"/>
  <c r="T205" i="6"/>
  <c r="L205" i="6"/>
  <c r="T204" i="6"/>
  <c r="L204" i="6"/>
  <c r="S203" i="6"/>
  <c r="I203" i="6"/>
  <c r="S202" i="6"/>
  <c r="H202" i="6"/>
  <c r="R201" i="6"/>
  <c r="E201" i="6"/>
  <c r="Q200" i="6"/>
  <c r="D200" i="6"/>
  <c r="P199" i="6"/>
  <c r="C199" i="6"/>
  <c r="O198" i="6"/>
  <c r="B198" i="6"/>
  <c r="N197" i="6"/>
  <c r="A197" i="6"/>
  <c r="M196" i="6"/>
  <c r="A196" i="6"/>
  <c r="M195" i="6"/>
  <c r="A195" i="6"/>
  <c r="M194" i="6"/>
  <c r="A194" i="6"/>
  <c r="M193" i="6"/>
  <c r="T192" i="6"/>
  <c r="L192" i="6"/>
  <c r="S191" i="6"/>
  <c r="I191" i="6"/>
  <c r="S190" i="6"/>
  <c r="H190" i="6"/>
  <c r="R189" i="6"/>
  <c r="H189" i="6"/>
  <c r="R188" i="6"/>
  <c r="E188" i="6"/>
  <c r="Q187" i="6"/>
  <c r="D187" i="6"/>
  <c r="P186" i="6"/>
  <c r="D186" i="6"/>
  <c r="P185" i="6"/>
  <c r="C185" i="6"/>
  <c r="O184" i="6"/>
  <c r="B184" i="6"/>
  <c r="N183" i="6"/>
  <c r="A183" i="6"/>
  <c r="M182" i="6"/>
  <c r="A182" i="6"/>
  <c r="M181" i="6"/>
  <c r="T180" i="6"/>
  <c r="L180" i="6"/>
  <c r="T179" i="6"/>
  <c r="L179" i="6"/>
  <c r="T178" i="6"/>
  <c r="L178" i="6"/>
  <c r="S177" i="6"/>
  <c r="H177" i="6"/>
  <c r="R176" i="6"/>
  <c r="H176" i="6"/>
  <c r="R175" i="6"/>
  <c r="E175" i="6"/>
  <c r="Q174" i="6"/>
  <c r="D174" i="6"/>
  <c r="P173" i="6"/>
  <c r="C173" i="6"/>
  <c r="O172" i="6"/>
  <c r="B172" i="6"/>
  <c r="N171" i="6"/>
  <c r="A171" i="6"/>
  <c r="M170" i="6"/>
  <c r="T169" i="6"/>
  <c r="L169" i="6"/>
  <c r="S168" i="6"/>
  <c r="H168" i="6"/>
  <c r="R167" i="6"/>
  <c r="E167" i="6"/>
  <c r="Q166" i="6"/>
  <c r="D166" i="6"/>
  <c r="P165" i="6"/>
  <c r="C165" i="6"/>
  <c r="O164" i="6"/>
  <c r="B164" i="6"/>
  <c r="N163" i="6"/>
  <c r="A163" i="6"/>
  <c r="M162" i="6"/>
  <c r="T161" i="6"/>
  <c r="L161" i="6"/>
  <c r="S160" i="6"/>
  <c r="H160" i="6"/>
  <c r="R159" i="6"/>
  <c r="E159" i="6"/>
  <c r="Q158" i="6"/>
  <c r="D158" i="6"/>
  <c r="P157" i="6"/>
  <c r="C157" i="6"/>
  <c r="O156" i="6"/>
  <c r="B156" i="6"/>
  <c r="N155" i="6"/>
  <c r="A155" i="6"/>
  <c r="M154" i="6"/>
  <c r="T153" i="6"/>
  <c r="L153" i="6"/>
  <c r="S152" i="6"/>
  <c r="H152" i="6"/>
  <c r="R151" i="6"/>
  <c r="E151" i="6"/>
  <c r="Q150" i="6"/>
  <c r="E150" i="6"/>
  <c r="Q149" i="6"/>
  <c r="D149" i="6"/>
  <c r="P148" i="6"/>
  <c r="C148" i="6"/>
  <c r="O147" i="6"/>
  <c r="B147" i="6"/>
  <c r="N146" i="6"/>
  <c r="A146" i="6"/>
  <c r="M145" i="6"/>
  <c r="T144" i="6"/>
  <c r="L144" i="6"/>
  <c r="S143" i="6"/>
  <c r="H143" i="6"/>
  <c r="R142" i="6"/>
  <c r="E142" i="6"/>
  <c r="Q141" i="6"/>
  <c r="D141" i="6"/>
  <c r="P140" i="6"/>
  <c r="C140" i="6"/>
  <c r="O139" i="6"/>
  <c r="B139" i="6"/>
  <c r="N138" i="6"/>
  <c r="A138" i="6"/>
  <c r="M137" i="6"/>
  <c r="T136" i="6"/>
  <c r="L136" i="6"/>
  <c r="S135" i="6"/>
  <c r="H135" i="6"/>
  <c r="R134" i="6"/>
  <c r="E134" i="6"/>
  <c r="Q133" i="6"/>
  <c r="D133" i="6"/>
  <c r="P132" i="6"/>
  <c r="C132" i="6"/>
  <c r="O131" i="6"/>
  <c r="B131" i="6"/>
  <c r="N130" i="6"/>
  <c r="A130" i="6"/>
  <c r="M129" i="6"/>
  <c r="T128" i="6"/>
  <c r="L128" i="6"/>
  <c r="S127" i="6"/>
  <c r="H127" i="6"/>
  <c r="R126" i="6"/>
  <c r="E126" i="6"/>
  <c r="R391" i="6"/>
  <c r="C391" i="6"/>
  <c r="N390" i="6"/>
  <c r="T389" i="6"/>
  <c r="H389" i="6"/>
  <c r="P388" i="6"/>
  <c r="C388" i="6"/>
  <c r="N387" i="6"/>
  <c r="T386" i="6"/>
  <c r="L386" i="6"/>
  <c r="T385" i="6"/>
  <c r="L385" i="6"/>
  <c r="T384" i="6"/>
  <c r="L384" i="6"/>
  <c r="T383" i="6"/>
  <c r="L383" i="6"/>
  <c r="S382" i="6"/>
  <c r="H382" i="6"/>
  <c r="R381" i="6"/>
  <c r="E381" i="6"/>
  <c r="Q380" i="6"/>
  <c r="E380" i="6"/>
  <c r="Q379" i="6"/>
  <c r="E379" i="6"/>
  <c r="Q378" i="6"/>
  <c r="E378" i="6"/>
  <c r="Q377" i="6"/>
  <c r="E377" i="6"/>
  <c r="Q376" i="6"/>
  <c r="E376" i="6"/>
  <c r="Q375" i="6"/>
  <c r="D375" i="6"/>
  <c r="P374" i="6"/>
  <c r="C374" i="6"/>
  <c r="O373" i="6"/>
  <c r="B373" i="6"/>
  <c r="N372" i="6"/>
  <c r="A372" i="6"/>
  <c r="M371" i="6"/>
  <c r="A371" i="6"/>
  <c r="M370" i="6"/>
  <c r="T369" i="6"/>
  <c r="L369" i="6"/>
  <c r="S368" i="6"/>
  <c r="I368" i="6"/>
  <c r="S367" i="6"/>
  <c r="I367" i="6"/>
  <c r="S366" i="6"/>
  <c r="I366" i="6"/>
  <c r="S365" i="6"/>
  <c r="H365" i="6"/>
  <c r="S364" i="6"/>
  <c r="H364" i="6"/>
  <c r="S363" i="6"/>
  <c r="H363" i="6"/>
  <c r="S362" i="6"/>
  <c r="H362" i="6"/>
  <c r="S361" i="6"/>
  <c r="H361" i="6"/>
  <c r="S360" i="6"/>
  <c r="H360" i="6"/>
  <c r="S359" i="6"/>
  <c r="H359" i="6"/>
  <c r="R358" i="6"/>
  <c r="E358" i="6"/>
  <c r="Q357" i="6"/>
  <c r="D357" i="6"/>
  <c r="P356" i="6"/>
  <c r="C356" i="6"/>
  <c r="O355" i="6"/>
  <c r="B355" i="6"/>
  <c r="N354" i="6"/>
  <c r="A354" i="6"/>
  <c r="M353" i="6"/>
  <c r="T352" i="6"/>
  <c r="L352" i="6"/>
  <c r="S351" i="6"/>
  <c r="H351" i="6"/>
  <c r="R350" i="6"/>
  <c r="E350" i="6"/>
  <c r="Q349" i="6"/>
  <c r="D349" i="6"/>
  <c r="P348" i="6"/>
  <c r="C348" i="6"/>
  <c r="O347" i="6"/>
  <c r="B347" i="6"/>
  <c r="N346" i="6"/>
  <c r="A346" i="6"/>
  <c r="M345" i="6"/>
  <c r="T344" i="6"/>
  <c r="L344" i="6"/>
  <c r="S343" i="6"/>
  <c r="H343" i="6"/>
  <c r="R342" i="6"/>
  <c r="E342" i="6"/>
  <c r="Q341" i="6"/>
  <c r="D341" i="6"/>
  <c r="P340" i="6"/>
  <c r="C340" i="6"/>
  <c r="O339" i="6"/>
  <c r="B339" i="6"/>
  <c r="N338" i="6"/>
  <c r="B338" i="6"/>
  <c r="N337" i="6"/>
  <c r="B337" i="6"/>
  <c r="N336" i="6"/>
  <c r="B336" i="6"/>
  <c r="N335" i="6"/>
  <c r="B335" i="6"/>
  <c r="N334" i="6"/>
  <c r="B334" i="6"/>
  <c r="N333" i="6"/>
  <c r="B333" i="6"/>
  <c r="N332" i="6"/>
  <c r="A332" i="6"/>
  <c r="M331" i="6"/>
  <c r="T330" i="6"/>
  <c r="L330" i="6"/>
  <c r="T329" i="6"/>
  <c r="L329" i="6"/>
  <c r="S328" i="6"/>
  <c r="H328" i="6"/>
  <c r="R327" i="6"/>
  <c r="E327" i="6"/>
  <c r="Q326" i="6"/>
  <c r="D326" i="6"/>
  <c r="P325" i="6"/>
  <c r="C325" i="6"/>
  <c r="O324" i="6"/>
  <c r="B324" i="6"/>
  <c r="N323" i="6"/>
  <c r="A323" i="6"/>
  <c r="M322" i="6"/>
  <c r="T321" i="6"/>
  <c r="L321" i="6"/>
  <c r="S320" i="6"/>
  <c r="I320" i="6"/>
  <c r="S319" i="6"/>
  <c r="H319" i="6"/>
  <c r="R318" i="6"/>
  <c r="E318" i="6"/>
  <c r="Q317" i="6"/>
  <c r="D317" i="6"/>
  <c r="P316" i="6"/>
  <c r="C316" i="6"/>
  <c r="O315" i="6"/>
  <c r="B315" i="6"/>
  <c r="N314" i="6"/>
  <c r="A314" i="6"/>
  <c r="M313" i="6"/>
  <c r="T312" i="6"/>
  <c r="L312" i="6"/>
  <c r="S311" i="6"/>
  <c r="I311" i="6"/>
  <c r="S310" i="6"/>
  <c r="H310" i="6"/>
  <c r="S309" i="6"/>
  <c r="H309" i="6"/>
  <c r="S308" i="6"/>
  <c r="H308" i="6"/>
  <c r="S307" i="6"/>
  <c r="H307" i="6"/>
  <c r="S306" i="6"/>
  <c r="H306" i="6"/>
  <c r="S305" i="6"/>
  <c r="H305" i="6"/>
  <c r="S304" i="6"/>
  <c r="H304" i="6"/>
  <c r="R303" i="6"/>
  <c r="H303" i="6"/>
  <c r="R302" i="6"/>
  <c r="H302" i="6"/>
  <c r="R301" i="6"/>
  <c r="E301" i="6"/>
  <c r="Q300" i="6"/>
  <c r="D300" i="6"/>
  <c r="P299" i="6"/>
  <c r="C299" i="6"/>
  <c r="O298" i="6"/>
  <c r="C298" i="6"/>
  <c r="O297" i="6"/>
  <c r="B297" i="6"/>
  <c r="N296" i="6"/>
  <c r="A296" i="6"/>
  <c r="M295" i="6"/>
  <c r="T294" i="6"/>
  <c r="L294" i="6"/>
  <c r="S293" i="6"/>
  <c r="H293" i="6"/>
  <c r="R292" i="6"/>
  <c r="E292" i="6"/>
  <c r="Q291" i="6"/>
  <c r="E291" i="6"/>
  <c r="Q290" i="6"/>
  <c r="D290" i="6"/>
  <c r="P289" i="6"/>
  <c r="E289" i="6"/>
  <c r="Q288" i="6"/>
  <c r="D288" i="6"/>
  <c r="P287" i="6"/>
  <c r="D287" i="6"/>
  <c r="P286" i="6"/>
  <c r="D286" i="6"/>
  <c r="P285" i="6"/>
  <c r="C285" i="6"/>
  <c r="O284" i="6"/>
  <c r="B284" i="6"/>
  <c r="N283" i="6"/>
  <c r="A283" i="6"/>
  <c r="M282" i="6"/>
  <c r="T281" i="6"/>
  <c r="L281" i="6"/>
  <c r="T280" i="6"/>
  <c r="L280" i="6"/>
  <c r="T279" i="6"/>
  <c r="L279" i="6"/>
  <c r="S278" i="6"/>
  <c r="H278" i="6"/>
  <c r="R277" i="6"/>
  <c r="H277" i="6"/>
  <c r="R276" i="6"/>
  <c r="E276" i="6"/>
  <c r="Q275" i="6"/>
  <c r="D275" i="6"/>
  <c r="P274" i="6"/>
  <c r="C274" i="6"/>
  <c r="O273" i="6"/>
  <c r="C273" i="6"/>
  <c r="O272" i="6"/>
  <c r="B272" i="6"/>
  <c r="N271" i="6"/>
  <c r="B271" i="6"/>
  <c r="N270" i="6"/>
  <c r="B270" i="6"/>
  <c r="N269" i="6"/>
  <c r="A269" i="6"/>
  <c r="M268" i="6"/>
  <c r="T267" i="6"/>
  <c r="L267" i="6"/>
  <c r="S266" i="6"/>
  <c r="I266" i="6"/>
  <c r="S265" i="6"/>
  <c r="H265" i="6"/>
  <c r="R264" i="6"/>
  <c r="E264" i="6"/>
  <c r="Q263" i="6"/>
  <c r="E263" i="6"/>
  <c r="Q262" i="6"/>
  <c r="E262" i="6"/>
  <c r="Q261" i="6"/>
  <c r="D261" i="6"/>
  <c r="P260" i="6"/>
  <c r="C260" i="6"/>
  <c r="O259" i="6"/>
  <c r="C259" i="6"/>
  <c r="O258" i="6"/>
  <c r="B258" i="6"/>
  <c r="N257" i="6"/>
  <c r="A257" i="6"/>
  <c r="H256" i="6"/>
  <c r="S255" i="6"/>
  <c r="H255" i="6"/>
  <c r="S254" i="6"/>
  <c r="H254" i="6"/>
  <c r="R253" i="6"/>
  <c r="F253" i="6"/>
  <c r="R252" i="6"/>
  <c r="G252" i="6"/>
  <c r="R251" i="6"/>
  <c r="E251" i="6"/>
  <c r="Q250" i="6"/>
  <c r="D250" i="6"/>
  <c r="P249" i="6"/>
  <c r="C249" i="6"/>
  <c r="O248" i="6"/>
  <c r="B248" i="6"/>
  <c r="N247" i="6"/>
  <c r="B247" i="6"/>
  <c r="N246" i="6"/>
  <c r="B246" i="6"/>
  <c r="N245" i="6"/>
  <c r="B245" i="6"/>
  <c r="N244" i="6"/>
  <c r="B244" i="6"/>
  <c r="N243" i="6"/>
  <c r="B243" i="6"/>
  <c r="N242" i="6"/>
  <c r="A242" i="6"/>
  <c r="M241" i="6"/>
  <c r="T240" i="6"/>
  <c r="L240" i="6"/>
  <c r="S239" i="6"/>
  <c r="H239" i="6"/>
  <c r="R238" i="6"/>
  <c r="E238" i="6"/>
  <c r="Q237" i="6"/>
  <c r="D237" i="6"/>
  <c r="P236" i="6"/>
  <c r="C236" i="6"/>
  <c r="O235" i="6"/>
  <c r="C235" i="6"/>
  <c r="O234" i="6"/>
  <c r="C234" i="6"/>
  <c r="O233" i="6"/>
  <c r="B233" i="6"/>
  <c r="N232" i="6"/>
  <c r="A232" i="6"/>
  <c r="M231" i="6"/>
  <c r="T230" i="6"/>
  <c r="L230" i="6"/>
  <c r="S229" i="6"/>
  <c r="H229" i="6"/>
  <c r="R228" i="6"/>
  <c r="E228" i="6"/>
  <c r="Q227" i="6"/>
  <c r="D227" i="6"/>
  <c r="P226" i="6"/>
  <c r="C226" i="6"/>
  <c r="O225" i="6"/>
  <c r="B225" i="6"/>
  <c r="N224" i="6"/>
  <c r="A224" i="6"/>
  <c r="M223" i="6"/>
  <c r="T222" i="6"/>
  <c r="L222" i="6"/>
  <c r="S221" i="6"/>
  <c r="H221" i="6"/>
  <c r="R220" i="6"/>
  <c r="E220" i="6"/>
  <c r="Q219" i="6"/>
  <c r="D219" i="6"/>
  <c r="P218" i="6"/>
  <c r="C218" i="6"/>
  <c r="O217" i="6"/>
  <c r="B217" i="6"/>
  <c r="N216" i="6"/>
  <c r="B216" i="6"/>
  <c r="N215" i="6"/>
  <c r="A215" i="6"/>
  <c r="M214" i="6"/>
  <c r="A214" i="6"/>
  <c r="M213" i="6"/>
  <c r="T212" i="6"/>
  <c r="L212" i="6"/>
  <c r="S211" i="6"/>
  <c r="I211" i="6"/>
  <c r="S210" i="6"/>
  <c r="I210" i="6"/>
  <c r="S209" i="6"/>
  <c r="I209" i="6"/>
  <c r="S208" i="6"/>
  <c r="I208" i="6"/>
  <c r="S207" i="6"/>
  <c r="I207" i="6"/>
  <c r="S206" i="6"/>
  <c r="I206" i="6"/>
  <c r="S205" i="6"/>
  <c r="I205" i="6"/>
  <c r="S204" i="6"/>
  <c r="H204" i="6"/>
  <c r="R203" i="6"/>
  <c r="H203" i="6"/>
  <c r="R202" i="6"/>
  <c r="E202" i="6"/>
  <c r="Q201" i="6"/>
  <c r="D201" i="6"/>
  <c r="P200" i="6"/>
  <c r="C200" i="6"/>
  <c r="O199" i="6"/>
  <c r="B199" i="6"/>
  <c r="N198" i="6"/>
  <c r="A198" i="6"/>
  <c r="M197" i="6"/>
  <c r="T196" i="6"/>
  <c r="L196" i="6"/>
  <c r="T195" i="6"/>
  <c r="L195" i="6"/>
  <c r="T194" i="6"/>
  <c r="L194" i="6"/>
  <c r="T193" i="6"/>
  <c r="L193" i="6"/>
  <c r="S192" i="6"/>
  <c r="H192" i="6"/>
  <c r="R191" i="6"/>
  <c r="H191" i="6"/>
  <c r="R190" i="6"/>
  <c r="E190" i="6"/>
  <c r="Q189" i="6"/>
  <c r="E189" i="6"/>
  <c r="Q188" i="6"/>
  <c r="D188" i="6"/>
  <c r="P187" i="6"/>
  <c r="C187" i="6"/>
  <c r="O186" i="6"/>
  <c r="C186" i="6"/>
  <c r="O185" i="6"/>
  <c r="B185" i="6"/>
  <c r="N184" i="6"/>
  <c r="A184" i="6"/>
  <c r="M183" i="6"/>
  <c r="T182" i="6"/>
  <c r="L182" i="6"/>
  <c r="T181" i="6"/>
  <c r="L181" i="6"/>
  <c r="S180" i="6"/>
  <c r="I180" i="6"/>
  <c r="S179" i="6"/>
  <c r="I179" i="6"/>
  <c r="S178" i="6"/>
  <c r="H178" i="6"/>
  <c r="R177" i="6"/>
  <c r="E177" i="6"/>
  <c r="Q176" i="6"/>
  <c r="E176" i="6"/>
  <c r="Q175" i="6"/>
  <c r="D175" i="6"/>
  <c r="P174" i="6"/>
  <c r="C174" i="6"/>
  <c r="O173" i="6"/>
  <c r="B173" i="6"/>
  <c r="N172" i="6"/>
  <c r="A172" i="6"/>
  <c r="M171" i="6"/>
  <c r="T170" i="6"/>
  <c r="L170" i="6"/>
  <c r="S169" i="6"/>
  <c r="H169" i="6"/>
  <c r="R168" i="6"/>
  <c r="E168" i="6"/>
  <c r="Q167" i="6"/>
  <c r="D167" i="6"/>
  <c r="P166" i="6"/>
  <c r="C166" i="6"/>
  <c r="O165" i="6"/>
  <c r="B165" i="6"/>
  <c r="N164" i="6"/>
  <c r="A164" i="6"/>
  <c r="M163" i="6"/>
  <c r="T162" i="6"/>
  <c r="L162" i="6"/>
  <c r="S161" i="6"/>
  <c r="H161" i="6"/>
  <c r="R160" i="6"/>
  <c r="E160" i="6"/>
  <c r="Q159" i="6"/>
  <c r="D159" i="6"/>
  <c r="P158" i="6"/>
  <c r="C158" i="6"/>
  <c r="O157" i="6"/>
  <c r="B157" i="6"/>
  <c r="N156" i="6"/>
  <c r="A156" i="6"/>
  <c r="M155" i="6"/>
  <c r="T154" i="6"/>
  <c r="L154" i="6"/>
  <c r="S153" i="6"/>
  <c r="H153" i="6"/>
  <c r="R152" i="6"/>
  <c r="E152" i="6"/>
  <c r="Q151" i="6"/>
  <c r="D151" i="6"/>
  <c r="P150" i="6"/>
  <c r="D150" i="6"/>
  <c r="P149" i="6"/>
  <c r="C149" i="6"/>
  <c r="O148" i="6"/>
  <c r="B148" i="6"/>
  <c r="N147" i="6"/>
  <c r="A147" i="6"/>
  <c r="M146" i="6"/>
  <c r="T145" i="6"/>
  <c r="L145" i="6"/>
  <c r="S144" i="6"/>
  <c r="H144" i="6"/>
  <c r="R143" i="6"/>
  <c r="E143" i="6"/>
  <c r="Q142" i="6"/>
  <c r="D142" i="6"/>
  <c r="P141" i="6"/>
  <c r="C141" i="6"/>
  <c r="O140" i="6"/>
  <c r="B140" i="6"/>
  <c r="N139" i="6"/>
  <c r="A139" i="6"/>
  <c r="M138" i="6"/>
  <c r="T137" i="6"/>
  <c r="L137" i="6"/>
  <c r="S136" i="6"/>
  <c r="H136" i="6"/>
  <c r="R135" i="6"/>
  <c r="E135" i="6"/>
  <c r="Q134" i="6"/>
  <c r="D134" i="6"/>
  <c r="P133" i="6"/>
  <c r="C133" i="6"/>
  <c r="O132" i="6"/>
  <c r="B132" i="6"/>
  <c r="N131" i="6"/>
  <c r="A131" i="6"/>
  <c r="M130" i="6"/>
  <c r="T129" i="6"/>
  <c r="L129" i="6"/>
  <c r="S128" i="6"/>
  <c r="H128" i="6"/>
  <c r="R127" i="6"/>
  <c r="E127" i="6"/>
  <c r="Q126" i="6"/>
  <c r="Q391" i="6"/>
  <c r="B391" i="6"/>
  <c r="M390" i="6"/>
  <c r="S389" i="6"/>
  <c r="D389" i="6"/>
  <c r="O388" i="6"/>
  <c r="B388" i="6"/>
  <c r="M387" i="6"/>
  <c r="S386" i="6"/>
  <c r="I386" i="6"/>
  <c r="S385" i="6"/>
  <c r="I385" i="6"/>
  <c r="S384" i="6"/>
  <c r="I384" i="6"/>
  <c r="S383" i="6"/>
  <c r="H383" i="6"/>
  <c r="R382" i="6"/>
  <c r="E382" i="6"/>
  <c r="Q381" i="6"/>
  <c r="D381" i="6"/>
  <c r="P380" i="6"/>
  <c r="D380" i="6"/>
  <c r="P379" i="6"/>
  <c r="D379" i="6"/>
  <c r="P378" i="6"/>
  <c r="D378" i="6"/>
  <c r="P377" i="6"/>
  <c r="D377" i="6"/>
  <c r="P376" i="6"/>
  <c r="D376" i="6"/>
  <c r="P375" i="6"/>
  <c r="C375" i="6"/>
  <c r="O374" i="6"/>
  <c r="B374" i="6"/>
  <c r="N373" i="6"/>
  <c r="A373" i="6"/>
  <c r="M372" i="6"/>
  <c r="T371" i="6"/>
  <c r="L371" i="6"/>
  <c r="T370" i="6"/>
  <c r="L370" i="6"/>
  <c r="S369" i="6"/>
  <c r="H369" i="6"/>
  <c r="R368" i="6"/>
  <c r="H368" i="6"/>
  <c r="R367" i="6"/>
  <c r="H367" i="6"/>
  <c r="R366" i="6"/>
  <c r="H366" i="6"/>
  <c r="R365" i="6"/>
  <c r="F365" i="6"/>
  <c r="R364" i="6"/>
  <c r="G364" i="6"/>
  <c r="R363" i="6"/>
  <c r="F363" i="6"/>
  <c r="R362" i="6"/>
  <c r="G362" i="6"/>
  <c r="R361" i="6"/>
  <c r="F361" i="6"/>
  <c r="R360" i="6"/>
  <c r="G360" i="6"/>
  <c r="R359" i="6"/>
  <c r="E359" i="6"/>
  <c r="Q358" i="6"/>
  <c r="D358" i="6"/>
  <c r="P357" i="6"/>
  <c r="C357" i="6"/>
  <c r="O356" i="6"/>
  <c r="B356" i="6"/>
  <c r="N355" i="6"/>
  <c r="A355" i="6"/>
  <c r="M354" i="6"/>
  <c r="T353" i="6"/>
  <c r="L353" i="6"/>
  <c r="S352" i="6"/>
  <c r="H352" i="6"/>
  <c r="R351" i="6"/>
  <c r="E351" i="6"/>
  <c r="Q350" i="6"/>
  <c r="D350" i="6"/>
  <c r="P349" i="6"/>
  <c r="C349" i="6"/>
  <c r="O348" i="6"/>
  <c r="B348" i="6"/>
  <c r="N347" i="6"/>
  <c r="A347" i="6"/>
  <c r="M346" i="6"/>
  <c r="T345" i="6"/>
  <c r="L345" i="6"/>
  <c r="S344" i="6"/>
  <c r="H344" i="6"/>
  <c r="R343" i="6"/>
  <c r="E343" i="6"/>
  <c r="Q342" i="6"/>
  <c r="D342" i="6"/>
  <c r="P341" i="6"/>
  <c r="C341" i="6"/>
  <c r="O340" i="6"/>
  <c r="B340" i="6"/>
  <c r="N339" i="6"/>
  <c r="A339" i="6"/>
  <c r="M338" i="6"/>
  <c r="A338" i="6"/>
  <c r="M337" i="6"/>
  <c r="A337" i="6"/>
  <c r="M336" i="6"/>
  <c r="A336" i="6"/>
  <c r="M335" i="6"/>
  <c r="A335" i="6"/>
  <c r="M334" i="6"/>
  <c r="A334" i="6"/>
  <c r="M333" i="6"/>
  <c r="A333" i="6"/>
  <c r="M332" i="6"/>
  <c r="T331" i="6"/>
  <c r="L331" i="6"/>
  <c r="S330" i="6"/>
  <c r="I330" i="6"/>
  <c r="S329" i="6"/>
  <c r="H329" i="6"/>
  <c r="R328" i="6"/>
  <c r="E328" i="6"/>
  <c r="Q327" i="6"/>
  <c r="D327" i="6"/>
  <c r="P326" i="6"/>
  <c r="C326" i="6"/>
  <c r="O325" i="6"/>
  <c r="B325" i="6"/>
  <c r="N324" i="6"/>
  <c r="A324" i="6"/>
  <c r="M323" i="6"/>
  <c r="T322" i="6"/>
  <c r="L322" i="6"/>
  <c r="S321" i="6"/>
  <c r="H321" i="6"/>
  <c r="R320" i="6"/>
  <c r="H320" i="6"/>
  <c r="R319" i="6"/>
  <c r="E319" i="6"/>
  <c r="Q318" i="6"/>
  <c r="D318" i="6"/>
  <c r="P317" i="6"/>
  <c r="C317" i="6"/>
  <c r="O316" i="6"/>
  <c r="B316" i="6"/>
  <c r="N315" i="6"/>
  <c r="A315" i="6"/>
  <c r="M314" i="6"/>
  <c r="T313" i="6"/>
  <c r="L313" i="6"/>
  <c r="S312" i="6"/>
  <c r="H312" i="6"/>
  <c r="R311" i="6"/>
  <c r="H311" i="6"/>
  <c r="R310" i="6"/>
  <c r="F310" i="6"/>
  <c r="R309" i="6"/>
  <c r="G309" i="6"/>
  <c r="R308" i="6"/>
  <c r="F308" i="6"/>
  <c r="R307" i="6"/>
  <c r="G307" i="6"/>
  <c r="R306" i="6"/>
  <c r="F306" i="6"/>
  <c r="R305" i="6"/>
  <c r="G305" i="6"/>
  <c r="R304" i="6"/>
  <c r="E304" i="6"/>
  <c r="Q303" i="6"/>
  <c r="E303" i="6"/>
  <c r="Q302" i="6"/>
  <c r="E302" i="6"/>
  <c r="Q301" i="6"/>
  <c r="D301" i="6"/>
  <c r="P300" i="6"/>
  <c r="C300" i="6"/>
  <c r="O299" i="6"/>
  <c r="B299" i="6"/>
  <c r="N298" i="6"/>
  <c r="B298" i="6"/>
  <c r="N297" i="6"/>
  <c r="A297" i="6"/>
  <c r="M296" i="6"/>
  <c r="T295" i="6"/>
  <c r="L295" i="6"/>
  <c r="S294" i="6"/>
  <c r="H294" i="6"/>
  <c r="R293" i="6"/>
  <c r="E293" i="6"/>
  <c r="Q292" i="6"/>
  <c r="D292" i="6"/>
  <c r="P291" i="6"/>
  <c r="D291" i="6"/>
  <c r="P290" i="6"/>
  <c r="C290" i="6"/>
  <c r="O289" i="6"/>
  <c r="D289" i="6"/>
  <c r="P288" i="6"/>
  <c r="C288" i="6"/>
  <c r="O287" i="6"/>
  <c r="C287" i="6"/>
  <c r="O286" i="6"/>
  <c r="C286" i="6"/>
  <c r="O285" i="6"/>
  <c r="B285" i="6"/>
  <c r="N284" i="6"/>
  <c r="A284" i="6"/>
  <c r="M283" i="6"/>
  <c r="T282" i="6"/>
  <c r="L282" i="6"/>
  <c r="S281" i="6"/>
  <c r="I281" i="6"/>
  <c r="S280" i="6"/>
  <c r="I280" i="6"/>
  <c r="S279" i="6"/>
  <c r="H279" i="6"/>
  <c r="R278" i="6"/>
  <c r="E278" i="6"/>
  <c r="Q277" i="6"/>
  <c r="E277" i="6"/>
  <c r="Q276" i="6"/>
  <c r="D276" i="6"/>
  <c r="P275" i="6"/>
  <c r="C275" i="6"/>
  <c r="O274" i="6"/>
  <c r="B274" i="6"/>
  <c r="N273" i="6"/>
  <c r="B273" i="6"/>
  <c r="N272" i="6"/>
  <c r="A272" i="6"/>
  <c r="M271" i="6"/>
  <c r="A271" i="6"/>
  <c r="M270" i="6"/>
  <c r="A270" i="6"/>
  <c r="M269" i="6"/>
  <c r="T268" i="6"/>
  <c r="L268" i="6"/>
  <c r="S267" i="6"/>
  <c r="H267" i="6"/>
  <c r="R266" i="6"/>
  <c r="H266" i="6"/>
  <c r="R265" i="6"/>
  <c r="E265" i="6"/>
  <c r="Q264" i="6"/>
  <c r="D264" i="6"/>
  <c r="P263" i="6"/>
  <c r="D263" i="6"/>
  <c r="P262" i="6"/>
  <c r="D262" i="6"/>
  <c r="P261" i="6"/>
  <c r="C261" i="6"/>
  <c r="O260" i="6"/>
  <c r="B260" i="6"/>
  <c r="N259" i="6"/>
  <c r="B259" i="6"/>
  <c r="N258" i="6"/>
  <c r="A258" i="6"/>
  <c r="M257" i="6"/>
  <c r="T256" i="6"/>
  <c r="F256" i="6"/>
  <c r="R255" i="6"/>
  <c r="G255" i="6"/>
  <c r="R254" i="6"/>
  <c r="E254" i="6"/>
  <c r="Q253" i="6"/>
  <c r="E253" i="6"/>
  <c r="Q252" i="6"/>
  <c r="E252" i="6"/>
  <c r="Q251" i="6"/>
  <c r="D251" i="6"/>
  <c r="P250" i="6"/>
  <c r="C250" i="6"/>
  <c r="O249" i="6"/>
  <c r="B249" i="6"/>
  <c r="N248" i="6"/>
  <c r="A248" i="6"/>
  <c r="M247" i="6"/>
  <c r="A247" i="6"/>
  <c r="M246" i="6"/>
  <c r="A246" i="6"/>
  <c r="M245" i="6"/>
  <c r="A245" i="6"/>
  <c r="M244" i="6"/>
  <c r="A244" i="6"/>
  <c r="M243" i="6"/>
  <c r="A243" i="6"/>
  <c r="M242" i="6"/>
  <c r="T241" i="6"/>
  <c r="L241" i="6"/>
  <c r="S240" i="6"/>
  <c r="H240" i="6"/>
  <c r="R239" i="6"/>
  <c r="E239" i="6"/>
  <c r="Q238" i="6"/>
  <c r="D238" i="6"/>
  <c r="P237" i="6"/>
  <c r="C237" i="6"/>
  <c r="O236" i="6"/>
  <c r="B236" i="6"/>
  <c r="N235" i="6"/>
  <c r="B235" i="6"/>
  <c r="N234" i="6"/>
  <c r="B234" i="6"/>
  <c r="N233" i="6"/>
  <c r="A233" i="6"/>
  <c r="M232" i="6"/>
  <c r="T231" i="6"/>
  <c r="L231" i="6"/>
  <c r="S230" i="6"/>
  <c r="H230" i="6"/>
  <c r="R229" i="6"/>
  <c r="E229" i="6"/>
  <c r="Q228" i="6"/>
  <c r="D228" i="6"/>
  <c r="P227" i="6"/>
  <c r="C227" i="6"/>
  <c r="O226" i="6"/>
  <c r="B226" i="6"/>
  <c r="N225" i="6"/>
  <c r="A225" i="6"/>
  <c r="M224" i="6"/>
  <c r="T223" i="6"/>
  <c r="L223" i="6"/>
  <c r="S222" i="6"/>
  <c r="H222" i="6"/>
  <c r="R221" i="6"/>
  <c r="E221" i="6"/>
  <c r="Q220" i="6"/>
  <c r="D220" i="6"/>
  <c r="P219" i="6"/>
  <c r="C219" i="6"/>
  <c r="O218" i="6"/>
  <c r="B218" i="6"/>
  <c r="N217" i="6"/>
  <c r="A217" i="6"/>
  <c r="M216" i="6"/>
  <c r="A216" i="6"/>
  <c r="M215" i="6"/>
  <c r="T214" i="6"/>
  <c r="L214" i="6"/>
  <c r="T213" i="6"/>
  <c r="L213" i="6"/>
  <c r="S212" i="6"/>
  <c r="H212" i="6"/>
  <c r="R211" i="6"/>
  <c r="H211" i="6"/>
  <c r="R210" i="6"/>
  <c r="H210" i="6"/>
  <c r="R209" i="6"/>
  <c r="H209" i="6"/>
  <c r="R208" i="6"/>
  <c r="H208" i="6"/>
  <c r="R207" i="6"/>
  <c r="H207" i="6"/>
  <c r="R206" i="6"/>
  <c r="H206" i="6"/>
  <c r="R205" i="6"/>
  <c r="H205" i="6"/>
  <c r="R204" i="6"/>
  <c r="E204" i="6"/>
  <c r="Q203" i="6"/>
  <c r="E203" i="6"/>
  <c r="Q202" i="6"/>
  <c r="D202" i="6"/>
  <c r="P201" i="6"/>
  <c r="C201" i="6"/>
  <c r="O200" i="6"/>
  <c r="B200" i="6"/>
  <c r="N199" i="6"/>
  <c r="A199" i="6"/>
  <c r="M198" i="6"/>
  <c r="T197" i="6"/>
  <c r="L197" i="6"/>
  <c r="S196" i="6"/>
  <c r="I196" i="6"/>
  <c r="S195" i="6"/>
  <c r="I195" i="6"/>
  <c r="S194" i="6"/>
  <c r="I194" i="6"/>
  <c r="S193" i="6"/>
  <c r="H193" i="6"/>
  <c r="R192" i="6"/>
  <c r="E192" i="6"/>
  <c r="Q191" i="6"/>
  <c r="E191" i="6"/>
  <c r="Q190" i="6"/>
  <c r="D190" i="6"/>
  <c r="P189" i="6"/>
  <c r="D189" i="6"/>
  <c r="P188" i="6"/>
  <c r="C188" i="6"/>
  <c r="O187" i="6"/>
  <c r="B187" i="6"/>
  <c r="N186" i="6"/>
  <c r="B186" i="6"/>
  <c r="N185" i="6"/>
  <c r="A185" i="6"/>
  <c r="M184" i="6"/>
  <c r="T183" i="6"/>
  <c r="L183" i="6"/>
  <c r="S182" i="6"/>
  <c r="I182" i="6"/>
  <c r="S181" i="6"/>
  <c r="H181" i="6"/>
  <c r="R180" i="6"/>
  <c r="H180" i="6"/>
  <c r="R179" i="6"/>
  <c r="H179" i="6"/>
  <c r="R178" i="6"/>
  <c r="E178" i="6"/>
  <c r="Q177" i="6"/>
  <c r="D177" i="6"/>
  <c r="P176" i="6"/>
  <c r="D176" i="6"/>
  <c r="P175" i="6"/>
  <c r="C175" i="6"/>
  <c r="O174" i="6"/>
  <c r="B174" i="6"/>
  <c r="N173" i="6"/>
  <c r="A173" i="6"/>
  <c r="M172" i="6"/>
  <c r="T171" i="6"/>
  <c r="L171" i="6"/>
  <c r="S170" i="6"/>
  <c r="H170" i="6"/>
  <c r="R169" i="6"/>
  <c r="E169" i="6"/>
  <c r="Q168" i="6"/>
  <c r="D168" i="6"/>
  <c r="P167" i="6"/>
  <c r="C167" i="6"/>
  <c r="O166" i="6"/>
  <c r="B166" i="6"/>
  <c r="N165" i="6"/>
  <c r="A165" i="6"/>
  <c r="M164" i="6"/>
  <c r="T163" i="6"/>
  <c r="L163" i="6"/>
  <c r="S162" i="6"/>
  <c r="H162" i="6"/>
  <c r="R161" i="6"/>
  <c r="E161" i="6"/>
  <c r="Q160" i="6"/>
  <c r="D160" i="6"/>
  <c r="P159" i="6"/>
  <c r="C159" i="6"/>
  <c r="O158" i="6"/>
  <c r="B158" i="6"/>
  <c r="N157" i="6"/>
  <c r="A157" i="6"/>
  <c r="M156" i="6"/>
  <c r="T155" i="6"/>
  <c r="L155" i="6"/>
  <c r="S154" i="6"/>
  <c r="H154" i="6"/>
  <c r="R153" i="6"/>
  <c r="E153" i="6"/>
  <c r="Q152" i="6"/>
  <c r="D152" i="6"/>
  <c r="P151" i="6"/>
  <c r="C151" i="6"/>
  <c r="O150" i="6"/>
  <c r="C150" i="6"/>
  <c r="O149" i="6"/>
  <c r="B149" i="6"/>
  <c r="N148" i="6"/>
  <c r="A148" i="6"/>
  <c r="M147" i="6"/>
  <c r="T146" i="6"/>
  <c r="L146" i="6"/>
  <c r="S145" i="6"/>
  <c r="H145" i="6"/>
  <c r="R144" i="6"/>
  <c r="E144" i="6"/>
  <c r="Q143" i="6"/>
  <c r="D143" i="6"/>
  <c r="P142" i="6"/>
  <c r="C142" i="6"/>
  <c r="O141" i="6"/>
  <c r="B141" i="6"/>
  <c r="N140" i="6"/>
  <c r="A140" i="6"/>
  <c r="M139" i="6"/>
  <c r="T138" i="6"/>
  <c r="L138" i="6"/>
  <c r="S137" i="6"/>
  <c r="H137" i="6"/>
  <c r="R136" i="6"/>
  <c r="E136" i="6"/>
  <c r="Q135" i="6"/>
  <c r="D135" i="6"/>
  <c r="P134" i="6"/>
  <c r="C134" i="6"/>
  <c r="O133" i="6"/>
  <c r="B133" i="6"/>
  <c r="N132" i="6"/>
  <c r="A132" i="6"/>
  <c r="M131" i="6"/>
  <c r="T130" i="6"/>
  <c r="L130" i="6"/>
  <c r="S129" i="6"/>
  <c r="H129" i="6"/>
  <c r="R128" i="6"/>
  <c r="E128" i="6"/>
  <c r="Q127" i="6"/>
  <c r="D127" i="6"/>
  <c r="P126" i="6"/>
  <c r="C126" i="6"/>
  <c r="O125" i="6"/>
  <c r="B125" i="6"/>
  <c r="P391" i="6"/>
  <c r="A391" i="6"/>
  <c r="L390" i="6"/>
  <c r="Q389" i="6"/>
  <c r="C389" i="6"/>
  <c r="N388" i="6"/>
  <c r="A388" i="6"/>
  <c r="L387" i="6"/>
  <c r="R386" i="6"/>
  <c r="H386" i="6"/>
  <c r="R385" i="6"/>
  <c r="H385" i="6"/>
  <c r="R384" i="6"/>
  <c r="H384" i="6"/>
  <c r="R383" i="6"/>
  <c r="E383" i="6"/>
  <c r="Q382" i="6"/>
  <c r="D382" i="6"/>
  <c r="P381" i="6"/>
  <c r="C381" i="6"/>
  <c r="O380" i="6"/>
  <c r="C380" i="6"/>
  <c r="O379" i="6"/>
  <c r="C379" i="6"/>
  <c r="O378" i="6"/>
  <c r="C378" i="6"/>
  <c r="O377" i="6"/>
  <c r="C377" i="6"/>
  <c r="O376" i="6"/>
  <c r="C376" i="6"/>
  <c r="O375" i="6"/>
  <c r="B375" i="6"/>
  <c r="N374" i="6"/>
  <c r="A374" i="6"/>
  <c r="M373" i="6"/>
  <c r="T372" i="6"/>
  <c r="L372" i="6"/>
  <c r="S371" i="6"/>
  <c r="I371" i="6"/>
  <c r="S370" i="6"/>
  <c r="H370" i="6"/>
  <c r="R369" i="6"/>
  <c r="E369" i="6"/>
  <c r="Q368" i="6"/>
  <c r="E368" i="6"/>
  <c r="Q367" i="6"/>
  <c r="E367" i="6"/>
  <c r="Q366" i="6"/>
  <c r="E366" i="6"/>
  <c r="Q365" i="6"/>
  <c r="E365" i="6"/>
  <c r="Q364" i="6"/>
  <c r="E364" i="6"/>
  <c r="Q363" i="6"/>
  <c r="E363" i="6"/>
  <c r="Q362" i="6"/>
  <c r="E362" i="6"/>
  <c r="Q361" i="6"/>
  <c r="E361" i="6"/>
  <c r="Q360" i="6"/>
  <c r="E360" i="6"/>
  <c r="Q359" i="6"/>
  <c r="D359" i="6"/>
  <c r="P358" i="6"/>
  <c r="C358" i="6"/>
  <c r="O357" i="6"/>
  <c r="B357" i="6"/>
  <c r="N356" i="6"/>
  <c r="A356" i="6"/>
  <c r="M355" i="6"/>
  <c r="T354" i="6"/>
  <c r="L354" i="6"/>
  <c r="S353" i="6"/>
  <c r="H353" i="6"/>
  <c r="R352" i="6"/>
  <c r="E352" i="6"/>
  <c r="Q351" i="6"/>
  <c r="D351" i="6"/>
  <c r="P350" i="6"/>
  <c r="C350" i="6"/>
  <c r="O349" i="6"/>
  <c r="B349" i="6"/>
  <c r="N348" i="6"/>
  <c r="A348" i="6"/>
  <c r="M347" i="6"/>
  <c r="T346" i="6"/>
  <c r="L346" i="6"/>
  <c r="S345" i="6"/>
  <c r="H345" i="6"/>
  <c r="R344" i="6"/>
  <c r="E344" i="6"/>
  <c r="Q343" i="6"/>
  <c r="D343" i="6"/>
  <c r="P342" i="6"/>
  <c r="C342" i="6"/>
  <c r="O341" i="6"/>
  <c r="B341" i="6"/>
  <c r="N340" i="6"/>
  <c r="A340" i="6"/>
  <c r="M339" i="6"/>
  <c r="T338" i="6"/>
  <c r="L338" i="6"/>
  <c r="T337" i="6"/>
  <c r="L337" i="6"/>
  <c r="T336" i="6"/>
  <c r="L336" i="6"/>
  <c r="T335" i="6"/>
  <c r="L335" i="6"/>
  <c r="T334" i="6"/>
  <c r="L334" i="6"/>
  <c r="T333" i="6"/>
  <c r="L333" i="6"/>
  <c r="T332" i="6"/>
  <c r="L332" i="6"/>
  <c r="S331" i="6"/>
  <c r="H331" i="6"/>
  <c r="R330" i="6"/>
  <c r="H330" i="6"/>
  <c r="R329" i="6"/>
  <c r="E329" i="6"/>
  <c r="Q328" i="6"/>
  <c r="D328" i="6"/>
  <c r="P327" i="6"/>
  <c r="C327" i="6"/>
  <c r="O326" i="6"/>
  <c r="B326" i="6"/>
  <c r="N325" i="6"/>
  <c r="A325" i="6"/>
  <c r="M324" i="6"/>
  <c r="T323" i="6"/>
  <c r="L323" i="6"/>
  <c r="S322" i="6"/>
  <c r="H322" i="6"/>
  <c r="R321" i="6"/>
  <c r="E321" i="6"/>
  <c r="Q320" i="6"/>
  <c r="E320" i="6"/>
  <c r="Q319" i="6"/>
  <c r="D319" i="6"/>
  <c r="P318" i="6"/>
  <c r="C318" i="6"/>
  <c r="O317" i="6"/>
  <c r="B317" i="6"/>
  <c r="N316" i="6"/>
  <c r="A316" i="6"/>
  <c r="M315" i="6"/>
  <c r="T314" i="6"/>
  <c r="L314" i="6"/>
  <c r="S313" i="6"/>
  <c r="H313" i="6"/>
  <c r="R312" i="6"/>
  <c r="E312" i="6"/>
  <c r="Q311" i="6"/>
  <c r="E311" i="6"/>
  <c r="Q310" i="6"/>
  <c r="E310" i="6"/>
  <c r="Q309" i="6"/>
  <c r="E309" i="6"/>
  <c r="Q308" i="6"/>
  <c r="E308" i="6"/>
  <c r="Q307" i="6"/>
  <c r="E307" i="6"/>
  <c r="Q306" i="6"/>
  <c r="E306" i="6"/>
  <c r="Q305" i="6"/>
  <c r="E305" i="6"/>
  <c r="Q304" i="6"/>
  <c r="D304" i="6"/>
  <c r="P303" i="6"/>
  <c r="D303" i="6"/>
  <c r="P302" i="6"/>
  <c r="D302" i="6"/>
  <c r="P301" i="6"/>
  <c r="C301" i="6"/>
  <c r="O300" i="6"/>
  <c r="B300" i="6"/>
  <c r="N299" i="6"/>
  <c r="A299" i="6"/>
  <c r="M298" i="6"/>
  <c r="A298" i="6"/>
  <c r="M297" i="6"/>
  <c r="T296" i="6"/>
  <c r="L296" i="6"/>
  <c r="S295" i="6"/>
  <c r="H295" i="6"/>
  <c r="R294" i="6"/>
  <c r="E294" i="6"/>
  <c r="Q293" i="6"/>
  <c r="D293" i="6"/>
  <c r="P292" i="6"/>
  <c r="C292" i="6"/>
  <c r="O291" i="6"/>
  <c r="C291" i="6"/>
  <c r="O290" i="6"/>
  <c r="B290" i="6"/>
  <c r="N289" i="6"/>
  <c r="C289" i="6"/>
  <c r="O288" i="6"/>
  <c r="B288" i="6"/>
  <c r="N287" i="6"/>
  <c r="B287" i="6"/>
  <c r="N286" i="6"/>
  <c r="B286" i="6"/>
  <c r="N285" i="6"/>
  <c r="A285" i="6"/>
  <c r="M284" i="6"/>
  <c r="T283" i="6"/>
  <c r="L283" i="6"/>
  <c r="S282" i="6"/>
  <c r="H282" i="6"/>
  <c r="R281" i="6"/>
  <c r="H281" i="6"/>
  <c r="R280" i="6"/>
  <c r="H280" i="6"/>
  <c r="R279" i="6"/>
  <c r="E279" i="6"/>
  <c r="Q278" i="6"/>
  <c r="D278" i="6"/>
  <c r="P277" i="6"/>
  <c r="D277" i="6"/>
  <c r="P276" i="6"/>
  <c r="C276" i="6"/>
  <c r="O275" i="6"/>
  <c r="B275" i="6"/>
  <c r="N274" i="6"/>
  <c r="A274" i="6"/>
  <c r="M273" i="6"/>
  <c r="A273" i="6"/>
  <c r="M272" i="6"/>
  <c r="T271" i="6"/>
  <c r="L271" i="6"/>
  <c r="T270" i="6"/>
  <c r="L270" i="6"/>
  <c r="T269" i="6"/>
  <c r="L269" i="6"/>
  <c r="S268" i="6"/>
  <c r="H268" i="6"/>
  <c r="R267" i="6"/>
  <c r="E267" i="6"/>
  <c r="Q266" i="6"/>
  <c r="E266" i="6"/>
  <c r="Q265" i="6"/>
  <c r="D265" i="6"/>
  <c r="P264" i="6"/>
  <c r="C264" i="6"/>
  <c r="O263" i="6"/>
  <c r="C263" i="6"/>
  <c r="O262" i="6"/>
  <c r="C262" i="6"/>
  <c r="O261" i="6"/>
  <c r="B261" i="6"/>
  <c r="N260" i="6"/>
  <c r="A260" i="6"/>
  <c r="M259" i="6"/>
  <c r="A259" i="6"/>
  <c r="M258" i="6"/>
  <c r="T257" i="6"/>
  <c r="L257" i="6"/>
  <c r="S256" i="6"/>
  <c r="E256" i="6"/>
  <c r="Q255" i="6"/>
  <c r="E255" i="6"/>
  <c r="Q254" i="6"/>
  <c r="D254" i="6"/>
  <c r="P253" i="6"/>
  <c r="D253" i="6"/>
  <c r="P252" i="6"/>
  <c r="D252" i="6"/>
  <c r="P251" i="6"/>
  <c r="C251" i="6"/>
  <c r="O250" i="6"/>
  <c r="B250" i="6"/>
  <c r="N249" i="6"/>
  <c r="A249" i="6"/>
  <c r="M248" i="6"/>
  <c r="T247" i="6"/>
  <c r="L247" i="6"/>
  <c r="T246" i="6"/>
  <c r="L246" i="6"/>
  <c r="T245" i="6"/>
  <c r="L245" i="6"/>
  <c r="T244" i="6"/>
  <c r="L244" i="6"/>
  <c r="T243" i="6"/>
  <c r="L243" i="6"/>
  <c r="T242" i="6"/>
  <c r="L242" i="6"/>
  <c r="S241" i="6"/>
  <c r="H241" i="6"/>
  <c r="R240" i="6"/>
  <c r="E240" i="6"/>
  <c r="Q239" i="6"/>
  <c r="D239" i="6"/>
  <c r="P238" i="6"/>
  <c r="C238" i="6"/>
  <c r="O237" i="6"/>
  <c r="B237" i="6"/>
  <c r="N236" i="6"/>
  <c r="A236" i="6"/>
  <c r="M235" i="6"/>
  <c r="A235" i="6"/>
  <c r="M234" i="6"/>
  <c r="A234" i="6"/>
  <c r="M233" i="6"/>
  <c r="T232" i="6"/>
  <c r="L232" i="6"/>
  <c r="S231" i="6"/>
  <c r="H231" i="6"/>
  <c r="R230" i="6"/>
  <c r="E230" i="6"/>
  <c r="Q229" i="6"/>
  <c r="D229" i="6"/>
  <c r="P228" i="6"/>
  <c r="C228" i="6"/>
  <c r="O227" i="6"/>
  <c r="B227" i="6"/>
  <c r="N226" i="6"/>
  <c r="A226" i="6"/>
  <c r="M225" i="6"/>
  <c r="T224" i="6"/>
  <c r="L224" i="6"/>
  <c r="S223" i="6"/>
  <c r="H223" i="6"/>
  <c r="R222" i="6"/>
  <c r="E222" i="6"/>
  <c r="Q221" i="6"/>
  <c r="D221" i="6"/>
  <c r="P220" i="6"/>
  <c r="C220" i="6"/>
  <c r="O219" i="6"/>
  <c r="B219" i="6"/>
  <c r="N218" i="6"/>
  <c r="A218" i="6"/>
  <c r="M217" i="6"/>
  <c r="T216" i="6"/>
  <c r="L216" i="6"/>
  <c r="T215" i="6"/>
  <c r="L215" i="6"/>
  <c r="S214" i="6"/>
  <c r="I214" i="6"/>
  <c r="S213" i="6"/>
  <c r="H213" i="6"/>
  <c r="R212" i="6"/>
  <c r="E212" i="6"/>
  <c r="Q211" i="6"/>
  <c r="E211" i="6"/>
  <c r="Q210" i="6"/>
  <c r="E210" i="6"/>
  <c r="Q209" i="6"/>
  <c r="E209" i="6"/>
  <c r="Q208" i="6"/>
  <c r="E208" i="6"/>
  <c r="Q207" i="6"/>
  <c r="E207" i="6"/>
  <c r="Q206" i="6"/>
  <c r="E206" i="6"/>
  <c r="Q205" i="6"/>
  <c r="E205" i="6"/>
  <c r="Q204" i="6"/>
  <c r="D204" i="6"/>
  <c r="P203" i="6"/>
  <c r="D203" i="6"/>
  <c r="P202" i="6"/>
  <c r="C202" i="6"/>
  <c r="O201" i="6"/>
  <c r="B201" i="6"/>
  <c r="N200" i="6"/>
  <c r="A200" i="6"/>
  <c r="M199" i="6"/>
  <c r="T198" i="6"/>
  <c r="L198" i="6"/>
  <c r="S197" i="6"/>
  <c r="H197" i="6"/>
  <c r="R196" i="6"/>
  <c r="H196" i="6"/>
  <c r="R195" i="6"/>
  <c r="H195" i="6"/>
  <c r="R194" i="6"/>
  <c r="H194" i="6"/>
  <c r="R193" i="6"/>
  <c r="E193" i="6"/>
  <c r="Q192" i="6"/>
  <c r="D192" i="6"/>
  <c r="P191" i="6"/>
  <c r="D191" i="6"/>
  <c r="P190" i="6"/>
  <c r="C190" i="6"/>
  <c r="O189" i="6"/>
  <c r="C189" i="6"/>
  <c r="O188" i="6"/>
  <c r="B188" i="6"/>
  <c r="N187" i="6"/>
  <c r="A187" i="6"/>
  <c r="M186" i="6"/>
  <c r="A186" i="6"/>
  <c r="M185" i="6"/>
  <c r="T184" i="6"/>
  <c r="L184" i="6"/>
  <c r="S183" i="6"/>
  <c r="H183" i="6"/>
  <c r="R182" i="6"/>
  <c r="H182" i="6"/>
  <c r="R181" i="6"/>
  <c r="E181" i="6"/>
  <c r="Q180" i="6"/>
  <c r="E180" i="6"/>
  <c r="Q179" i="6"/>
  <c r="E179" i="6"/>
  <c r="Q178" i="6"/>
  <c r="D178" i="6"/>
  <c r="P177" i="6"/>
  <c r="C177" i="6"/>
  <c r="O176" i="6"/>
  <c r="C176" i="6"/>
  <c r="O175" i="6"/>
  <c r="B175" i="6"/>
  <c r="N174" i="6"/>
  <c r="A174" i="6"/>
  <c r="M173" i="6"/>
  <c r="T172" i="6"/>
  <c r="L172" i="6"/>
  <c r="S171" i="6"/>
  <c r="H171" i="6"/>
  <c r="R170" i="6"/>
  <c r="E170" i="6"/>
  <c r="Q169" i="6"/>
  <c r="D169" i="6"/>
  <c r="P168" i="6"/>
  <c r="C168" i="6"/>
  <c r="O167" i="6"/>
  <c r="B167" i="6"/>
  <c r="N166" i="6"/>
  <c r="A166" i="6"/>
  <c r="M165" i="6"/>
  <c r="T164" i="6"/>
  <c r="L164" i="6"/>
  <c r="S163" i="6"/>
  <c r="H163" i="6"/>
  <c r="R162" i="6"/>
  <c r="E162" i="6"/>
  <c r="Q161" i="6"/>
  <c r="D161" i="6"/>
  <c r="P160" i="6"/>
  <c r="C160" i="6"/>
  <c r="O159" i="6"/>
  <c r="B159" i="6"/>
  <c r="N158" i="6"/>
  <c r="A158" i="6"/>
  <c r="M157" i="6"/>
  <c r="T156" i="6"/>
  <c r="L156" i="6"/>
  <c r="S155" i="6"/>
  <c r="H155" i="6"/>
  <c r="R154" i="6"/>
  <c r="E154" i="6"/>
  <c r="Q153" i="6"/>
  <c r="D153" i="6"/>
  <c r="P152" i="6"/>
  <c r="C152" i="6"/>
  <c r="O151" i="6"/>
  <c r="B151" i="6"/>
  <c r="N150" i="6"/>
  <c r="B150" i="6"/>
  <c r="N149" i="6"/>
  <c r="A149" i="6"/>
  <c r="M148" i="6"/>
  <c r="T147" i="6"/>
  <c r="L147" i="6"/>
  <c r="S146" i="6"/>
  <c r="H146" i="6"/>
  <c r="R145" i="6"/>
  <c r="E145" i="6"/>
  <c r="Q144" i="6"/>
  <c r="D144" i="6"/>
  <c r="P143" i="6"/>
  <c r="C143" i="6"/>
  <c r="O142" i="6"/>
  <c r="B142" i="6"/>
  <c r="N141" i="6"/>
  <c r="A141" i="6"/>
  <c r="M140" i="6"/>
  <c r="T139" i="6"/>
  <c r="L139" i="6"/>
  <c r="S138" i="6"/>
  <c r="H138" i="6"/>
  <c r="R137" i="6"/>
  <c r="E137" i="6"/>
  <c r="Q136" i="6"/>
  <c r="D136" i="6"/>
  <c r="P135" i="6"/>
  <c r="C135" i="6"/>
  <c r="O134" i="6"/>
  <c r="B134" i="6"/>
  <c r="N133" i="6"/>
  <c r="A133" i="6"/>
  <c r="M132" i="6"/>
  <c r="T131" i="6"/>
  <c r="L131" i="6"/>
  <c r="S130" i="6"/>
  <c r="H130" i="6"/>
  <c r="R129" i="6"/>
  <c r="E129" i="6"/>
  <c r="Q128" i="6"/>
  <c r="D128" i="6"/>
  <c r="P127" i="6"/>
  <c r="C127" i="6"/>
  <c r="O126" i="6"/>
  <c r="B126" i="6"/>
  <c r="N125" i="6"/>
  <c r="A125" i="6"/>
  <c r="M124" i="6"/>
  <c r="O391" i="6"/>
  <c r="T390" i="6"/>
  <c r="E390" i="6"/>
  <c r="P389" i="6"/>
  <c r="B389" i="6"/>
  <c r="M388" i="6"/>
  <c r="T387" i="6"/>
  <c r="H387" i="6"/>
  <c r="Q386" i="6"/>
  <c r="E386" i="6"/>
  <c r="Q385" i="6"/>
  <c r="E385" i="6"/>
  <c r="Q384" i="6"/>
  <c r="E384" i="6"/>
  <c r="Q383" i="6"/>
  <c r="D383" i="6"/>
  <c r="P382" i="6"/>
  <c r="C382" i="6"/>
  <c r="O381" i="6"/>
  <c r="B381" i="6"/>
  <c r="N380" i="6"/>
  <c r="B380" i="6"/>
  <c r="N379" i="6"/>
  <c r="B379" i="6"/>
  <c r="N378" i="6"/>
  <c r="B378" i="6"/>
  <c r="N377" i="6"/>
  <c r="B377" i="6"/>
  <c r="N376" i="6"/>
  <c r="B376" i="6"/>
  <c r="N375" i="6"/>
  <c r="A375" i="6"/>
  <c r="M374" i="6"/>
  <c r="T373" i="6"/>
  <c r="L373" i="6"/>
  <c r="S372" i="6"/>
  <c r="H372" i="6"/>
  <c r="R371" i="6"/>
  <c r="H371" i="6"/>
  <c r="R370" i="6"/>
  <c r="E370" i="6"/>
  <c r="Q369" i="6"/>
  <c r="D369" i="6"/>
  <c r="P368" i="6"/>
  <c r="D368" i="6"/>
  <c r="P367" i="6"/>
  <c r="D367" i="6"/>
  <c r="P366" i="6"/>
  <c r="D366" i="6"/>
  <c r="P365" i="6"/>
  <c r="D365" i="6"/>
  <c r="P364" i="6"/>
  <c r="D364" i="6"/>
  <c r="P363" i="6"/>
  <c r="D363" i="6"/>
  <c r="P362" i="6"/>
  <c r="D362" i="6"/>
  <c r="P361" i="6"/>
  <c r="D361" i="6"/>
  <c r="P360" i="6"/>
  <c r="D360" i="6"/>
  <c r="P359" i="6"/>
  <c r="C359" i="6"/>
  <c r="O358" i="6"/>
  <c r="B358" i="6"/>
  <c r="N357" i="6"/>
  <c r="A357" i="6"/>
  <c r="M356" i="6"/>
  <c r="T355" i="6"/>
  <c r="L355" i="6"/>
  <c r="S354" i="6"/>
  <c r="H354" i="6"/>
  <c r="R353" i="6"/>
  <c r="E353" i="6"/>
  <c r="Q352" i="6"/>
  <c r="D352" i="6"/>
  <c r="P351" i="6"/>
  <c r="C351" i="6"/>
  <c r="O350" i="6"/>
  <c r="B350" i="6"/>
  <c r="N349" i="6"/>
  <c r="A349" i="6"/>
  <c r="M348" i="6"/>
  <c r="T347" i="6"/>
  <c r="L347" i="6"/>
  <c r="S346" i="6"/>
  <c r="H346" i="6"/>
  <c r="R345" i="6"/>
  <c r="E345" i="6"/>
  <c r="Q344" i="6"/>
  <c r="D344" i="6"/>
  <c r="P343" i="6"/>
  <c r="C343" i="6"/>
  <c r="O342" i="6"/>
  <c r="B342" i="6"/>
  <c r="N341" i="6"/>
  <c r="A341" i="6"/>
  <c r="M340" i="6"/>
  <c r="T339" i="6"/>
  <c r="L339" i="6"/>
  <c r="S338" i="6"/>
  <c r="I338" i="6"/>
  <c r="S337" i="6"/>
  <c r="H337" i="6"/>
  <c r="S336" i="6"/>
  <c r="H336" i="6"/>
  <c r="S335" i="6"/>
  <c r="H335" i="6"/>
  <c r="S334" i="6"/>
  <c r="H334" i="6"/>
  <c r="S333" i="6"/>
  <c r="I333" i="6"/>
  <c r="S332" i="6"/>
  <c r="H332" i="6"/>
  <c r="R331" i="6"/>
  <c r="E331" i="6"/>
  <c r="Q330" i="6"/>
  <c r="E330" i="6"/>
  <c r="Q329" i="6"/>
  <c r="D329" i="6"/>
  <c r="P328" i="6"/>
  <c r="C328" i="6"/>
  <c r="O327" i="6"/>
  <c r="B327" i="6"/>
  <c r="N326" i="6"/>
  <c r="A326" i="6"/>
  <c r="M325" i="6"/>
  <c r="T324" i="6"/>
  <c r="L324" i="6"/>
  <c r="S323" i="6"/>
  <c r="H323" i="6"/>
  <c r="R322" i="6"/>
  <c r="E322" i="6"/>
  <c r="Q321" i="6"/>
  <c r="D321" i="6"/>
  <c r="P320" i="6"/>
  <c r="D320" i="6"/>
  <c r="P319" i="6"/>
  <c r="C319" i="6"/>
  <c r="O318" i="6"/>
  <c r="B318" i="6"/>
  <c r="N317" i="6"/>
  <c r="A317" i="6"/>
  <c r="M316" i="6"/>
  <c r="T315" i="6"/>
  <c r="L315" i="6"/>
  <c r="S314" i="6"/>
  <c r="H314" i="6"/>
  <c r="R313" i="6"/>
  <c r="E313" i="6"/>
  <c r="Q312" i="6"/>
  <c r="D312" i="6"/>
  <c r="P311" i="6"/>
  <c r="D311" i="6"/>
  <c r="P310" i="6"/>
  <c r="D310" i="6"/>
  <c r="P309" i="6"/>
  <c r="D309" i="6"/>
  <c r="P308" i="6"/>
  <c r="D308" i="6"/>
  <c r="P307" i="6"/>
  <c r="D307" i="6"/>
  <c r="P306" i="6"/>
  <c r="D306" i="6"/>
  <c r="P305" i="6"/>
  <c r="D305" i="6"/>
  <c r="P304" i="6"/>
  <c r="C304" i="6"/>
  <c r="O303" i="6"/>
  <c r="C303" i="6"/>
  <c r="O302" i="6"/>
  <c r="C302" i="6"/>
  <c r="O301" i="6"/>
  <c r="B301" i="6"/>
  <c r="N300" i="6"/>
  <c r="A300" i="6"/>
  <c r="M299" i="6"/>
  <c r="T298" i="6"/>
  <c r="L298" i="6"/>
  <c r="T297" i="6"/>
  <c r="L297" i="6"/>
  <c r="S296" i="6"/>
  <c r="H296" i="6"/>
  <c r="R295" i="6"/>
  <c r="E295" i="6"/>
  <c r="Q294" i="6"/>
  <c r="D294" i="6"/>
  <c r="P293" i="6"/>
  <c r="C293" i="6"/>
  <c r="O292" i="6"/>
  <c r="B292" i="6"/>
  <c r="N291" i="6"/>
  <c r="B291" i="6"/>
  <c r="N290" i="6"/>
  <c r="A290" i="6"/>
  <c r="M289" i="6"/>
  <c r="B289" i="6"/>
  <c r="N288" i="6"/>
  <c r="A288" i="6"/>
  <c r="M287" i="6"/>
  <c r="A287" i="6"/>
  <c r="M286" i="6"/>
  <c r="A286" i="6"/>
  <c r="M285" i="6"/>
  <c r="T284" i="6"/>
  <c r="L284" i="6"/>
  <c r="S283" i="6"/>
  <c r="H283" i="6"/>
  <c r="R282" i="6"/>
  <c r="E282" i="6"/>
  <c r="Q281" i="6"/>
  <c r="E281" i="6"/>
  <c r="Q280" i="6"/>
  <c r="E280" i="6"/>
  <c r="Q279" i="6"/>
  <c r="D279" i="6"/>
  <c r="P278" i="6"/>
  <c r="C278" i="6"/>
  <c r="O277" i="6"/>
  <c r="C277" i="6"/>
  <c r="O276" i="6"/>
  <c r="B276" i="6"/>
  <c r="N275" i="6"/>
  <c r="A275" i="6"/>
  <c r="M274" i="6"/>
  <c r="T273" i="6"/>
  <c r="L273" i="6"/>
  <c r="T272" i="6"/>
  <c r="L272" i="6"/>
  <c r="S271" i="6"/>
  <c r="I271" i="6"/>
  <c r="S270" i="6"/>
  <c r="I270" i="6"/>
  <c r="S269" i="6"/>
  <c r="H269" i="6"/>
  <c r="R268" i="6"/>
  <c r="E268" i="6"/>
  <c r="Q267" i="6"/>
  <c r="D267" i="6"/>
  <c r="P266" i="6"/>
  <c r="D266" i="6"/>
  <c r="P265" i="6"/>
  <c r="C265" i="6"/>
  <c r="O264" i="6"/>
  <c r="B264" i="6"/>
  <c r="N263" i="6"/>
  <c r="B263" i="6"/>
  <c r="N262" i="6"/>
  <c r="B262" i="6"/>
  <c r="N261" i="6"/>
  <c r="A261" i="6"/>
  <c r="M260" i="6"/>
  <c r="T259" i="6"/>
  <c r="L259" i="6"/>
  <c r="T258" i="6"/>
  <c r="L258" i="6"/>
  <c r="S257" i="6"/>
  <c r="H257" i="6"/>
  <c r="P256" i="6"/>
  <c r="D256" i="6"/>
  <c r="P255" i="6"/>
  <c r="D255" i="6"/>
  <c r="P254" i="6"/>
  <c r="C254" i="6"/>
  <c r="O253" i="6"/>
  <c r="C253" i="6"/>
  <c r="O252" i="6"/>
  <c r="C252" i="6"/>
  <c r="O251" i="6"/>
  <c r="B251" i="6"/>
  <c r="N250" i="6"/>
  <c r="A250" i="6"/>
  <c r="M249" i="6"/>
  <c r="T248" i="6"/>
  <c r="L248" i="6"/>
  <c r="S247" i="6"/>
  <c r="H247" i="6"/>
  <c r="S246" i="6"/>
  <c r="H246" i="6"/>
  <c r="S245" i="6"/>
  <c r="H245" i="6"/>
  <c r="S244" i="6"/>
  <c r="H244" i="6"/>
  <c r="S243" i="6"/>
  <c r="H243" i="6"/>
  <c r="S242" i="6"/>
  <c r="H242" i="6"/>
  <c r="R241" i="6"/>
  <c r="E241" i="6"/>
  <c r="Q240" i="6"/>
  <c r="D240" i="6"/>
  <c r="P239" i="6"/>
  <c r="C239" i="6"/>
  <c r="O238" i="6"/>
  <c r="B238" i="6"/>
  <c r="N237" i="6"/>
  <c r="A237" i="6"/>
  <c r="M236" i="6"/>
  <c r="T235" i="6"/>
  <c r="L235" i="6"/>
  <c r="T234" i="6"/>
  <c r="L234" i="6"/>
  <c r="T233" i="6"/>
  <c r="L233" i="6"/>
  <c r="S232" i="6"/>
  <c r="H232" i="6"/>
  <c r="R231" i="6"/>
  <c r="E231" i="6"/>
  <c r="Q230" i="6"/>
  <c r="D230" i="6"/>
  <c r="P229" i="6"/>
  <c r="C229" i="6"/>
  <c r="O228" i="6"/>
  <c r="B228" i="6"/>
  <c r="N227" i="6"/>
  <c r="A227" i="6"/>
  <c r="M226" i="6"/>
  <c r="T225" i="6"/>
  <c r="L225" i="6"/>
  <c r="S224" i="6"/>
  <c r="H224" i="6"/>
  <c r="R223" i="6"/>
  <c r="E223" i="6"/>
  <c r="Q222" i="6"/>
  <c r="D222" i="6"/>
  <c r="P221" i="6"/>
  <c r="C221" i="6"/>
  <c r="O220" i="6"/>
  <c r="B220" i="6"/>
  <c r="N219" i="6"/>
  <c r="A219" i="6"/>
  <c r="M218" i="6"/>
  <c r="T217" i="6"/>
  <c r="L217" i="6"/>
  <c r="S216" i="6"/>
  <c r="I216" i="6"/>
  <c r="S215" i="6"/>
  <c r="H215" i="6"/>
  <c r="R214" i="6"/>
  <c r="H214" i="6"/>
  <c r="R213" i="6"/>
  <c r="E213" i="6"/>
  <c r="Q212" i="6"/>
  <c r="D212" i="6"/>
  <c r="P211" i="6"/>
  <c r="D211" i="6"/>
  <c r="P210" i="6"/>
  <c r="D210" i="6"/>
  <c r="P209" i="6"/>
  <c r="D209" i="6"/>
  <c r="P208" i="6"/>
  <c r="D208" i="6"/>
  <c r="P207" i="6"/>
  <c r="D207" i="6"/>
  <c r="P206" i="6"/>
  <c r="D206" i="6"/>
  <c r="P205" i="6"/>
  <c r="D205" i="6"/>
  <c r="P204" i="6"/>
  <c r="C204" i="6"/>
  <c r="O203" i="6"/>
  <c r="C203" i="6"/>
  <c r="O202" i="6"/>
  <c r="B202" i="6"/>
  <c r="N201" i="6"/>
  <c r="A201" i="6"/>
  <c r="M200" i="6"/>
  <c r="T199" i="6"/>
  <c r="L199" i="6"/>
  <c r="S198" i="6"/>
  <c r="H198" i="6"/>
  <c r="R197" i="6"/>
  <c r="E197" i="6"/>
  <c r="Q196" i="6"/>
  <c r="E196" i="6"/>
  <c r="Q195" i="6"/>
  <c r="E195" i="6"/>
  <c r="Q194" i="6"/>
  <c r="E194" i="6"/>
  <c r="Q193" i="6"/>
  <c r="D193" i="6"/>
  <c r="P192" i="6"/>
  <c r="C192" i="6"/>
  <c r="O191" i="6"/>
  <c r="C191" i="6"/>
  <c r="O190" i="6"/>
  <c r="B190" i="6"/>
  <c r="N189" i="6"/>
  <c r="B189" i="6"/>
  <c r="N188" i="6"/>
  <c r="A188" i="6"/>
  <c r="M187" i="6"/>
  <c r="T186" i="6"/>
  <c r="L186" i="6"/>
  <c r="T185" i="6"/>
  <c r="L185" i="6"/>
  <c r="S184" i="6"/>
  <c r="H184" i="6"/>
  <c r="R183" i="6"/>
  <c r="E183" i="6"/>
  <c r="Q182" i="6"/>
  <c r="E182" i="6"/>
  <c r="Q181" i="6"/>
  <c r="D181" i="6"/>
  <c r="P180" i="6"/>
  <c r="D180" i="6"/>
  <c r="P179" i="6"/>
  <c r="D179" i="6"/>
  <c r="P178" i="6"/>
  <c r="C178" i="6"/>
  <c r="O177" i="6"/>
  <c r="B177" i="6"/>
  <c r="N176" i="6"/>
  <c r="B176" i="6"/>
  <c r="N175" i="6"/>
  <c r="A175" i="6"/>
  <c r="M174" i="6"/>
  <c r="T173" i="6"/>
  <c r="L173" i="6"/>
  <c r="S172" i="6"/>
  <c r="H172" i="6"/>
  <c r="R171" i="6"/>
  <c r="E171" i="6"/>
  <c r="Q170" i="6"/>
  <c r="D170" i="6"/>
  <c r="P169" i="6"/>
  <c r="C169" i="6"/>
  <c r="O168" i="6"/>
  <c r="B168" i="6"/>
  <c r="N167" i="6"/>
  <c r="A167" i="6"/>
  <c r="M166" i="6"/>
  <c r="T165" i="6"/>
  <c r="L165" i="6"/>
  <c r="S164" i="6"/>
  <c r="H164" i="6"/>
  <c r="R163" i="6"/>
  <c r="E163" i="6"/>
  <c r="Q162" i="6"/>
  <c r="D162" i="6"/>
  <c r="P161" i="6"/>
  <c r="C161" i="6"/>
  <c r="O160" i="6"/>
  <c r="B160" i="6"/>
  <c r="N159" i="6"/>
  <c r="A159" i="6"/>
  <c r="M158" i="6"/>
  <c r="T157" i="6"/>
  <c r="L157" i="6"/>
  <c r="S156" i="6"/>
  <c r="H156" i="6"/>
  <c r="R155" i="6"/>
  <c r="E155" i="6"/>
  <c r="Q154" i="6"/>
  <c r="D154" i="6"/>
  <c r="P153" i="6"/>
  <c r="C153" i="6"/>
  <c r="O152" i="6"/>
  <c r="B152" i="6"/>
  <c r="N151" i="6"/>
  <c r="A151" i="6"/>
  <c r="M150" i="6"/>
  <c r="A150" i="6"/>
  <c r="M149" i="6"/>
  <c r="T148" i="6"/>
  <c r="L148" i="6"/>
  <c r="S147" i="6"/>
  <c r="H147" i="6"/>
  <c r="R146" i="6"/>
  <c r="E146" i="6"/>
  <c r="Q145" i="6"/>
  <c r="D145" i="6"/>
  <c r="P144" i="6"/>
  <c r="C144" i="6"/>
  <c r="O143" i="6"/>
  <c r="B143" i="6"/>
  <c r="N142" i="6"/>
  <c r="A142" i="6"/>
  <c r="M141" i="6"/>
  <c r="T140" i="6"/>
  <c r="L140" i="6"/>
  <c r="S139" i="6"/>
  <c r="H139" i="6"/>
  <c r="R138" i="6"/>
  <c r="E138" i="6"/>
  <c r="Q137" i="6"/>
  <c r="D137" i="6"/>
  <c r="P136" i="6"/>
  <c r="C136" i="6"/>
  <c r="O135" i="6"/>
  <c r="B135" i="6"/>
  <c r="N134" i="6"/>
  <c r="A134" i="6"/>
  <c r="M133" i="6"/>
  <c r="T132" i="6"/>
  <c r="L132" i="6"/>
  <c r="S131" i="6"/>
  <c r="H131" i="6"/>
  <c r="R130" i="6"/>
  <c r="E130" i="6"/>
  <c r="Q129" i="6"/>
  <c r="D129" i="6"/>
  <c r="P128" i="6"/>
  <c r="C128" i="6"/>
  <c r="O127" i="6"/>
  <c r="B127" i="6"/>
  <c r="N126" i="6"/>
  <c r="N391" i="6"/>
  <c r="R390" i="6"/>
  <c r="D390" i="6"/>
  <c r="O389" i="6"/>
  <c r="A389" i="6"/>
  <c r="L388" i="6"/>
  <c r="S387" i="6"/>
  <c r="E387" i="6"/>
  <c r="P386" i="6"/>
  <c r="D386" i="6"/>
  <c r="P385" i="6"/>
  <c r="D385" i="6"/>
  <c r="P384" i="6"/>
  <c r="D384" i="6"/>
  <c r="P383" i="6"/>
  <c r="C383" i="6"/>
  <c r="O382" i="6"/>
  <c r="B382" i="6"/>
  <c r="N381" i="6"/>
  <c r="A381" i="6"/>
  <c r="M380" i="6"/>
  <c r="A380" i="6"/>
  <c r="M379" i="6"/>
  <c r="A379" i="6"/>
  <c r="M378" i="6"/>
  <c r="A378" i="6"/>
  <c r="M377" i="6"/>
  <c r="A377" i="6"/>
  <c r="M376" i="6"/>
  <c r="A376" i="6"/>
  <c r="M375" i="6"/>
  <c r="T374" i="6"/>
  <c r="L374" i="6"/>
  <c r="S373" i="6"/>
  <c r="H373" i="6"/>
  <c r="R372" i="6"/>
  <c r="E372" i="6"/>
  <c r="Q371" i="6"/>
  <c r="E371" i="6"/>
  <c r="Q370" i="6"/>
  <c r="D370" i="6"/>
  <c r="P369" i="6"/>
  <c r="C369" i="6"/>
  <c r="O368" i="6"/>
  <c r="C368" i="6"/>
  <c r="O367" i="6"/>
  <c r="C367" i="6"/>
  <c r="O366" i="6"/>
  <c r="C366" i="6"/>
  <c r="O365" i="6"/>
  <c r="C365" i="6"/>
  <c r="O364" i="6"/>
  <c r="C364" i="6"/>
  <c r="O363" i="6"/>
  <c r="C363" i="6"/>
  <c r="O362" i="6"/>
  <c r="C362" i="6"/>
  <c r="O361" i="6"/>
  <c r="C361" i="6"/>
  <c r="O360" i="6"/>
  <c r="C360" i="6"/>
  <c r="O359" i="6"/>
  <c r="B359" i="6"/>
  <c r="N358" i="6"/>
  <c r="A358" i="6"/>
  <c r="M357" i="6"/>
  <c r="T356" i="6"/>
  <c r="L356" i="6"/>
  <c r="S355" i="6"/>
  <c r="H355" i="6"/>
  <c r="R354" i="6"/>
  <c r="E354" i="6"/>
  <c r="Q353" i="6"/>
  <c r="D353" i="6"/>
  <c r="P352" i="6"/>
  <c r="C352" i="6"/>
  <c r="O351" i="6"/>
  <c r="B351" i="6"/>
  <c r="N350" i="6"/>
  <c r="A350" i="6"/>
  <c r="M349" i="6"/>
  <c r="T348" i="6"/>
  <c r="L348" i="6"/>
  <c r="S347" i="6"/>
  <c r="H347" i="6"/>
  <c r="R346" i="6"/>
  <c r="E346" i="6"/>
  <c r="Q345" i="6"/>
  <c r="D345" i="6"/>
  <c r="P344" i="6"/>
  <c r="C344" i="6"/>
  <c r="O343" i="6"/>
  <c r="B343" i="6"/>
  <c r="N342" i="6"/>
  <c r="A342" i="6"/>
  <c r="M341" i="6"/>
  <c r="T340" i="6"/>
  <c r="L340" i="6"/>
  <c r="S339" i="6"/>
  <c r="H339" i="6"/>
  <c r="R338" i="6"/>
  <c r="H338" i="6"/>
  <c r="R337" i="6"/>
  <c r="F337" i="6"/>
  <c r="R336" i="6"/>
  <c r="G336" i="6"/>
  <c r="R335" i="6"/>
  <c r="F335" i="6"/>
  <c r="R334" i="6"/>
  <c r="G334" i="6"/>
  <c r="R333" i="6"/>
  <c r="H333" i="6"/>
  <c r="R332" i="6"/>
  <c r="E332" i="6"/>
  <c r="Q331" i="6"/>
  <c r="D331" i="6"/>
  <c r="P330" i="6"/>
  <c r="D330" i="6"/>
  <c r="P329" i="6"/>
  <c r="C329" i="6"/>
  <c r="O328" i="6"/>
  <c r="B328" i="6"/>
  <c r="N327" i="6"/>
  <c r="A327" i="6"/>
  <c r="M326" i="6"/>
  <c r="T325" i="6"/>
  <c r="L325" i="6"/>
  <c r="S324" i="6"/>
  <c r="H324" i="6"/>
  <c r="R323" i="6"/>
  <c r="E323" i="6"/>
  <c r="Q322" i="6"/>
  <c r="D322" i="6"/>
  <c r="P321" i="6"/>
  <c r="C321" i="6"/>
  <c r="O320" i="6"/>
  <c r="C320" i="6"/>
  <c r="O319" i="6"/>
  <c r="B319" i="6"/>
  <c r="N318" i="6"/>
  <c r="A318" i="6"/>
  <c r="M317" i="6"/>
  <c r="T316" i="6"/>
  <c r="L316" i="6"/>
  <c r="S315" i="6"/>
  <c r="H315" i="6"/>
  <c r="R314" i="6"/>
  <c r="E314" i="6"/>
  <c r="Q313" i="6"/>
  <c r="D313" i="6"/>
  <c r="P312" i="6"/>
  <c r="C312" i="6"/>
  <c r="O311" i="6"/>
  <c r="C311" i="6"/>
  <c r="O310" i="6"/>
  <c r="C310" i="6"/>
  <c r="O309" i="6"/>
  <c r="C309" i="6"/>
  <c r="O308" i="6"/>
  <c r="C308" i="6"/>
  <c r="O307" i="6"/>
  <c r="C307" i="6"/>
  <c r="O306" i="6"/>
  <c r="C306" i="6"/>
  <c r="O305" i="6"/>
  <c r="C305" i="6"/>
  <c r="O304" i="6"/>
  <c r="B304" i="6"/>
  <c r="N303" i="6"/>
  <c r="B303" i="6"/>
  <c r="N302" i="6"/>
  <c r="B302" i="6"/>
  <c r="N301" i="6"/>
  <c r="A301" i="6"/>
  <c r="M300" i="6"/>
  <c r="T299" i="6"/>
  <c r="L299" i="6"/>
  <c r="S298" i="6"/>
  <c r="H298" i="6"/>
  <c r="S297" i="6"/>
  <c r="H297" i="6"/>
  <c r="R296" i="6"/>
  <c r="E296" i="6"/>
  <c r="Q295" i="6"/>
  <c r="D295" i="6"/>
  <c r="P294" i="6"/>
  <c r="C294" i="6"/>
  <c r="O293" i="6"/>
  <c r="B293" i="6"/>
  <c r="N292" i="6"/>
  <c r="A292" i="6"/>
  <c r="M291" i="6"/>
  <c r="A291" i="6"/>
  <c r="M290" i="6"/>
  <c r="T289" i="6"/>
  <c r="L289" i="6"/>
  <c r="A289" i="6"/>
  <c r="M288" i="6"/>
  <c r="T287" i="6"/>
  <c r="L287" i="6"/>
  <c r="T286" i="6"/>
  <c r="L286" i="6"/>
  <c r="T285" i="6"/>
  <c r="L285" i="6"/>
  <c r="S284" i="6"/>
  <c r="H284" i="6"/>
  <c r="R283" i="6"/>
  <c r="E283" i="6"/>
  <c r="Q282" i="6"/>
  <c r="D282" i="6"/>
  <c r="P281" i="6"/>
  <c r="D281" i="6"/>
  <c r="P280" i="6"/>
  <c r="D280" i="6"/>
  <c r="P279" i="6"/>
  <c r="C279" i="6"/>
  <c r="O278" i="6"/>
  <c r="B278" i="6"/>
  <c r="N277" i="6"/>
  <c r="B277" i="6"/>
  <c r="N276" i="6"/>
  <c r="A276" i="6"/>
  <c r="M275" i="6"/>
  <c r="T274" i="6"/>
  <c r="L274" i="6"/>
  <c r="S273" i="6"/>
  <c r="I273" i="6"/>
  <c r="S272" i="6"/>
  <c r="H272" i="6"/>
  <c r="R271" i="6"/>
  <c r="H271" i="6"/>
  <c r="R270" i="6"/>
  <c r="H270" i="6"/>
  <c r="R269" i="6"/>
  <c r="E269" i="6"/>
  <c r="Q268" i="6"/>
  <c r="D268" i="6"/>
  <c r="P267" i="6"/>
  <c r="C267" i="6"/>
  <c r="O266" i="6"/>
  <c r="C266" i="6"/>
  <c r="O265" i="6"/>
  <c r="B265" i="6"/>
  <c r="N264" i="6"/>
  <c r="A264" i="6"/>
  <c r="M263" i="6"/>
  <c r="A263" i="6"/>
  <c r="M262" i="6"/>
  <c r="A262" i="6"/>
  <c r="M261" i="6"/>
  <c r="T260" i="6"/>
  <c r="L260" i="6"/>
  <c r="S259" i="6"/>
  <c r="I259" i="6"/>
  <c r="S258" i="6"/>
  <c r="H258" i="6"/>
  <c r="R257" i="6"/>
  <c r="E257" i="6"/>
  <c r="O256" i="6"/>
  <c r="C256" i="6"/>
  <c r="O255" i="6"/>
  <c r="C255" i="6"/>
  <c r="O254" i="6"/>
  <c r="B254" i="6"/>
  <c r="N253" i="6"/>
  <c r="B253" i="6"/>
  <c r="N252" i="6"/>
  <c r="B252" i="6"/>
  <c r="N251" i="6"/>
  <c r="A251" i="6"/>
  <c r="M250" i="6"/>
  <c r="T249" i="6"/>
  <c r="L249" i="6"/>
  <c r="S248" i="6"/>
  <c r="H248" i="6"/>
  <c r="R247" i="6"/>
  <c r="G247" i="6"/>
  <c r="R246" i="6"/>
  <c r="F246" i="6"/>
  <c r="R245" i="6"/>
  <c r="G245" i="6"/>
  <c r="R244" i="6"/>
  <c r="F244" i="6"/>
  <c r="R243" i="6"/>
  <c r="G243" i="6"/>
  <c r="R242" i="6"/>
  <c r="E242" i="6"/>
  <c r="Q241" i="6"/>
  <c r="D241" i="6"/>
  <c r="P240" i="6"/>
  <c r="C240" i="6"/>
  <c r="O239" i="6"/>
  <c r="B239" i="6"/>
  <c r="N238" i="6"/>
  <c r="A238" i="6"/>
  <c r="M237" i="6"/>
  <c r="T236" i="6"/>
  <c r="L236" i="6"/>
  <c r="S235" i="6"/>
  <c r="H235" i="6"/>
  <c r="S234" i="6"/>
  <c r="H234" i="6"/>
  <c r="S233" i="6"/>
  <c r="H233" i="6"/>
  <c r="R232" i="6"/>
  <c r="E232" i="6"/>
  <c r="Q231" i="6"/>
  <c r="D231" i="6"/>
  <c r="P230" i="6"/>
  <c r="C230" i="6"/>
  <c r="O229" i="6"/>
  <c r="B229" i="6"/>
  <c r="N228" i="6"/>
  <c r="A228" i="6"/>
  <c r="M227" i="6"/>
  <c r="T226" i="6"/>
  <c r="L226" i="6"/>
  <c r="S225" i="6"/>
  <c r="H225" i="6"/>
  <c r="R224" i="6"/>
  <c r="E224" i="6"/>
  <c r="Q223" i="6"/>
  <c r="D223" i="6"/>
  <c r="P222" i="6"/>
  <c r="C222" i="6"/>
  <c r="O221" i="6"/>
  <c r="B221" i="6"/>
  <c r="N220" i="6"/>
  <c r="A220" i="6"/>
  <c r="M219" i="6"/>
  <c r="T218" i="6"/>
  <c r="L218" i="6"/>
  <c r="S217" i="6"/>
  <c r="H217" i="6"/>
  <c r="R216" i="6"/>
  <c r="H216" i="6"/>
  <c r="R215" i="6"/>
  <c r="E215" i="6"/>
  <c r="Q214" i="6"/>
  <c r="E214" i="6"/>
  <c r="Q213" i="6"/>
  <c r="D213" i="6"/>
  <c r="P212" i="6"/>
  <c r="C212" i="6"/>
  <c r="O211" i="6"/>
  <c r="C211" i="6"/>
  <c r="O210" i="6"/>
  <c r="C210" i="6"/>
  <c r="O209" i="6"/>
  <c r="C209" i="6"/>
  <c r="O208" i="6"/>
  <c r="C208" i="6"/>
  <c r="O207" i="6"/>
  <c r="C207" i="6"/>
  <c r="O206" i="6"/>
  <c r="C206" i="6"/>
  <c r="O205" i="6"/>
  <c r="C205" i="6"/>
  <c r="O204" i="6"/>
  <c r="B204" i="6"/>
  <c r="N203" i="6"/>
  <c r="B203" i="6"/>
  <c r="N202" i="6"/>
  <c r="A202" i="6"/>
  <c r="M201" i="6"/>
  <c r="T200" i="6"/>
  <c r="L200" i="6"/>
  <c r="S199" i="6"/>
  <c r="H199" i="6"/>
  <c r="R198" i="6"/>
  <c r="E198" i="6"/>
  <c r="Q197" i="6"/>
  <c r="D197" i="6"/>
  <c r="P196" i="6"/>
  <c r="D196" i="6"/>
  <c r="P195" i="6"/>
  <c r="D195" i="6"/>
  <c r="P194" i="6"/>
  <c r="D194" i="6"/>
  <c r="P193" i="6"/>
  <c r="C193" i="6"/>
  <c r="O192" i="6"/>
  <c r="B192" i="6"/>
  <c r="N191" i="6"/>
  <c r="B191" i="6"/>
  <c r="N190" i="6"/>
  <c r="A190" i="6"/>
  <c r="M189" i="6"/>
  <c r="A189" i="6"/>
  <c r="M188" i="6"/>
  <c r="T187" i="6"/>
  <c r="L187" i="6"/>
  <c r="S186" i="6"/>
  <c r="I186" i="6"/>
  <c r="S185" i="6"/>
  <c r="H185" i="6"/>
  <c r="R184" i="6"/>
  <c r="E184" i="6"/>
  <c r="Q183" i="6"/>
  <c r="D183" i="6"/>
  <c r="P182" i="6"/>
  <c r="D182" i="6"/>
  <c r="P181" i="6"/>
  <c r="C181" i="6"/>
  <c r="O180" i="6"/>
  <c r="C180" i="6"/>
  <c r="O179" i="6"/>
  <c r="C179" i="6"/>
  <c r="O178" i="6"/>
  <c r="B178" i="6"/>
  <c r="N177" i="6"/>
  <c r="A177" i="6"/>
  <c r="M176" i="6"/>
  <c r="A176" i="6"/>
  <c r="M175" i="6"/>
  <c r="T174" i="6"/>
  <c r="L174" i="6"/>
  <c r="S173" i="6"/>
  <c r="H173" i="6"/>
  <c r="R172" i="6"/>
  <c r="E172" i="6"/>
  <c r="Q171" i="6"/>
  <c r="D171" i="6"/>
  <c r="P170" i="6"/>
  <c r="C170" i="6"/>
  <c r="O169" i="6"/>
  <c r="B169" i="6"/>
  <c r="N168" i="6"/>
  <c r="A168" i="6"/>
  <c r="M167" i="6"/>
  <c r="T166" i="6"/>
  <c r="L166" i="6"/>
  <c r="S165" i="6"/>
  <c r="H165" i="6"/>
  <c r="R164" i="6"/>
  <c r="E164" i="6"/>
  <c r="Q163" i="6"/>
  <c r="D163" i="6"/>
  <c r="P162" i="6"/>
  <c r="C162" i="6"/>
  <c r="O161" i="6"/>
  <c r="B161" i="6"/>
  <c r="N160" i="6"/>
  <c r="A160" i="6"/>
  <c r="M159" i="6"/>
  <c r="T158" i="6"/>
  <c r="L158" i="6"/>
  <c r="S157" i="6"/>
  <c r="H157" i="6"/>
  <c r="R156" i="6"/>
  <c r="E156" i="6"/>
  <c r="Q155" i="6"/>
  <c r="D155" i="6"/>
  <c r="P154" i="6"/>
  <c r="C154" i="6"/>
  <c r="O153" i="6"/>
  <c r="B153" i="6"/>
  <c r="N152" i="6"/>
  <c r="A152" i="6"/>
  <c r="M151" i="6"/>
  <c r="T150" i="6"/>
  <c r="L150" i="6"/>
  <c r="T149" i="6"/>
  <c r="L149" i="6"/>
  <c r="S148" i="6"/>
  <c r="H148" i="6"/>
  <c r="R147" i="6"/>
  <c r="E147" i="6"/>
  <c r="Q146" i="6"/>
  <c r="D146" i="6"/>
  <c r="P145" i="6"/>
  <c r="C145" i="6"/>
  <c r="O144" i="6"/>
  <c r="B144" i="6"/>
  <c r="N143" i="6"/>
  <c r="A143" i="6"/>
  <c r="M142" i="6"/>
  <c r="T141" i="6"/>
  <c r="L141" i="6"/>
  <c r="S140" i="6"/>
  <c r="H140" i="6"/>
  <c r="R139" i="6"/>
  <c r="E139" i="6"/>
  <c r="Q138" i="6"/>
  <c r="D138" i="6"/>
  <c r="P137" i="6"/>
  <c r="C137" i="6"/>
  <c r="O136" i="6"/>
  <c r="B136" i="6"/>
  <c r="N135" i="6"/>
  <c r="A135" i="6"/>
  <c r="M134" i="6"/>
  <c r="T133" i="6"/>
  <c r="L133" i="6"/>
  <c r="S132" i="6"/>
  <c r="H132" i="6"/>
  <c r="R131" i="6"/>
  <c r="E131" i="6"/>
  <c r="Q130" i="6"/>
  <c r="D130" i="6"/>
  <c r="P129" i="6"/>
  <c r="C129" i="6"/>
  <c r="O128" i="6"/>
  <c r="B128" i="6"/>
  <c r="N127" i="6"/>
  <c r="A127" i="6"/>
  <c r="M126" i="6"/>
  <c r="H391" i="6"/>
  <c r="Q390" i="6"/>
  <c r="C390" i="6"/>
  <c r="N389" i="6"/>
  <c r="T388" i="6"/>
  <c r="I388" i="6"/>
  <c r="R387" i="6"/>
  <c r="C387" i="6"/>
  <c r="O386" i="6"/>
  <c r="C386" i="6"/>
  <c r="O385" i="6"/>
  <c r="C385" i="6"/>
  <c r="O384" i="6"/>
  <c r="C384" i="6"/>
  <c r="O383" i="6"/>
  <c r="B383" i="6"/>
  <c r="N382" i="6"/>
  <c r="A382" i="6"/>
  <c r="M381" i="6"/>
  <c r="T380" i="6"/>
  <c r="L380" i="6"/>
  <c r="T379" i="6"/>
  <c r="L379" i="6"/>
  <c r="T378" i="6"/>
  <c r="L378" i="6"/>
  <c r="T377" i="6"/>
  <c r="L377" i="6"/>
  <c r="T376" i="6"/>
  <c r="L376" i="6"/>
  <c r="T375" i="6"/>
  <c r="L375" i="6"/>
  <c r="S374" i="6"/>
  <c r="H374" i="6"/>
  <c r="R373" i="6"/>
  <c r="E373" i="6"/>
  <c r="Q372" i="6"/>
  <c r="D372" i="6"/>
  <c r="P371" i="6"/>
  <c r="D371" i="6"/>
  <c r="P370" i="6"/>
  <c r="C370" i="6"/>
  <c r="O369" i="6"/>
  <c r="B369" i="6"/>
  <c r="N368" i="6"/>
  <c r="B368" i="6"/>
  <c r="N367" i="6"/>
  <c r="B367" i="6"/>
  <c r="N366" i="6"/>
  <c r="B366" i="6"/>
  <c r="N365" i="6"/>
  <c r="B365" i="6"/>
  <c r="N364" i="6"/>
  <c r="B364" i="6"/>
  <c r="N363" i="6"/>
  <c r="B363" i="6"/>
  <c r="N362" i="6"/>
  <c r="B362" i="6"/>
  <c r="N361" i="6"/>
  <c r="B361" i="6"/>
  <c r="N360" i="6"/>
  <c r="B360" i="6"/>
  <c r="N359" i="6"/>
  <c r="A359" i="6"/>
  <c r="M358" i="6"/>
  <c r="T357" i="6"/>
  <c r="L357" i="6"/>
  <c r="S356" i="6"/>
  <c r="H356" i="6"/>
  <c r="R355" i="6"/>
  <c r="E355" i="6"/>
  <c r="Q354" i="6"/>
  <c r="D354" i="6"/>
  <c r="P353" i="6"/>
  <c r="C353" i="6"/>
  <c r="O352" i="6"/>
  <c r="B352" i="6"/>
  <c r="N351" i="6"/>
  <c r="A351" i="6"/>
  <c r="M350" i="6"/>
  <c r="T349" i="6"/>
  <c r="L349" i="6"/>
  <c r="S348" i="6"/>
  <c r="H348" i="6"/>
  <c r="R347" i="6"/>
  <c r="E347" i="6"/>
  <c r="Q346" i="6"/>
  <c r="D346" i="6"/>
  <c r="P345" i="6"/>
  <c r="C345" i="6"/>
  <c r="O344" i="6"/>
  <c r="B344" i="6"/>
  <c r="N343" i="6"/>
  <c r="A343" i="6"/>
  <c r="M342" i="6"/>
  <c r="T341" i="6"/>
  <c r="L341" i="6"/>
  <c r="S340" i="6"/>
  <c r="H340" i="6"/>
  <c r="R339" i="6"/>
  <c r="E339" i="6"/>
  <c r="Q338" i="6"/>
  <c r="E338" i="6"/>
  <c r="Q337" i="6"/>
  <c r="E337" i="6"/>
  <c r="Q336" i="6"/>
  <c r="E336" i="6"/>
  <c r="Q335" i="6"/>
  <c r="E335" i="6"/>
  <c r="Q334" i="6"/>
  <c r="E334" i="6"/>
  <c r="Q333" i="6"/>
  <c r="E333" i="6"/>
  <c r="Q332" i="6"/>
  <c r="D332" i="6"/>
  <c r="P331" i="6"/>
  <c r="C331" i="6"/>
  <c r="O330" i="6"/>
  <c r="C330" i="6"/>
  <c r="O329" i="6"/>
  <c r="B329" i="6"/>
  <c r="N328" i="6"/>
  <c r="A328" i="6"/>
  <c r="M327" i="6"/>
  <c r="T326" i="6"/>
  <c r="L326" i="6"/>
  <c r="S325" i="6"/>
  <c r="H325" i="6"/>
  <c r="R324" i="6"/>
  <c r="E324" i="6"/>
  <c r="Q323" i="6"/>
  <c r="D323" i="6"/>
  <c r="P322" i="6"/>
  <c r="C322" i="6"/>
  <c r="O321" i="6"/>
  <c r="B321" i="6"/>
  <c r="N320" i="6"/>
  <c r="B320" i="6"/>
  <c r="N319" i="6"/>
  <c r="A319" i="6"/>
  <c r="M318" i="6"/>
  <c r="T317" i="6"/>
  <c r="L317" i="6"/>
  <c r="S316" i="6"/>
  <c r="H316" i="6"/>
  <c r="R315" i="6"/>
  <c r="E315" i="6"/>
  <c r="Q314" i="6"/>
  <c r="D314" i="6"/>
  <c r="P313" i="6"/>
  <c r="C313" i="6"/>
  <c r="O312" i="6"/>
  <c r="B312" i="6"/>
  <c r="N311" i="6"/>
  <c r="B311" i="6"/>
  <c r="N310" i="6"/>
  <c r="B310" i="6"/>
  <c r="N309" i="6"/>
  <c r="B309" i="6"/>
  <c r="N308" i="6"/>
  <c r="B308" i="6"/>
  <c r="N307" i="6"/>
  <c r="B307" i="6"/>
  <c r="N306" i="6"/>
  <c r="B306" i="6"/>
  <c r="N305" i="6"/>
  <c r="B305" i="6"/>
  <c r="N304" i="6"/>
  <c r="A304" i="6"/>
  <c r="M303" i="6"/>
  <c r="A303" i="6"/>
  <c r="M302" i="6"/>
  <c r="A302" i="6"/>
  <c r="M301" i="6"/>
  <c r="T300" i="6"/>
  <c r="L300" i="6"/>
  <c r="S299" i="6"/>
  <c r="H299" i="6"/>
  <c r="R298" i="6"/>
  <c r="F298" i="6"/>
  <c r="R297" i="6"/>
  <c r="E297" i="6"/>
  <c r="Q296" i="6"/>
  <c r="D296" i="6"/>
  <c r="P295" i="6"/>
  <c r="C295" i="6"/>
  <c r="O294" i="6"/>
  <c r="B294" i="6"/>
  <c r="N293" i="6"/>
  <c r="A293" i="6"/>
  <c r="M292" i="6"/>
  <c r="T291" i="6"/>
  <c r="L291" i="6"/>
  <c r="T290" i="6"/>
  <c r="L290" i="6"/>
  <c r="S289" i="6"/>
  <c r="I289" i="6"/>
  <c r="T288" i="6"/>
  <c r="L288" i="6"/>
  <c r="S287" i="6"/>
  <c r="H287" i="6"/>
  <c r="S286" i="6"/>
  <c r="H286" i="6"/>
  <c r="S285" i="6"/>
  <c r="H285" i="6"/>
  <c r="R284" i="6"/>
  <c r="E284" i="6"/>
  <c r="Q283" i="6"/>
  <c r="D283" i="6"/>
  <c r="P282" i="6"/>
  <c r="C282" i="6"/>
  <c r="O281" i="6"/>
  <c r="C281" i="6"/>
  <c r="O280" i="6"/>
  <c r="C280" i="6"/>
  <c r="O279" i="6"/>
  <c r="B279" i="6"/>
  <c r="N278" i="6"/>
  <c r="A278" i="6"/>
  <c r="M277" i="6"/>
  <c r="A277" i="6"/>
  <c r="M276" i="6"/>
  <c r="T275" i="6"/>
  <c r="L275" i="6"/>
  <c r="S274" i="6"/>
  <c r="H274" i="6"/>
  <c r="R273" i="6"/>
  <c r="H273" i="6"/>
  <c r="R272" i="6"/>
  <c r="E272" i="6"/>
  <c r="Q271" i="6"/>
  <c r="E271" i="6"/>
  <c r="Q270" i="6"/>
  <c r="E270" i="6"/>
  <c r="Q269" i="6"/>
  <c r="D269" i="6"/>
  <c r="P268" i="6"/>
  <c r="C268" i="6"/>
  <c r="O267" i="6"/>
  <c r="B267" i="6"/>
  <c r="N266" i="6"/>
  <c r="B266" i="6"/>
  <c r="N265" i="6"/>
  <c r="A265" i="6"/>
  <c r="M264" i="6"/>
  <c r="T263" i="6"/>
  <c r="L263" i="6"/>
  <c r="T262" i="6"/>
  <c r="L262" i="6"/>
  <c r="T261" i="6"/>
  <c r="L261" i="6"/>
  <c r="S260" i="6"/>
  <c r="H260" i="6"/>
  <c r="R259" i="6"/>
  <c r="H259" i="6"/>
  <c r="R258" i="6"/>
  <c r="E258" i="6"/>
  <c r="Q257" i="6"/>
  <c r="D257" i="6"/>
  <c r="N256" i="6"/>
  <c r="B256" i="6"/>
  <c r="N255" i="6"/>
  <c r="B255" i="6"/>
  <c r="N254" i="6"/>
  <c r="A254" i="6"/>
  <c r="M253" i="6"/>
  <c r="A253" i="6"/>
  <c r="M252" i="6"/>
  <c r="A252" i="6"/>
  <c r="M251" i="6"/>
  <c r="T250" i="6"/>
  <c r="L250" i="6"/>
  <c r="S249" i="6"/>
  <c r="H249" i="6"/>
  <c r="R248" i="6"/>
  <c r="E248" i="6"/>
  <c r="Q247" i="6"/>
  <c r="E247" i="6"/>
  <c r="Q246" i="6"/>
  <c r="E246" i="6"/>
  <c r="Q245" i="6"/>
  <c r="E245" i="6"/>
  <c r="Q244" i="6"/>
  <c r="E244" i="6"/>
  <c r="Q243" i="6"/>
  <c r="E243" i="6"/>
  <c r="Q242" i="6"/>
  <c r="D242" i="6"/>
  <c r="P241" i="6"/>
  <c r="C241" i="6"/>
  <c r="O240" i="6"/>
  <c r="B240" i="6"/>
  <c r="N239" i="6"/>
  <c r="A239" i="6"/>
  <c r="M238" i="6"/>
  <c r="T237" i="6"/>
  <c r="L237" i="6"/>
  <c r="S236" i="6"/>
  <c r="H236" i="6"/>
  <c r="R235" i="6"/>
  <c r="F235" i="6"/>
  <c r="R234" i="6"/>
  <c r="G234" i="6"/>
  <c r="R233" i="6"/>
  <c r="E233" i="6"/>
  <c r="Q232" i="6"/>
  <c r="D232" i="6"/>
  <c r="P231" i="6"/>
  <c r="C231" i="6"/>
  <c r="O230" i="6"/>
  <c r="B230" i="6"/>
  <c r="N229" i="6"/>
  <c r="A229" i="6"/>
  <c r="M228" i="6"/>
  <c r="T227" i="6"/>
  <c r="L227" i="6"/>
  <c r="S226" i="6"/>
  <c r="H226" i="6"/>
  <c r="R225" i="6"/>
  <c r="E225" i="6"/>
  <c r="Q224" i="6"/>
  <c r="D224" i="6"/>
  <c r="P223" i="6"/>
  <c r="C223" i="6"/>
  <c r="O222" i="6"/>
  <c r="B222" i="6"/>
  <c r="N221" i="6"/>
  <c r="A221" i="6"/>
  <c r="M220" i="6"/>
  <c r="T219" i="6"/>
  <c r="L219" i="6"/>
  <c r="S218" i="6"/>
  <c r="H218" i="6"/>
  <c r="R217" i="6"/>
  <c r="E217" i="6"/>
  <c r="Q216" i="6"/>
  <c r="E216" i="6"/>
  <c r="Q215" i="6"/>
  <c r="D215" i="6"/>
  <c r="P214" i="6"/>
  <c r="D214" i="6"/>
  <c r="P213" i="6"/>
  <c r="C213" i="6"/>
  <c r="O212" i="6"/>
  <c r="B212" i="6"/>
  <c r="N211" i="6"/>
  <c r="B211" i="6"/>
  <c r="N210" i="6"/>
  <c r="B210" i="6"/>
  <c r="N209" i="6"/>
  <c r="B209" i="6"/>
  <c r="N208" i="6"/>
  <c r="B208" i="6"/>
  <c r="N207" i="6"/>
  <c r="B207" i="6"/>
  <c r="N206" i="6"/>
  <c r="B206" i="6"/>
  <c r="N205" i="6"/>
  <c r="B205" i="6"/>
  <c r="N204" i="6"/>
  <c r="A204" i="6"/>
  <c r="M203" i="6"/>
  <c r="A203" i="6"/>
  <c r="M202" i="6"/>
  <c r="T201" i="6"/>
  <c r="L201" i="6"/>
  <c r="S200" i="6"/>
  <c r="H200" i="6"/>
  <c r="R199" i="6"/>
  <c r="E199" i="6"/>
  <c r="Q198" i="6"/>
  <c r="D198" i="6"/>
  <c r="P197" i="6"/>
  <c r="C197" i="6"/>
  <c r="O196" i="6"/>
  <c r="C196" i="6"/>
  <c r="O195" i="6"/>
  <c r="C195" i="6"/>
  <c r="O194" i="6"/>
  <c r="C194" i="6"/>
  <c r="O193" i="6"/>
  <c r="B193" i="6"/>
  <c r="N192" i="6"/>
  <c r="A192" i="6"/>
  <c r="M191" i="6"/>
  <c r="A191" i="6"/>
  <c r="M190" i="6"/>
  <c r="T189" i="6"/>
  <c r="L189" i="6"/>
  <c r="T188" i="6"/>
  <c r="L188" i="6"/>
  <c r="S187" i="6"/>
  <c r="H187" i="6"/>
  <c r="R186" i="6"/>
  <c r="H186" i="6"/>
  <c r="R185" i="6"/>
  <c r="E185" i="6"/>
  <c r="Q184" i="6"/>
  <c r="D184" i="6"/>
  <c r="P183" i="6"/>
  <c r="C183" i="6"/>
  <c r="O182" i="6"/>
  <c r="C182" i="6"/>
  <c r="O181" i="6"/>
  <c r="B181" i="6"/>
  <c r="N180" i="6"/>
  <c r="B180" i="6"/>
  <c r="N179" i="6"/>
  <c r="B179" i="6"/>
  <c r="N178" i="6"/>
  <c r="A178" i="6"/>
  <c r="M177" i="6"/>
  <c r="T176" i="6"/>
  <c r="L176" i="6"/>
  <c r="T175" i="6"/>
  <c r="L175" i="6"/>
  <c r="S174" i="6"/>
  <c r="H174" i="6"/>
  <c r="R173" i="6"/>
  <c r="E173" i="6"/>
  <c r="Q172" i="6"/>
  <c r="D172" i="6"/>
  <c r="P171" i="6"/>
  <c r="C171" i="6"/>
  <c r="O170" i="6"/>
  <c r="B170" i="6"/>
  <c r="N169" i="6"/>
  <c r="A169" i="6"/>
  <c r="M168" i="6"/>
  <c r="T167" i="6"/>
  <c r="L167" i="6"/>
  <c r="S166" i="6"/>
  <c r="H166" i="6"/>
  <c r="R165" i="6"/>
  <c r="E165" i="6"/>
  <c r="Q164" i="6"/>
  <c r="D164" i="6"/>
  <c r="P163" i="6"/>
  <c r="C163" i="6"/>
  <c r="O162" i="6"/>
  <c r="B162" i="6"/>
  <c r="N161" i="6"/>
  <c r="A161" i="6"/>
  <c r="M160" i="6"/>
  <c r="T159" i="6"/>
  <c r="L159" i="6"/>
  <c r="S158" i="6"/>
  <c r="H158" i="6"/>
  <c r="R157" i="6"/>
  <c r="E157" i="6"/>
  <c r="Q156" i="6"/>
  <c r="D156" i="6"/>
  <c r="P155" i="6"/>
  <c r="C155" i="6"/>
  <c r="O154" i="6"/>
  <c r="B154" i="6"/>
  <c r="N153" i="6"/>
  <c r="A153" i="6"/>
  <c r="M152" i="6"/>
  <c r="T151" i="6"/>
  <c r="L151" i="6"/>
  <c r="S150" i="6"/>
  <c r="I150" i="6"/>
  <c r="S149" i="6"/>
  <c r="H149" i="6"/>
  <c r="R148" i="6"/>
  <c r="E148" i="6"/>
  <c r="Q147" i="6"/>
  <c r="D147" i="6"/>
  <c r="P146" i="6"/>
  <c r="C146" i="6"/>
  <c r="O145" i="6"/>
  <c r="B145" i="6"/>
  <c r="N144" i="6"/>
  <c r="A144" i="6"/>
  <c r="M143" i="6"/>
  <c r="T142" i="6"/>
  <c r="L142" i="6"/>
  <c r="S141" i="6"/>
  <c r="H141" i="6"/>
  <c r="R140" i="6"/>
  <c r="E140" i="6"/>
  <c r="Q139" i="6"/>
  <c r="D139" i="6"/>
  <c r="P138" i="6"/>
  <c r="C138" i="6"/>
  <c r="O137" i="6"/>
  <c r="B137" i="6"/>
  <c r="N136" i="6"/>
  <c r="A136" i="6"/>
  <c r="M135" i="6"/>
  <c r="T134" i="6"/>
  <c r="L134" i="6"/>
  <c r="S133" i="6"/>
  <c r="H133" i="6"/>
  <c r="R132" i="6"/>
  <c r="E132" i="6"/>
  <c r="Q131" i="6"/>
  <c r="D131" i="6"/>
  <c r="P130" i="6"/>
  <c r="C130" i="6"/>
  <c r="O129" i="6"/>
  <c r="B129" i="6"/>
  <c r="N128" i="6"/>
  <c r="A128" i="6"/>
  <c r="M127" i="6"/>
  <c r="T126" i="6"/>
  <c r="L126" i="6"/>
  <c r="S125" i="6"/>
  <c r="D126" i="6"/>
  <c r="E125" i="6"/>
  <c r="O124" i="6"/>
  <c r="A124" i="6"/>
  <c r="M123" i="6"/>
  <c r="T122" i="6"/>
  <c r="L122" i="6"/>
  <c r="S121" i="6"/>
  <c r="H121" i="6"/>
  <c r="R120" i="6"/>
  <c r="E120" i="6"/>
  <c r="Q119" i="6"/>
  <c r="D119" i="6"/>
  <c r="P118" i="6"/>
  <c r="C118" i="6"/>
  <c r="O117" i="6"/>
  <c r="B117" i="6"/>
  <c r="N116" i="6"/>
  <c r="A116" i="6"/>
  <c r="M115" i="6"/>
  <c r="T114" i="6"/>
  <c r="L114" i="6"/>
  <c r="S113" i="6"/>
  <c r="H113" i="6"/>
  <c r="R112" i="6"/>
  <c r="E112" i="6"/>
  <c r="Q111" i="6"/>
  <c r="D111" i="6"/>
  <c r="P110" i="6"/>
  <c r="C110" i="6"/>
  <c r="O109" i="6"/>
  <c r="B109" i="6"/>
  <c r="N108" i="6"/>
  <c r="A108" i="6"/>
  <c r="M107" i="6"/>
  <c r="T106" i="6"/>
  <c r="L106" i="6"/>
  <c r="S105" i="6"/>
  <c r="H105" i="6"/>
  <c r="R104" i="6"/>
  <c r="E104" i="6"/>
  <c r="Q103" i="6"/>
  <c r="D103" i="6"/>
  <c r="P102" i="6"/>
  <c r="C102" i="6"/>
  <c r="O101" i="6"/>
  <c r="B101" i="6"/>
  <c r="N100" i="6"/>
  <c r="A100" i="6"/>
  <c r="M99" i="6"/>
  <c r="T98" i="6"/>
  <c r="L98" i="6"/>
  <c r="S97" i="6"/>
  <c r="H97" i="6"/>
  <c r="R96" i="6"/>
  <c r="E96" i="6"/>
  <c r="Q95" i="6"/>
  <c r="D95" i="6"/>
  <c r="P94" i="6"/>
  <c r="C94" i="6"/>
  <c r="O93" i="6"/>
  <c r="B93" i="6"/>
  <c r="N92" i="6"/>
  <c r="A92" i="6"/>
  <c r="M91" i="6"/>
  <c r="T90" i="6"/>
  <c r="L90" i="6"/>
  <c r="S89" i="6"/>
  <c r="H89" i="6"/>
  <c r="R88" i="6"/>
  <c r="E88" i="6"/>
  <c r="Q87" i="6"/>
  <c r="D87" i="6"/>
  <c r="P86" i="6"/>
  <c r="C86" i="6"/>
  <c r="O85" i="6"/>
  <c r="B85" i="6"/>
  <c r="N84" i="6"/>
  <c r="A84" i="6"/>
  <c r="M83" i="6"/>
  <c r="T82" i="6"/>
  <c r="L82" i="6"/>
  <c r="S81" i="6"/>
  <c r="H81" i="6"/>
  <c r="R80" i="6"/>
  <c r="E80" i="6"/>
  <c r="Q79" i="6"/>
  <c r="D79" i="6"/>
  <c r="P78" i="6"/>
  <c r="C78" i="6"/>
  <c r="O77" i="6"/>
  <c r="B77" i="6"/>
  <c r="N76" i="6"/>
  <c r="A76" i="6"/>
  <c r="M75" i="6"/>
  <c r="T74" i="6"/>
  <c r="L74" i="6"/>
  <c r="S73" i="6"/>
  <c r="H73" i="6"/>
  <c r="R72" i="6"/>
  <c r="E72" i="6"/>
  <c r="Q71" i="6"/>
  <c r="D71" i="6"/>
  <c r="P70" i="6"/>
  <c r="C70" i="6"/>
  <c r="O69" i="6"/>
  <c r="B69" i="6"/>
  <c r="N68" i="6"/>
  <c r="A68" i="6"/>
  <c r="M67" i="6"/>
  <c r="T66" i="6"/>
  <c r="L66" i="6"/>
  <c r="S65" i="6"/>
  <c r="H65" i="6"/>
  <c r="R64" i="6"/>
  <c r="E64" i="6"/>
  <c r="Q63" i="6"/>
  <c r="D63" i="6"/>
  <c r="P62" i="6"/>
  <c r="C62" i="6"/>
  <c r="O61" i="6"/>
  <c r="B61" i="6"/>
  <c r="N60" i="6"/>
  <c r="A60" i="6"/>
  <c r="M59" i="6"/>
  <c r="T58" i="6"/>
  <c r="L58" i="6"/>
  <c r="S57" i="6"/>
  <c r="H57" i="6"/>
  <c r="R56" i="6"/>
  <c r="F56" i="6"/>
  <c r="R55" i="6"/>
  <c r="G55" i="6"/>
  <c r="R54" i="6"/>
  <c r="E54" i="6"/>
  <c r="Q53" i="6"/>
  <c r="D53" i="6"/>
  <c r="P52" i="6"/>
  <c r="D52" i="6"/>
  <c r="P51" i="6"/>
  <c r="D51" i="6"/>
  <c r="P50" i="6"/>
  <c r="C50" i="6"/>
  <c r="O49" i="6"/>
  <c r="B49" i="6"/>
  <c r="N48" i="6"/>
  <c r="A48" i="6"/>
  <c r="M47" i="6"/>
  <c r="T46" i="6"/>
  <c r="L46" i="6"/>
  <c r="S45" i="6"/>
  <c r="H45" i="6"/>
  <c r="R44" i="6"/>
  <c r="E44" i="6"/>
  <c r="Q43" i="6"/>
  <c r="D43" i="6"/>
  <c r="P42" i="6"/>
  <c r="C42" i="6"/>
  <c r="O41" i="6"/>
  <c r="B41" i="6"/>
  <c r="N40" i="6"/>
  <c r="A40" i="6"/>
  <c r="M39" i="6"/>
  <c r="T38" i="6"/>
  <c r="L38" i="6"/>
  <c r="S37" i="6"/>
  <c r="H37" i="6"/>
  <c r="R36" i="6"/>
  <c r="E36" i="6"/>
  <c r="Q35" i="6"/>
  <c r="D35" i="6"/>
  <c r="P34" i="6"/>
  <c r="C34" i="6"/>
  <c r="O33" i="6"/>
  <c r="B33" i="6"/>
  <c r="N32" i="6"/>
  <c r="A32" i="6"/>
  <c r="M31" i="6"/>
  <c r="T30" i="6"/>
  <c r="L30" i="6"/>
  <c r="S29" i="6"/>
  <c r="H29" i="6"/>
  <c r="R28" i="6"/>
  <c r="E28" i="6"/>
  <c r="Q27" i="6"/>
  <c r="D27" i="6"/>
  <c r="P26" i="6"/>
  <c r="C26" i="6"/>
  <c r="O25" i="6"/>
  <c r="B25" i="6"/>
  <c r="N24" i="6"/>
  <c r="A24" i="6"/>
  <c r="M23" i="6"/>
  <c r="T22" i="6"/>
  <c r="L22" i="6"/>
  <c r="S21" i="6"/>
  <c r="H21" i="6"/>
  <c r="R20" i="6"/>
  <c r="E20" i="6"/>
  <c r="Q19" i="6"/>
  <c r="D19" i="6"/>
  <c r="P18" i="6"/>
  <c r="C18" i="6"/>
  <c r="O17" i="6"/>
  <c r="C17" i="6"/>
  <c r="O16" i="6"/>
  <c r="C16" i="6"/>
  <c r="O15" i="6"/>
  <c r="B15" i="6"/>
  <c r="N14" i="6"/>
  <c r="A14" i="6"/>
  <c r="M13" i="6"/>
  <c r="T12" i="6"/>
  <c r="L12" i="6"/>
  <c r="S11" i="6"/>
  <c r="I11" i="6"/>
  <c r="S10" i="6"/>
  <c r="I10" i="6"/>
  <c r="S9" i="6"/>
  <c r="I9" i="6"/>
  <c r="S8" i="6"/>
  <c r="I8" i="6"/>
  <c r="S7" i="6"/>
  <c r="I7" i="6"/>
  <c r="S6" i="6"/>
  <c r="I6" i="6"/>
  <c r="S5" i="6"/>
  <c r="I5" i="6"/>
  <c r="S4" i="6"/>
  <c r="I4" i="6"/>
  <c r="S3" i="6"/>
  <c r="I3" i="6"/>
  <c r="T2" i="6"/>
  <c r="L2" i="6"/>
  <c r="T1" i="6"/>
  <c r="L1" i="6"/>
  <c r="D1" i="6"/>
  <c r="A126" i="6"/>
  <c r="D125" i="6"/>
  <c r="N124" i="6"/>
  <c r="T123" i="6"/>
  <c r="L123" i="6"/>
  <c r="S122" i="6"/>
  <c r="H122" i="6"/>
  <c r="R121" i="6"/>
  <c r="E121" i="6"/>
  <c r="Q120" i="6"/>
  <c r="D120" i="6"/>
  <c r="P119" i="6"/>
  <c r="C119" i="6"/>
  <c r="O118" i="6"/>
  <c r="B118" i="6"/>
  <c r="N117" i="6"/>
  <c r="A117" i="6"/>
  <c r="M116" i="6"/>
  <c r="T115" i="6"/>
  <c r="L115" i="6"/>
  <c r="S114" i="6"/>
  <c r="H114" i="6"/>
  <c r="R113" i="6"/>
  <c r="E113" i="6"/>
  <c r="Q112" i="6"/>
  <c r="D112" i="6"/>
  <c r="P111" i="6"/>
  <c r="C111" i="6"/>
  <c r="O110" i="6"/>
  <c r="B110" i="6"/>
  <c r="N109" i="6"/>
  <c r="A109" i="6"/>
  <c r="M108" i="6"/>
  <c r="T107" i="6"/>
  <c r="L107" i="6"/>
  <c r="S106" i="6"/>
  <c r="H106" i="6"/>
  <c r="R105" i="6"/>
  <c r="E105" i="6"/>
  <c r="Q104" i="6"/>
  <c r="D104" i="6"/>
  <c r="P103" i="6"/>
  <c r="C103" i="6"/>
  <c r="O102" i="6"/>
  <c r="B102" i="6"/>
  <c r="N101" i="6"/>
  <c r="A101" i="6"/>
  <c r="M100" i="6"/>
  <c r="T99" i="6"/>
  <c r="L99" i="6"/>
  <c r="S98" i="6"/>
  <c r="H98" i="6"/>
  <c r="R97" i="6"/>
  <c r="E97" i="6"/>
  <c r="Q96" i="6"/>
  <c r="D96" i="6"/>
  <c r="P95" i="6"/>
  <c r="C95" i="6"/>
  <c r="O94" i="6"/>
  <c r="B94" i="6"/>
  <c r="N93" i="6"/>
  <c r="A93" i="6"/>
  <c r="M92" i="6"/>
  <c r="T91" i="6"/>
  <c r="L91" i="6"/>
  <c r="S90" i="6"/>
  <c r="H90" i="6"/>
  <c r="R89" i="6"/>
  <c r="E89" i="6"/>
  <c r="Q88" i="6"/>
  <c r="D88" i="6"/>
  <c r="P87" i="6"/>
  <c r="C87" i="6"/>
  <c r="O86" i="6"/>
  <c r="B86" i="6"/>
  <c r="N85" i="6"/>
  <c r="A85" i="6"/>
  <c r="M84" i="6"/>
  <c r="T83" i="6"/>
  <c r="L83" i="6"/>
  <c r="S82" i="6"/>
  <c r="H82" i="6"/>
  <c r="R81" i="6"/>
  <c r="E81" i="6"/>
  <c r="Q80" i="6"/>
  <c r="D80" i="6"/>
  <c r="P79" i="6"/>
  <c r="C79" i="6"/>
  <c r="O78" i="6"/>
  <c r="B78" i="6"/>
  <c r="N77" i="6"/>
  <c r="A77" i="6"/>
  <c r="M76" i="6"/>
  <c r="T75" i="6"/>
  <c r="L75" i="6"/>
  <c r="S74" i="6"/>
  <c r="H74" i="6"/>
  <c r="R73" i="6"/>
  <c r="E73" i="6"/>
  <c r="Q72" i="6"/>
  <c r="D72" i="6"/>
  <c r="P71" i="6"/>
  <c r="C71" i="6"/>
  <c r="O70" i="6"/>
  <c r="B70" i="6"/>
  <c r="N69" i="6"/>
  <c r="A69" i="6"/>
  <c r="M68" i="6"/>
  <c r="T67" i="6"/>
  <c r="L67" i="6"/>
  <c r="S66" i="6"/>
  <c r="H66" i="6"/>
  <c r="R65" i="6"/>
  <c r="E65" i="6"/>
  <c r="Q64" i="6"/>
  <c r="D64" i="6"/>
  <c r="P63" i="6"/>
  <c r="C63" i="6"/>
  <c r="O62" i="6"/>
  <c r="B62" i="6"/>
  <c r="N61" i="6"/>
  <c r="A61" i="6"/>
  <c r="M60" i="6"/>
  <c r="T59" i="6"/>
  <c r="L59" i="6"/>
  <c r="S58" i="6"/>
  <c r="H58" i="6"/>
  <c r="R57" i="6"/>
  <c r="E57" i="6"/>
  <c r="Q56" i="6"/>
  <c r="E56" i="6"/>
  <c r="Q55" i="6"/>
  <c r="E55" i="6"/>
  <c r="Q54" i="6"/>
  <c r="D54" i="6"/>
  <c r="P53" i="6"/>
  <c r="C53" i="6"/>
  <c r="O52" i="6"/>
  <c r="C52" i="6"/>
  <c r="O51" i="6"/>
  <c r="C51" i="6"/>
  <c r="O50" i="6"/>
  <c r="B50" i="6"/>
  <c r="N49" i="6"/>
  <c r="A49" i="6"/>
  <c r="M48" i="6"/>
  <c r="T47" i="6"/>
  <c r="L47" i="6"/>
  <c r="S46" i="6"/>
  <c r="H46" i="6"/>
  <c r="R45" i="6"/>
  <c r="E45" i="6"/>
  <c r="Q44" i="6"/>
  <c r="D44" i="6"/>
  <c r="P43" i="6"/>
  <c r="C43" i="6"/>
  <c r="O42" i="6"/>
  <c r="B42" i="6"/>
  <c r="N41" i="6"/>
  <c r="A41" i="6"/>
  <c r="M40" i="6"/>
  <c r="T39" i="6"/>
  <c r="L39" i="6"/>
  <c r="S38" i="6"/>
  <c r="H38" i="6"/>
  <c r="R37" i="6"/>
  <c r="E37" i="6"/>
  <c r="Q36" i="6"/>
  <c r="D36" i="6"/>
  <c r="P35" i="6"/>
  <c r="C35" i="6"/>
  <c r="O34" i="6"/>
  <c r="B34" i="6"/>
  <c r="N33" i="6"/>
  <c r="A33" i="6"/>
  <c r="M32" i="6"/>
  <c r="T31" i="6"/>
  <c r="L31" i="6"/>
  <c r="S30" i="6"/>
  <c r="H30" i="6"/>
  <c r="R29" i="6"/>
  <c r="E29" i="6"/>
  <c r="Q28" i="6"/>
  <c r="D28" i="6"/>
  <c r="P27" i="6"/>
  <c r="C27" i="6"/>
  <c r="O26" i="6"/>
  <c r="B26" i="6"/>
  <c r="N25" i="6"/>
  <c r="A25" i="6"/>
  <c r="M24" i="6"/>
  <c r="T23" i="6"/>
  <c r="L23" i="6"/>
  <c r="S22" i="6"/>
  <c r="H22" i="6"/>
  <c r="R21" i="6"/>
  <c r="E21" i="6"/>
  <c r="Q20" i="6"/>
  <c r="D20" i="6"/>
  <c r="P19" i="6"/>
  <c r="C19" i="6"/>
  <c r="O18" i="6"/>
  <c r="B18" i="6"/>
  <c r="N17" i="6"/>
  <c r="B17" i="6"/>
  <c r="N16" i="6"/>
  <c r="B16" i="6"/>
  <c r="N15" i="6"/>
  <c r="A15" i="6"/>
  <c r="M14" i="6"/>
  <c r="T13" i="6"/>
  <c r="L13" i="6"/>
  <c r="S12" i="6"/>
  <c r="H12" i="6"/>
  <c r="R11" i="6"/>
  <c r="H11" i="6"/>
  <c r="R10" i="6"/>
  <c r="H10" i="6"/>
  <c r="R9" i="6"/>
  <c r="H9" i="6"/>
  <c r="R8" i="6"/>
  <c r="H8" i="6"/>
  <c r="R7" i="6"/>
  <c r="H7" i="6"/>
  <c r="R6" i="6"/>
  <c r="H6" i="6"/>
  <c r="R5" i="6"/>
  <c r="H5" i="6"/>
  <c r="R4" i="6"/>
  <c r="H4" i="6"/>
  <c r="R3" i="6"/>
  <c r="H3" i="6"/>
  <c r="S2" i="6"/>
  <c r="I2" i="6"/>
  <c r="S1" i="6"/>
  <c r="K1" i="6"/>
  <c r="C1" i="6"/>
  <c r="T125" i="6"/>
  <c r="C125" i="6"/>
  <c r="L124" i="6"/>
  <c r="S123" i="6"/>
  <c r="H123" i="6"/>
  <c r="R122" i="6"/>
  <c r="E122" i="6"/>
  <c r="Q121" i="6"/>
  <c r="D121" i="6"/>
  <c r="P120" i="6"/>
  <c r="C120" i="6"/>
  <c r="O119" i="6"/>
  <c r="B119" i="6"/>
  <c r="N118" i="6"/>
  <c r="A118" i="6"/>
  <c r="M117" i="6"/>
  <c r="T116" i="6"/>
  <c r="L116" i="6"/>
  <c r="S115" i="6"/>
  <c r="H115" i="6"/>
  <c r="R114" i="6"/>
  <c r="E114" i="6"/>
  <c r="Q113" i="6"/>
  <c r="D113" i="6"/>
  <c r="P112" i="6"/>
  <c r="C112" i="6"/>
  <c r="O111" i="6"/>
  <c r="B111" i="6"/>
  <c r="N110" i="6"/>
  <c r="A110" i="6"/>
  <c r="M109" i="6"/>
  <c r="T108" i="6"/>
  <c r="L108" i="6"/>
  <c r="S107" i="6"/>
  <c r="H107" i="6"/>
  <c r="R106" i="6"/>
  <c r="E106" i="6"/>
  <c r="Q105" i="6"/>
  <c r="D105" i="6"/>
  <c r="P104" i="6"/>
  <c r="C104" i="6"/>
  <c r="O103" i="6"/>
  <c r="B103" i="6"/>
  <c r="N102" i="6"/>
  <c r="A102" i="6"/>
  <c r="M101" i="6"/>
  <c r="T100" i="6"/>
  <c r="L100" i="6"/>
  <c r="S99" i="6"/>
  <c r="H99" i="6"/>
  <c r="R98" i="6"/>
  <c r="E98" i="6"/>
  <c r="Q97" i="6"/>
  <c r="D97" i="6"/>
  <c r="P96" i="6"/>
  <c r="C96" i="6"/>
  <c r="O95" i="6"/>
  <c r="B95" i="6"/>
  <c r="N94" i="6"/>
  <c r="A94" i="6"/>
  <c r="M93" i="6"/>
  <c r="T92" i="6"/>
  <c r="L92" i="6"/>
  <c r="S91" i="6"/>
  <c r="H91" i="6"/>
  <c r="R90" i="6"/>
  <c r="E90" i="6"/>
  <c r="Q89" i="6"/>
  <c r="D89" i="6"/>
  <c r="P88" i="6"/>
  <c r="C88" i="6"/>
  <c r="O87" i="6"/>
  <c r="B87" i="6"/>
  <c r="N86" i="6"/>
  <c r="A86" i="6"/>
  <c r="M85" i="6"/>
  <c r="T84" i="6"/>
  <c r="L84" i="6"/>
  <c r="S83" i="6"/>
  <c r="H83" i="6"/>
  <c r="R82" i="6"/>
  <c r="E82" i="6"/>
  <c r="Q81" i="6"/>
  <c r="D81" i="6"/>
  <c r="P80" i="6"/>
  <c r="C80" i="6"/>
  <c r="O79" i="6"/>
  <c r="B79" i="6"/>
  <c r="N78" i="6"/>
  <c r="A78" i="6"/>
  <c r="M77" i="6"/>
  <c r="T76" i="6"/>
  <c r="L76" i="6"/>
  <c r="S75" i="6"/>
  <c r="H75" i="6"/>
  <c r="R74" i="6"/>
  <c r="E74" i="6"/>
  <c r="Q73" i="6"/>
  <c r="D73" i="6"/>
  <c r="P72" i="6"/>
  <c r="C72" i="6"/>
  <c r="O71" i="6"/>
  <c r="B71" i="6"/>
  <c r="N70" i="6"/>
  <c r="A70" i="6"/>
  <c r="M69" i="6"/>
  <c r="T68" i="6"/>
  <c r="L68" i="6"/>
  <c r="S67" i="6"/>
  <c r="H67" i="6"/>
  <c r="R66" i="6"/>
  <c r="E66" i="6"/>
  <c r="Q65" i="6"/>
  <c r="D65" i="6"/>
  <c r="P64" i="6"/>
  <c r="C64" i="6"/>
  <c r="O63" i="6"/>
  <c r="B63" i="6"/>
  <c r="N62" i="6"/>
  <c r="A62" i="6"/>
  <c r="M61" i="6"/>
  <c r="T60" i="6"/>
  <c r="L60" i="6"/>
  <c r="S59" i="6"/>
  <c r="H59" i="6"/>
  <c r="R58" i="6"/>
  <c r="E58" i="6"/>
  <c r="Q57" i="6"/>
  <c r="D57" i="6"/>
  <c r="P56" i="6"/>
  <c r="D56" i="6"/>
  <c r="P55" i="6"/>
  <c r="D55" i="6"/>
  <c r="P54" i="6"/>
  <c r="C54" i="6"/>
  <c r="O53" i="6"/>
  <c r="B53" i="6"/>
  <c r="N52" i="6"/>
  <c r="B52" i="6"/>
  <c r="N51" i="6"/>
  <c r="B51" i="6"/>
  <c r="N50" i="6"/>
  <c r="A50" i="6"/>
  <c r="M49" i="6"/>
  <c r="T48" i="6"/>
  <c r="L48" i="6"/>
  <c r="S47" i="6"/>
  <c r="H47" i="6"/>
  <c r="R46" i="6"/>
  <c r="E46" i="6"/>
  <c r="Q45" i="6"/>
  <c r="D45" i="6"/>
  <c r="P44" i="6"/>
  <c r="C44" i="6"/>
  <c r="O43" i="6"/>
  <c r="B43" i="6"/>
  <c r="N42" i="6"/>
  <c r="A42" i="6"/>
  <c r="M41" i="6"/>
  <c r="T40" i="6"/>
  <c r="L40" i="6"/>
  <c r="S39" i="6"/>
  <c r="H39" i="6"/>
  <c r="R38" i="6"/>
  <c r="E38" i="6"/>
  <c r="Q37" i="6"/>
  <c r="D37" i="6"/>
  <c r="P36" i="6"/>
  <c r="C36" i="6"/>
  <c r="O35" i="6"/>
  <c r="B35" i="6"/>
  <c r="N34" i="6"/>
  <c r="A34" i="6"/>
  <c r="M33" i="6"/>
  <c r="T32" i="6"/>
  <c r="L32" i="6"/>
  <c r="S31" i="6"/>
  <c r="H31" i="6"/>
  <c r="R30" i="6"/>
  <c r="E30" i="6"/>
  <c r="Q29" i="6"/>
  <c r="D29" i="6"/>
  <c r="P28" i="6"/>
  <c r="C28" i="6"/>
  <c r="O27" i="6"/>
  <c r="B27" i="6"/>
  <c r="N26" i="6"/>
  <c r="A26" i="6"/>
  <c r="M25" i="6"/>
  <c r="T24" i="6"/>
  <c r="L24" i="6"/>
  <c r="S23" i="6"/>
  <c r="H23" i="6"/>
  <c r="R22" i="6"/>
  <c r="E22" i="6"/>
  <c r="Q21" i="6"/>
  <c r="D21" i="6"/>
  <c r="P20" i="6"/>
  <c r="C20" i="6"/>
  <c r="O19" i="6"/>
  <c r="B19" i="6"/>
  <c r="N18" i="6"/>
  <c r="A18" i="6"/>
  <c r="M17" i="6"/>
  <c r="A17" i="6"/>
  <c r="M16" i="6"/>
  <c r="A16" i="6"/>
  <c r="M15" i="6"/>
  <c r="T14" i="6"/>
  <c r="L14" i="6"/>
  <c r="S13" i="6"/>
  <c r="H13" i="6"/>
  <c r="R12" i="6"/>
  <c r="E12" i="6"/>
  <c r="Q11" i="6"/>
  <c r="E11" i="6"/>
  <c r="Q10" i="6"/>
  <c r="E10" i="6"/>
  <c r="Q9" i="6"/>
  <c r="E9" i="6"/>
  <c r="Q8" i="6"/>
  <c r="E8" i="6"/>
  <c r="Q7" i="6"/>
  <c r="E7" i="6"/>
  <c r="Q6" i="6"/>
  <c r="E6" i="6"/>
  <c r="Q5" i="6"/>
  <c r="E5" i="6"/>
  <c r="Q4" i="6"/>
  <c r="E4" i="6"/>
  <c r="Q3" i="6"/>
  <c r="G3" i="6"/>
  <c r="R2" i="6"/>
  <c r="H2" i="6"/>
  <c r="R1" i="6"/>
  <c r="J1" i="6"/>
  <c r="B1" i="6"/>
  <c r="Q125" i="6"/>
  <c r="T124" i="6"/>
  <c r="H124" i="6"/>
  <c r="R123" i="6"/>
  <c r="E123" i="6"/>
  <c r="Q122" i="6"/>
  <c r="D122" i="6"/>
  <c r="P121" i="6"/>
  <c r="C121" i="6"/>
  <c r="O120" i="6"/>
  <c r="B120" i="6"/>
  <c r="N119" i="6"/>
  <c r="A119" i="6"/>
  <c r="M118" i="6"/>
  <c r="T117" i="6"/>
  <c r="L117" i="6"/>
  <c r="S116" i="6"/>
  <c r="H116" i="6"/>
  <c r="R115" i="6"/>
  <c r="E115" i="6"/>
  <c r="Q114" i="6"/>
  <c r="D114" i="6"/>
  <c r="P113" i="6"/>
  <c r="C113" i="6"/>
  <c r="O112" i="6"/>
  <c r="B112" i="6"/>
  <c r="N111" i="6"/>
  <c r="A111" i="6"/>
  <c r="M110" i="6"/>
  <c r="T109" i="6"/>
  <c r="L109" i="6"/>
  <c r="S108" i="6"/>
  <c r="H108" i="6"/>
  <c r="R107" i="6"/>
  <c r="E107" i="6"/>
  <c r="Q106" i="6"/>
  <c r="D106" i="6"/>
  <c r="P105" i="6"/>
  <c r="C105" i="6"/>
  <c r="O104" i="6"/>
  <c r="B104" i="6"/>
  <c r="N103" i="6"/>
  <c r="A103" i="6"/>
  <c r="M102" i="6"/>
  <c r="T101" i="6"/>
  <c r="L101" i="6"/>
  <c r="S100" i="6"/>
  <c r="H100" i="6"/>
  <c r="R99" i="6"/>
  <c r="E99" i="6"/>
  <c r="Q98" i="6"/>
  <c r="D98" i="6"/>
  <c r="P97" i="6"/>
  <c r="C97" i="6"/>
  <c r="O96" i="6"/>
  <c r="B96" i="6"/>
  <c r="N95" i="6"/>
  <c r="A95" i="6"/>
  <c r="M94" i="6"/>
  <c r="T93" i="6"/>
  <c r="L93" i="6"/>
  <c r="S92" i="6"/>
  <c r="H92" i="6"/>
  <c r="R91" i="6"/>
  <c r="E91" i="6"/>
  <c r="Q90" i="6"/>
  <c r="D90" i="6"/>
  <c r="P89" i="6"/>
  <c r="C89" i="6"/>
  <c r="O88" i="6"/>
  <c r="B88" i="6"/>
  <c r="N87" i="6"/>
  <c r="A87" i="6"/>
  <c r="M86" i="6"/>
  <c r="T85" i="6"/>
  <c r="L85" i="6"/>
  <c r="S84" i="6"/>
  <c r="H84" i="6"/>
  <c r="R83" i="6"/>
  <c r="E83" i="6"/>
  <c r="Q82" i="6"/>
  <c r="D82" i="6"/>
  <c r="P81" i="6"/>
  <c r="C81" i="6"/>
  <c r="O80" i="6"/>
  <c r="B80" i="6"/>
  <c r="N79" i="6"/>
  <c r="A79" i="6"/>
  <c r="M78" i="6"/>
  <c r="T77" i="6"/>
  <c r="L77" i="6"/>
  <c r="S76" i="6"/>
  <c r="H76" i="6"/>
  <c r="R75" i="6"/>
  <c r="E75" i="6"/>
  <c r="Q74" i="6"/>
  <c r="D74" i="6"/>
  <c r="P73" i="6"/>
  <c r="C73" i="6"/>
  <c r="O72" i="6"/>
  <c r="B72" i="6"/>
  <c r="N71" i="6"/>
  <c r="A71" i="6"/>
  <c r="M70" i="6"/>
  <c r="T69" i="6"/>
  <c r="L69" i="6"/>
  <c r="S68" i="6"/>
  <c r="H68" i="6"/>
  <c r="R67" i="6"/>
  <c r="E67" i="6"/>
  <c r="Q66" i="6"/>
  <c r="D66" i="6"/>
  <c r="P65" i="6"/>
  <c r="C65" i="6"/>
  <c r="O64" i="6"/>
  <c r="B64" i="6"/>
  <c r="N63" i="6"/>
  <c r="A63" i="6"/>
  <c r="M62" i="6"/>
  <c r="T61" i="6"/>
  <c r="L61" i="6"/>
  <c r="S60" i="6"/>
  <c r="H60" i="6"/>
  <c r="R59" i="6"/>
  <c r="E59" i="6"/>
  <c r="Q58" i="6"/>
  <c r="D58" i="6"/>
  <c r="P57" i="6"/>
  <c r="C57" i="6"/>
  <c r="O56" i="6"/>
  <c r="C56" i="6"/>
  <c r="O55" i="6"/>
  <c r="C55" i="6"/>
  <c r="O54" i="6"/>
  <c r="B54" i="6"/>
  <c r="N53" i="6"/>
  <c r="A53" i="6"/>
  <c r="M52" i="6"/>
  <c r="A52" i="6"/>
  <c r="M51" i="6"/>
  <c r="A51" i="6"/>
  <c r="M50" i="6"/>
  <c r="T49" i="6"/>
  <c r="L49" i="6"/>
  <c r="S48" i="6"/>
  <c r="H48" i="6"/>
  <c r="R47" i="6"/>
  <c r="E47" i="6"/>
  <c r="Q46" i="6"/>
  <c r="D46" i="6"/>
  <c r="P45" i="6"/>
  <c r="C45" i="6"/>
  <c r="O44" i="6"/>
  <c r="B44" i="6"/>
  <c r="N43" i="6"/>
  <c r="A43" i="6"/>
  <c r="M42" i="6"/>
  <c r="T41" i="6"/>
  <c r="L41" i="6"/>
  <c r="S40" i="6"/>
  <c r="H40" i="6"/>
  <c r="R39" i="6"/>
  <c r="E39" i="6"/>
  <c r="Q38" i="6"/>
  <c r="D38" i="6"/>
  <c r="P37" i="6"/>
  <c r="C37" i="6"/>
  <c r="O36" i="6"/>
  <c r="B36" i="6"/>
  <c r="N35" i="6"/>
  <c r="A35" i="6"/>
  <c r="M34" i="6"/>
  <c r="T33" i="6"/>
  <c r="L33" i="6"/>
  <c r="S32" i="6"/>
  <c r="H32" i="6"/>
  <c r="R31" i="6"/>
  <c r="E31" i="6"/>
  <c r="Q30" i="6"/>
  <c r="D30" i="6"/>
  <c r="P29" i="6"/>
  <c r="C29" i="6"/>
  <c r="O28" i="6"/>
  <c r="B28" i="6"/>
  <c r="N27" i="6"/>
  <c r="A27" i="6"/>
  <c r="M26" i="6"/>
  <c r="T25" i="6"/>
  <c r="L25" i="6"/>
  <c r="S24" i="6"/>
  <c r="H24" i="6"/>
  <c r="R23" i="6"/>
  <c r="E23" i="6"/>
  <c r="Q22" i="6"/>
  <c r="D22" i="6"/>
  <c r="P21" i="6"/>
  <c r="C21" i="6"/>
  <c r="O20" i="6"/>
  <c r="B20" i="6"/>
  <c r="N19" i="6"/>
  <c r="A19" i="6"/>
  <c r="M18" i="6"/>
  <c r="T17" i="6"/>
  <c r="L17" i="6"/>
  <c r="T16" i="6"/>
  <c r="L16" i="6"/>
  <c r="T15" i="6"/>
  <c r="L15" i="6"/>
  <c r="S14" i="6"/>
  <c r="H14" i="6"/>
  <c r="R13" i="6"/>
  <c r="E13" i="6"/>
  <c r="Q12" i="6"/>
  <c r="D12" i="6"/>
  <c r="P11" i="6"/>
  <c r="D11" i="6"/>
  <c r="P10" i="6"/>
  <c r="D10" i="6"/>
  <c r="P9" i="6"/>
  <c r="D9" i="6"/>
  <c r="P8" i="6"/>
  <c r="D8" i="6"/>
  <c r="P7" i="6"/>
  <c r="D7" i="6"/>
  <c r="P6" i="6"/>
  <c r="D6" i="6"/>
  <c r="P5" i="6"/>
  <c r="D5" i="6"/>
  <c r="P4" i="6"/>
  <c r="D4" i="6"/>
  <c r="P3" i="6"/>
  <c r="E3" i="6"/>
  <c r="Q2" i="6"/>
  <c r="E2" i="6"/>
  <c r="Q1" i="6"/>
  <c r="I1" i="6"/>
  <c r="A1" i="6"/>
  <c r="P125" i="6"/>
  <c r="S124" i="6"/>
  <c r="E124" i="6"/>
  <c r="Q123" i="6"/>
  <c r="D123" i="6"/>
  <c r="P122" i="6"/>
  <c r="C122" i="6"/>
  <c r="O121" i="6"/>
  <c r="B121" i="6"/>
  <c r="N120" i="6"/>
  <c r="A120" i="6"/>
  <c r="M119" i="6"/>
  <c r="T118" i="6"/>
  <c r="L118" i="6"/>
  <c r="S117" i="6"/>
  <c r="H117" i="6"/>
  <c r="R116" i="6"/>
  <c r="E116" i="6"/>
  <c r="Q115" i="6"/>
  <c r="D115" i="6"/>
  <c r="P114" i="6"/>
  <c r="C114" i="6"/>
  <c r="O113" i="6"/>
  <c r="B113" i="6"/>
  <c r="N112" i="6"/>
  <c r="A112" i="6"/>
  <c r="M111" i="6"/>
  <c r="T110" i="6"/>
  <c r="L110" i="6"/>
  <c r="S109" i="6"/>
  <c r="H109" i="6"/>
  <c r="R108" i="6"/>
  <c r="E108" i="6"/>
  <c r="Q107" i="6"/>
  <c r="D107" i="6"/>
  <c r="P106" i="6"/>
  <c r="C106" i="6"/>
  <c r="O105" i="6"/>
  <c r="B105" i="6"/>
  <c r="N104" i="6"/>
  <c r="A104" i="6"/>
  <c r="M103" i="6"/>
  <c r="T102" i="6"/>
  <c r="L102" i="6"/>
  <c r="S101" i="6"/>
  <c r="H101" i="6"/>
  <c r="R100" i="6"/>
  <c r="E100" i="6"/>
  <c r="Q99" i="6"/>
  <c r="D99" i="6"/>
  <c r="P98" i="6"/>
  <c r="C98" i="6"/>
  <c r="O97" i="6"/>
  <c r="B97" i="6"/>
  <c r="N96" i="6"/>
  <c r="A96" i="6"/>
  <c r="M95" i="6"/>
  <c r="T94" i="6"/>
  <c r="L94" i="6"/>
  <c r="S93" i="6"/>
  <c r="H93" i="6"/>
  <c r="R92" i="6"/>
  <c r="E92" i="6"/>
  <c r="Q91" i="6"/>
  <c r="D91" i="6"/>
  <c r="P90" i="6"/>
  <c r="C90" i="6"/>
  <c r="O89" i="6"/>
  <c r="B89" i="6"/>
  <c r="N88" i="6"/>
  <c r="A88" i="6"/>
  <c r="M87" i="6"/>
  <c r="T86" i="6"/>
  <c r="L86" i="6"/>
  <c r="S85" i="6"/>
  <c r="H85" i="6"/>
  <c r="R84" i="6"/>
  <c r="E84" i="6"/>
  <c r="Q83" i="6"/>
  <c r="D83" i="6"/>
  <c r="P82" i="6"/>
  <c r="C82" i="6"/>
  <c r="O81" i="6"/>
  <c r="B81" i="6"/>
  <c r="N80" i="6"/>
  <c r="A80" i="6"/>
  <c r="M79" i="6"/>
  <c r="T78" i="6"/>
  <c r="L78" i="6"/>
  <c r="S77" i="6"/>
  <c r="H77" i="6"/>
  <c r="R76" i="6"/>
  <c r="E76" i="6"/>
  <c r="Q75" i="6"/>
  <c r="D75" i="6"/>
  <c r="P74" i="6"/>
  <c r="C74" i="6"/>
  <c r="O73" i="6"/>
  <c r="B73" i="6"/>
  <c r="N72" i="6"/>
  <c r="A72" i="6"/>
  <c r="M71" i="6"/>
  <c r="T70" i="6"/>
  <c r="L70" i="6"/>
  <c r="S69" i="6"/>
  <c r="H69" i="6"/>
  <c r="R68" i="6"/>
  <c r="E68" i="6"/>
  <c r="Q67" i="6"/>
  <c r="D67" i="6"/>
  <c r="P66" i="6"/>
  <c r="C66" i="6"/>
  <c r="O65" i="6"/>
  <c r="B65" i="6"/>
  <c r="N64" i="6"/>
  <c r="A64" i="6"/>
  <c r="M63" i="6"/>
  <c r="T62" i="6"/>
  <c r="L62" i="6"/>
  <c r="S61" i="6"/>
  <c r="H61" i="6"/>
  <c r="R60" i="6"/>
  <c r="E60" i="6"/>
  <c r="Q59" i="6"/>
  <c r="D59" i="6"/>
  <c r="P58" i="6"/>
  <c r="C58" i="6"/>
  <c r="O57" i="6"/>
  <c r="B57" i="6"/>
  <c r="N56" i="6"/>
  <c r="B56" i="6"/>
  <c r="N55" i="6"/>
  <c r="B55" i="6"/>
  <c r="N54" i="6"/>
  <c r="A54" i="6"/>
  <c r="M53" i="6"/>
  <c r="T52" i="6"/>
  <c r="L52" i="6"/>
  <c r="T51" i="6"/>
  <c r="L51" i="6"/>
  <c r="T50" i="6"/>
  <c r="L50" i="6"/>
  <c r="S49" i="6"/>
  <c r="H49" i="6"/>
  <c r="R48" i="6"/>
  <c r="E48" i="6"/>
  <c r="Q47" i="6"/>
  <c r="D47" i="6"/>
  <c r="P46" i="6"/>
  <c r="C46" i="6"/>
  <c r="O45" i="6"/>
  <c r="B45" i="6"/>
  <c r="N44" i="6"/>
  <c r="A44" i="6"/>
  <c r="M43" i="6"/>
  <c r="T42" i="6"/>
  <c r="L42" i="6"/>
  <c r="S41" i="6"/>
  <c r="H41" i="6"/>
  <c r="R40" i="6"/>
  <c r="E40" i="6"/>
  <c r="Q39" i="6"/>
  <c r="D39" i="6"/>
  <c r="P38" i="6"/>
  <c r="C38" i="6"/>
  <c r="O37" i="6"/>
  <c r="B37" i="6"/>
  <c r="N36" i="6"/>
  <c r="A36" i="6"/>
  <c r="M35" i="6"/>
  <c r="T34" i="6"/>
  <c r="L34" i="6"/>
  <c r="S33" i="6"/>
  <c r="H33" i="6"/>
  <c r="R32" i="6"/>
  <c r="E32" i="6"/>
  <c r="Q31" i="6"/>
  <c r="D31" i="6"/>
  <c r="P30" i="6"/>
  <c r="C30" i="6"/>
  <c r="O29" i="6"/>
  <c r="B29" i="6"/>
  <c r="N28" i="6"/>
  <c r="A28" i="6"/>
  <c r="M27" i="6"/>
  <c r="T26" i="6"/>
  <c r="L26" i="6"/>
  <c r="S25" i="6"/>
  <c r="H25" i="6"/>
  <c r="R24" i="6"/>
  <c r="E24" i="6"/>
  <c r="Q23" i="6"/>
  <c r="D23" i="6"/>
  <c r="P22" i="6"/>
  <c r="C22" i="6"/>
  <c r="O21" i="6"/>
  <c r="B21" i="6"/>
  <c r="N20" i="6"/>
  <c r="A20" i="6"/>
  <c r="M19" i="6"/>
  <c r="T18" i="6"/>
  <c r="L18" i="6"/>
  <c r="S17" i="6"/>
  <c r="H17" i="6"/>
  <c r="S16" i="6"/>
  <c r="H16" i="6"/>
  <c r="S15" i="6"/>
  <c r="H15" i="6"/>
  <c r="R14" i="6"/>
  <c r="E14" i="6"/>
  <c r="Q13" i="6"/>
  <c r="D13" i="6"/>
  <c r="P12" i="6"/>
  <c r="C12" i="6"/>
  <c r="O11" i="6"/>
  <c r="C11" i="6"/>
  <c r="O10" i="6"/>
  <c r="C10" i="6"/>
  <c r="O9" i="6"/>
  <c r="C9" i="6"/>
  <c r="O8" i="6"/>
  <c r="C8" i="6"/>
  <c r="O7" i="6"/>
  <c r="C7" i="6"/>
  <c r="O6" i="6"/>
  <c r="C6" i="6"/>
  <c r="O5" i="6"/>
  <c r="C5" i="6"/>
  <c r="O4" i="6"/>
  <c r="C4" i="6"/>
  <c r="O3" i="6"/>
  <c r="D3" i="6"/>
  <c r="P2" i="6"/>
  <c r="D2" i="6"/>
  <c r="P1" i="6"/>
  <c r="H1" i="6"/>
  <c r="M125" i="6"/>
  <c r="R124" i="6"/>
  <c r="D124" i="6"/>
  <c r="P123" i="6"/>
  <c r="C123" i="6"/>
  <c r="O122" i="6"/>
  <c r="B122" i="6"/>
  <c r="N121" i="6"/>
  <c r="A121" i="6"/>
  <c r="M120" i="6"/>
  <c r="T119" i="6"/>
  <c r="L119" i="6"/>
  <c r="S118" i="6"/>
  <c r="H118" i="6"/>
  <c r="R117" i="6"/>
  <c r="E117" i="6"/>
  <c r="Q116" i="6"/>
  <c r="D116" i="6"/>
  <c r="P115" i="6"/>
  <c r="C115" i="6"/>
  <c r="O114" i="6"/>
  <c r="B114" i="6"/>
  <c r="N113" i="6"/>
  <c r="A113" i="6"/>
  <c r="M112" i="6"/>
  <c r="T111" i="6"/>
  <c r="L111" i="6"/>
  <c r="S110" i="6"/>
  <c r="H110" i="6"/>
  <c r="R109" i="6"/>
  <c r="E109" i="6"/>
  <c r="Q108" i="6"/>
  <c r="D108" i="6"/>
  <c r="P107" i="6"/>
  <c r="C107" i="6"/>
  <c r="O106" i="6"/>
  <c r="B106" i="6"/>
  <c r="N105" i="6"/>
  <c r="A105" i="6"/>
  <c r="M104" i="6"/>
  <c r="T103" i="6"/>
  <c r="L103" i="6"/>
  <c r="S102" i="6"/>
  <c r="H102" i="6"/>
  <c r="R101" i="6"/>
  <c r="E101" i="6"/>
  <c r="Q100" i="6"/>
  <c r="D100" i="6"/>
  <c r="P99" i="6"/>
  <c r="C99" i="6"/>
  <c r="O98" i="6"/>
  <c r="B98" i="6"/>
  <c r="N97" i="6"/>
  <c r="A97" i="6"/>
  <c r="M96" i="6"/>
  <c r="T95" i="6"/>
  <c r="L95" i="6"/>
  <c r="S94" i="6"/>
  <c r="H94" i="6"/>
  <c r="R93" i="6"/>
  <c r="E93" i="6"/>
  <c r="Q92" i="6"/>
  <c r="D92" i="6"/>
  <c r="P91" i="6"/>
  <c r="C91" i="6"/>
  <c r="O90" i="6"/>
  <c r="B90" i="6"/>
  <c r="N89" i="6"/>
  <c r="A89" i="6"/>
  <c r="M88" i="6"/>
  <c r="T87" i="6"/>
  <c r="L87" i="6"/>
  <c r="S86" i="6"/>
  <c r="H86" i="6"/>
  <c r="R85" i="6"/>
  <c r="E85" i="6"/>
  <c r="Q84" i="6"/>
  <c r="D84" i="6"/>
  <c r="P83" i="6"/>
  <c r="C83" i="6"/>
  <c r="O82" i="6"/>
  <c r="B82" i="6"/>
  <c r="N81" i="6"/>
  <c r="A81" i="6"/>
  <c r="M80" i="6"/>
  <c r="T79" i="6"/>
  <c r="L79" i="6"/>
  <c r="S78" i="6"/>
  <c r="H78" i="6"/>
  <c r="R77" i="6"/>
  <c r="E77" i="6"/>
  <c r="Q76" i="6"/>
  <c r="D76" i="6"/>
  <c r="P75" i="6"/>
  <c r="C75" i="6"/>
  <c r="O74" i="6"/>
  <c r="B74" i="6"/>
  <c r="N73" i="6"/>
  <c r="A73" i="6"/>
  <c r="M72" i="6"/>
  <c r="T71" i="6"/>
  <c r="L71" i="6"/>
  <c r="S70" i="6"/>
  <c r="H70" i="6"/>
  <c r="R69" i="6"/>
  <c r="E69" i="6"/>
  <c r="Q68" i="6"/>
  <c r="D68" i="6"/>
  <c r="P67" i="6"/>
  <c r="C67" i="6"/>
  <c r="O66" i="6"/>
  <c r="B66" i="6"/>
  <c r="N65" i="6"/>
  <c r="A65" i="6"/>
  <c r="M64" i="6"/>
  <c r="T63" i="6"/>
  <c r="L63" i="6"/>
  <c r="S62" i="6"/>
  <c r="H62" i="6"/>
  <c r="R61" i="6"/>
  <c r="E61" i="6"/>
  <c r="Q60" i="6"/>
  <c r="D60" i="6"/>
  <c r="P59" i="6"/>
  <c r="C59" i="6"/>
  <c r="O58" i="6"/>
  <c r="B58" i="6"/>
  <c r="N57" i="6"/>
  <c r="A57" i="6"/>
  <c r="M56" i="6"/>
  <c r="A56" i="6"/>
  <c r="M55" i="6"/>
  <c r="A55" i="6"/>
  <c r="M54" i="6"/>
  <c r="T53" i="6"/>
  <c r="L53" i="6"/>
  <c r="S52" i="6"/>
  <c r="H52" i="6"/>
  <c r="S51" i="6"/>
  <c r="H51" i="6"/>
  <c r="S50" i="6"/>
  <c r="H50" i="6"/>
  <c r="R49" i="6"/>
  <c r="E49" i="6"/>
  <c r="Q48" i="6"/>
  <c r="D48" i="6"/>
  <c r="P47" i="6"/>
  <c r="C47" i="6"/>
  <c r="O46" i="6"/>
  <c r="B46" i="6"/>
  <c r="N45" i="6"/>
  <c r="A45" i="6"/>
  <c r="M44" i="6"/>
  <c r="T43" i="6"/>
  <c r="L43" i="6"/>
  <c r="S42" i="6"/>
  <c r="H42" i="6"/>
  <c r="R41" i="6"/>
  <c r="E41" i="6"/>
  <c r="Q40" i="6"/>
  <c r="D40" i="6"/>
  <c r="P39" i="6"/>
  <c r="C39" i="6"/>
  <c r="O38" i="6"/>
  <c r="B38" i="6"/>
  <c r="N37" i="6"/>
  <c r="A37" i="6"/>
  <c r="M36" i="6"/>
  <c r="T35" i="6"/>
  <c r="L35" i="6"/>
  <c r="S34" i="6"/>
  <c r="H34" i="6"/>
  <c r="R33" i="6"/>
  <c r="E33" i="6"/>
  <c r="Q32" i="6"/>
  <c r="D32" i="6"/>
  <c r="P31" i="6"/>
  <c r="C31" i="6"/>
  <c r="O30" i="6"/>
  <c r="B30" i="6"/>
  <c r="N29" i="6"/>
  <c r="A29" i="6"/>
  <c r="M28" i="6"/>
  <c r="T27" i="6"/>
  <c r="L27" i="6"/>
  <c r="S26" i="6"/>
  <c r="H26" i="6"/>
  <c r="R25" i="6"/>
  <c r="E25" i="6"/>
  <c r="Q24" i="6"/>
  <c r="D24" i="6"/>
  <c r="P23" i="6"/>
  <c r="C23" i="6"/>
  <c r="O22" i="6"/>
  <c r="B22" i="6"/>
  <c r="N21" i="6"/>
  <c r="A21" i="6"/>
  <c r="M20" i="6"/>
  <c r="T19" i="6"/>
  <c r="L19" i="6"/>
  <c r="S18" i="6"/>
  <c r="H18" i="6"/>
  <c r="R17" i="6"/>
  <c r="F17" i="6"/>
  <c r="R16" i="6"/>
  <c r="G16" i="6"/>
  <c r="R15" i="6"/>
  <c r="E15" i="6"/>
  <c r="Q14" i="6"/>
  <c r="D14" i="6"/>
  <c r="P13" i="6"/>
  <c r="C13" i="6"/>
  <c r="O12" i="6"/>
  <c r="B12" i="6"/>
  <c r="N11" i="6"/>
  <c r="B11" i="6"/>
  <c r="N10" i="6"/>
  <c r="B10" i="6"/>
  <c r="N9" i="6"/>
  <c r="B9" i="6"/>
  <c r="N8" i="6"/>
  <c r="B8" i="6"/>
  <c r="N7" i="6"/>
  <c r="B7" i="6"/>
  <c r="N6" i="6"/>
  <c r="B6" i="6"/>
  <c r="N5" i="6"/>
  <c r="B5" i="6"/>
  <c r="N4" i="6"/>
  <c r="B4" i="6"/>
  <c r="N3" i="6"/>
  <c r="C3" i="6"/>
  <c r="O2" i="6"/>
  <c r="C2" i="6"/>
  <c r="O1" i="6"/>
  <c r="G1" i="6"/>
  <c r="L125" i="6"/>
  <c r="Q124" i="6"/>
  <c r="C124" i="6"/>
  <c r="O123" i="6"/>
  <c r="B123" i="6"/>
  <c r="N122" i="6"/>
  <c r="A122" i="6"/>
  <c r="M121" i="6"/>
  <c r="T120" i="6"/>
  <c r="L120" i="6"/>
  <c r="S119" i="6"/>
  <c r="H119" i="6"/>
  <c r="R118" i="6"/>
  <c r="E118" i="6"/>
  <c r="Q117" i="6"/>
  <c r="D117" i="6"/>
  <c r="P116" i="6"/>
  <c r="C116" i="6"/>
  <c r="O115" i="6"/>
  <c r="B115" i="6"/>
  <c r="N114" i="6"/>
  <c r="A114" i="6"/>
  <c r="M113" i="6"/>
  <c r="T112" i="6"/>
  <c r="L112" i="6"/>
  <c r="S111" i="6"/>
  <c r="H111" i="6"/>
  <c r="R110" i="6"/>
  <c r="E110" i="6"/>
  <c r="Q109" i="6"/>
  <c r="D109" i="6"/>
  <c r="P108" i="6"/>
  <c r="C108" i="6"/>
  <c r="O107" i="6"/>
  <c r="B107" i="6"/>
  <c r="N106" i="6"/>
  <c r="A106" i="6"/>
  <c r="M105" i="6"/>
  <c r="T104" i="6"/>
  <c r="L104" i="6"/>
  <c r="S103" i="6"/>
  <c r="H103" i="6"/>
  <c r="R102" i="6"/>
  <c r="E102" i="6"/>
  <c r="Q101" i="6"/>
  <c r="D101" i="6"/>
  <c r="P100" i="6"/>
  <c r="C100" i="6"/>
  <c r="O99" i="6"/>
  <c r="B99" i="6"/>
  <c r="N98" i="6"/>
  <c r="A98" i="6"/>
  <c r="M97" i="6"/>
  <c r="T96" i="6"/>
  <c r="L96" i="6"/>
  <c r="S95" i="6"/>
  <c r="H95" i="6"/>
  <c r="R94" i="6"/>
  <c r="E94" i="6"/>
  <c r="Q93" i="6"/>
  <c r="D93" i="6"/>
  <c r="P92" i="6"/>
  <c r="C92" i="6"/>
  <c r="O91" i="6"/>
  <c r="B91" i="6"/>
  <c r="N90" i="6"/>
  <c r="A90" i="6"/>
  <c r="M89" i="6"/>
  <c r="T88" i="6"/>
  <c r="L88" i="6"/>
  <c r="S87" i="6"/>
  <c r="H87" i="6"/>
  <c r="R86" i="6"/>
  <c r="E86" i="6"/>
  <c r="Q85" i="6"/>
  <c r="D85" i="6"/>
  <c r="P84" i="6"/>
  <c r="C84" i="6"/>
  <c r="O83" i="6"/>
  <c r="B83" i="6"/>
  <c r="N82" i="6"/>
  <c r="A82" i="6"/>
  <c r="M81" i="6"/>
  <c r="T80" i="6"/>
  <c r="L80" i="6"/>
  <c r="S79" i="6"/>
  <c r="H79" i="6"/>
  <c r="R78" i="6"/>
  <c r="E78" i="6"/>
  <c r="Q77" i="6"/>
  <c r="D77" i="6"/>
  <c r="P76" i="6"/>
  <c r="C76" i="6"/>
  <c r="O75" i="6"/>
  <c r="B75" i="6"/>
  <c r="N74" i="6"/>
  <c r="A74" i="6"/>
  <c r="M73" i="6"/>
  <c r="T72" i="6"/>
  <c r="L72" i="6"/>
  <c r="S71" i="6"/>
  <c r="H71" i="6"/>
  <c r="R70" i="6"/>
  <c r="E70" i="6"/>
  <c r="Q69" i="6"/>
  <c r="D69" i="6"/>
  <c r="P68" i="6"/>
  <c r="C68" i="6"/>
  <c r="O67" i="6"/>
  <c r="B67" i="6"/>
  <c r="N66" i="6"/>
  <c r="A66" i="6"/>
  <c r="M65" i="6"/>
  <c r="T64" i="6"/>
  <c r="L64" i="6"/>
  <c r="S63" i="6"/>
  <c r="H63" i="6"/>
  <c r="R62" i="6"/>
  <c r="E62" i="6"/>
  <c r="Q61" i="6"/>
  <c r="D61" i="6"/>
  <c r="P60" i="6"/>
  <c r="C60" i="6"/>
  <c r="O59" i="6"/>
  <c r="B59" i="6"/>
  <c r="N58" i="6"/>
  <c r="A58" i="6"/>
  <c r="M57" i="6"/>
  <c r="T56" i="6"/>
  <c r="L56" i="6"/>
  <c r="T55" i="6"/>
  <c r="L55" i="6"/>
  <c r="T54" i="6"/>
  <c r="L54" i="6"/>
  <c r="S53" i="6"/>
  <c r="H53" i="6"/>
  <c r="R52" i="6"/>
  <c r="F52" i="6"/>
  <c r="R51" i="6"/>
  <c r="G51" i="6"/>
  <c r="R50" i="6"/>
  <c r="E50" i="6"/>
  <c r="Q49" i="6"/>
  <c r="D49" i="6"/>
  <c r="P48" i="6"/>
  <c r="C48" i="6"/>
  <c r="O47" i="6"/>
  <c r="B47" i="6"/>
  <c r="N46" i="6"/>
  <c r="A46" i="6"/>
  <c r="M45" i="6"/>
  <c r="T44" i="6"/>
  <c r="L44" i="6"/>
  <c r="S43" i="6"/>
  <c r="H43" i="6"/>
  <c r="R42" i="6"/>
  <c r="E42" i="6"/>
  <c r="Q41" i="6"/>
  <c r="D41" i="6"/>
  <c r="P40" i="6"/>
  <c r="C40" i="6"/>
  <c r="O39" i="6"/>
  <c r="B39" i="6"/>
  <c r="N38" i="6"/>
  <c r="A38" i="6"/>
  <c r="M37" i="6"/>
  <c r="T36" i="6"/>
  <c r="L36" i="6"/>
  <c r="S35" i="6"/>
  <c r="H35" i="6"/>
  <c r="R34" i="6"/>
  <c r="E34" i="6"/>
  <c r="Q33" i="6"/>
  <c r="D33" i="6"/>
  <c r="P32" i="6"/>
  <c r="C32" i="6"/>
  <c r="O31" i="6"/>
  <c r="B31" i="6"/>
  <c r="N30" i="6"/>
  <c r="A30" i="6"/>
  <c r="M29" i="6"/>
  <c r="T28" i="6"/>
  <c r="L28" i="6"/>
  <c r="S27" i="6"/>
  <c r="H27" i="6"/>
  <c r="R26" i="6"/>
  <c r="E26" i="6"/>
  <c r="Q25" i="6"/>
  <c r="D25" i="6"/>
  <c r="P24" i="6"/>
  <c r="C24" i="6"/>
  <c r="O23" i="6"/>
  <c r="B23" i="6"/>
  <c r="N22" i="6"/>
  <c r="A22" i="6"/>
  <c r="M21" i="6"/>
  <c r="T20" i="6"/>
  <c r="L20" i="6"/>
  <c r="S19" i="6"/>
  <c r="H19" i="6"/>
  <c r="R18" i="6"/>
  <c r="E18" i="6"/>
  <c r="Q17" i="6"/>
  <c r="E17" i="6"/>
  <c r="Q16" i="6"/>
  <c r="E16" i="6"/>
  <c r="Q15" i="6"/>
  <c r="D15" i="6"/>
  <c r="P14" i="6"/>
  <c r="C14" i="6"/>
  <c r="O13" i="6"/>
  <c r="B13" i="6"/>
  <c r="N12" i="6"/>
  <c r="A12" i="6"/>
  <c r="M11" i="6"/>
  <c r="A11" i="6"/>
  <c r="M10" i="6"/>
  <c r="A10" i="6"/>
  <c r="M9" i="6"/>
  <c r="A9" i="6"/>
  <c r="M8" i="6"/>
  <c r="A8" i="6"/>
  <c r="M7" i="6"/>
  <c r="A7" i="6"/>
  <c r="M6" i="6"/>
  <c r="A6" i="6"/>
  <c r="M5" i="6"/>
  <c r="A5" i="6"/>
  <c r="M4" i="6"/>
  <c r="A4" i="6"/>
  <c r="M3" i="6"/>
  <c r="B3" i="6"/>
  <c r="N2" i="6"/>
  <c r="B2" i="6"/>
  <c r="N1" i="6"/>
  <c r="F1" i="6"/>
  <c r="H125" i="6"/>
  <c r="P124" i="6"/>
  <c r="B124" i="6"/>
  <c r="N123" i="6"/>
  <c r="A123" i="6"/>
  <c r="M122" i="6"/>
  <c r="T121" i="6"/>
  <c r="L121" i="6"/>
  <c r="S120" i="6"/>
  <c r="H120" i="6"/>
  <c r="R119" i="6"/>
  <c r="E119" i="6"/>
  <c r="Q118" i="6"/>
  <c r="D118" i="6"/>
  <c r="P117" i="6"/>
  <c r="C117" i="6"/>
  <c r="O116" i="6"/>
  <c r="B116" i="6"/>
  <c r="N115" i="6"/>
  <c r="A115" i="6"/>
  <c r="M114" i="6"/>
  <c r="T113" i="6"/>
  <c r="L113" i="6"/>
  <c r="S112" i="6"/>
  <c r="H112" i="6"/>
  <c r="R111" i="6"/>
  <c r="E111" i="6"/>
  <c r="Q110" i="6"/>
  <c r="D110" i="6"/>
  <c r="P109" i="6"/>
  <c r="C109" i="6"/>
  <c r="O108" i="6"/>
  <c r="B108" i="6"/>
  <c r="N107" i="6"/>
  <c r="A107" i="6"/>
  <c r="M106" i="6"/>
  <c r="T105" i="6"/>
  <c r="L105" i="6"/>
  <c r="S104" i="6"/>
  <c r="H104" i="6"/>
  <c r="R103" i="6"/>
  <c r="E103" i="6"/>
  <c r="Q102" i="6"/>
  <c r="D102" i="6"/>
  <c r="P101" i="6"/>
  <c r="C101" i="6"/>
  <c r="O100" i="6"/>
  <c r="B100" i="6"/>
  <c r="N99" i="6"/>
  <c r="A99" i="6"/>
  <c r="M98" i="6"/>
  <c r="T97" i="6"/>
  <c r="L97" i="6"/>
  <c r="S96" i="6"/>
  <c r="H96" i="6"/>
  <c r="R95" i="6"/>
  <c r="E95" i="6"/>
  <c r="Q94" i="6"/>
  <c r="D94" i="6"/>
  <c r="P93" i="6"/>
  <c r="C93" i="6"/>
  <c r="O92" i="6"/>
  <c r="B92" i="6"/>
  <c r="N91" i="6"/>
  <c r="A91" i="6"/>
  <c r="M90" i="6"/>
  <c r="T89" i="6"/>
  <c r="L89" i="6"/>
  <c r="S88" i="6"/>
  <c r="H88" i="6"/>
  <c r="R87" i="6"/>
  <c r="E87" i="6"/>
  <c r="Q86" i="6"/>
  <c r="D86" i="6"/>
  <c r="P85" i="6"/>
  <c r="C85" i="6"/>
  <c r="O84" i="6"/>
  <c r="B84" i="6"/>
  <c r="N83" i="6"/>
  <c r="A83" i="6"/>
  <c r="M82" i="6"/>
  <c r="T81" i="6"/>
  <c r="L81" i="6"/>
  <c r="S80" i="6"/>
  <c r="H80" i="6"/>
  <c r="R79" i="6"/>
  <c r="E79" i="6"/>
  <c r="Q78" i="6"/>
  <c r="D78" i="6"/>
  <c r="P77" i="6"/>
  <c r="C77" i="6"/>
  <c r="O76" i="6"/>
  <c r="B76" i="6"/>
  <c r="N75" i="6"/>
  <c r="A75" i="6"/>
  <c r="M74" i="6"/>
  <c r="T73" i="6"/>
  <c r="L73" i="6"/>
  <c r="S72" i="6"/>
  <c r="H72" i="6"/>
  <c r="R71" i="6"/>
  <c r="E71" i="6"/>
  <c r="Q70" i="6"/>
  <c r="D70" i="6"/>
  <c r="P69" i="6"/>
  <c r="C69" i="6"/>
  <c r="O68" i="6"/>
  <c r="B68" i="6"/>
  <c r="N67" i="6"/>
  <c r="A67" i="6"/>
  <c r="M66" i="6"/>
  <c r="T65" i="6"/>
  <c r="L65" i="6"/>
  <c r="S64" i="6"/>
  <c r="H64" i="6"/>
  <c r="R63" i="6"/>
  <c r="E63" i="6"/>
  <c r="Q62" i="6"/>
  <c r="D62" i="6"/>
  <c r="P61" i="6"/>
  <c r="C61" i="6"/>
  <c r="O60" i="6"/>
  <c r="B60" i="6"/>
  <c r="N59" i="6"/>
  <c r="A59" i="6"/>
  <c r="M58" i="6"/>
  <c r="T57" i="6"/>
  <c r="L57" i="6"/>
  <c r="S56" i="6"/>
  <c r="H56" i="6"/>
  <c r="S55" i="6"/>
  <c r="H55" i="6"/>
  <c r="S54" i="6"/>
  <c r="H54" i="6"/>
  <c r="R53" i="6"/>
  <c r="E53" i="6"/>
  <c r="Q52" i="6"/>
  <c r="E52" i="6"/>
  <c r="Q51" i="6"/>
  <c r="E51" i="6"/>
  <c r="Q50" i="6"/>
  <c r="D50" i="6"/>
  <c r="P49" i="6"/>
  <c r="C49" i="6"/>
  <c r="O48" i="6"/>
  <c r="B48" i="6"/>
  <c r="N47" i="6"/>
  <c r="A47" i="6"/>
  <c r="M46" i="6"/>
  <c r="T45" i="6"/>
  <c r="L45" i="6"/>
  <c r="S44" i="6"/>
  <c r="H44" i="6"/>
  <c r="R43" i="6"/>
  <c r="E43" i="6"/>
  <c r="Q42" i="6"/>
  <c r="D42" i="6"/>
  <c r="P41" i="6"/>
  <c r="C41" i="6"/>
  <c r="O40" i="6"/>
  <c r="B40" i="6"/>
  <c r="N39" i="6"/>
  <c r="A39" i="6"/>
  <c r="M38" i="6"/>
  <c r="T37" i="6"/>
  <c r="L37" i="6"/>
  <c r="S36" i="6"/>
  <c r="H36" i="6"/>
  <c r="R35" i="6"/>
  <c r="E35" i="6"/>
  <c r="Q34" i="6"/>
  <c r="D34" i="6"/>
  <c r="P33" i="6"/>
  <c r="C33" i="6"/>
  <c r="O32" i="6"/>
  <c r="B32" i="6"/>
  <c r="N31" i="6"/>
  <c r="A31" i="6"/>
  <c r="M30" i="6"/>
  <c r="T29" i="6"/>
  <c r="L29" i="6"/>
  <c r="S28" i="6"/>
  <c r="H28" i="6"/>
  <c r="R27" i="6"/>
  <c r="E27" i="6"/>
  <c r="Q26" i="6"/>
  <c r="D26" i="6"/>
  <c r="P25" i="6"/>
  <c r="C25" i="6"/>
  <c r="O24" i="6"/>
  <c r="B24" i="6"/>
  <c r="N23" i="6"/>
  <c r="A23" i="6"/>
  <c r="M22" i="6"/>
  <c r="T21" i="6"/>
  <c r="L21" i="6"/>
  <c r="S20" i="6"/>
  <c r="H20" i="6"/>
  <c r="R19" i="6"/>
  <c r="E19" i="6"/>
  <c r="Q18" i="6"/>
  <c r="D18" i="6"/>
  <c r="P17" i="6"/>
  <c r="D17" i="6"/>
  <c r="P16" i="6"/>
  <c r="D16" i="6"/>
  <c r="P15" i="6"/>
  <c r="C15" i="6"/>
  <c r="O14" i="6"/>
  <c r="B14" i="6"/>
  <c r="N13" i="6"/>
  <c r="A13" i="6"/>
  <c r="M12" i="6"/>
  <c r="T11" i="6"/>
  <c r="L11" i="6"/>
  <c r="T10" i="6"/>
  <c r="L10" i="6"/>
  <c r="T9" i="6"/>
  <c r="L9" i="6"/>
  <c r="T8" i="6"/>
  <c r="L8" i="6"/>
  <c r="T7" i="6"/>
  <c r="L7" i="6"/>
  <c r="T6" i="6"/>
  <c r="L6" i="6"/>
  <c r="T5" i="6"/>
  <c r="L5" i="6"/>
  <c r="T4" i="6"/>
  <c r="L4" i="6"/>
  <c r="T3" i="6"/>
  <c r="L3" i="6"/>
  <c r="A3" i="6"/>
  <c r="M2" i="6"/>
  <c r="A2" i="6"/>
  <c r="M1" i="6"/>
  <c r="E1" i="6"/>
</calcChain>
</file>

<file path=xl/sharedStrings.xml><?xml version="1.0" encoding="utf-8"?>
<sst xmlns="http://schemas.openxmlformats.org/spreadsheetml/2006/main" count="145" uniqueCount="85">
  <si>
    <t>Rubros</t>
  </si>
  <si>
    <t xml:space="preserve">Sub-rubros </t>
  </si>
  <si>
    <t>Descripción</t>
  </si>
  <si>
    <t>Cantidad</t>
  </si>
  <si>
    <t>Costo Unitario</t>
  </si>
  <si>
    <t>Costo Total</t>
  </si>
  <si>
    <t>Inversiones</t>
  </si>
  <si>
    <t>Infraestructura</t>
  </si>
  <si>
    <t xml:space="preserve">Materiales, insumos y herramientas para obras menores, entendidas como conservación y restauración de lo existente, ampliación, refacciones, reparaciones, readecuaciones, protección del acceso a servicios básicos (gas, agua, energía eléctrica, eliminación de excretas, saneamiento) y seguridad (techos, vigas, mampostería, cerramientos, carpinterías, rejas, etc.). Materiales, insumos y herramientas para obras y procedimientos requeridos para una adecuada conectividad. </t>
  </si>
  <si>
    <t>Bolsa de cemento 50 kg.</t>
  </si>
  <si>
    <t>Bolson de arena 100 M</t>
  </si>
  <si>
    <t>Chapa acanalada C27 1,10x4,50 M.</t>
  </si>
  <si>
    <t xml:space="preserve">Pallet de Ladrillo hueco 12x18x33 </t>
  </si>
  <si>
    <t>Tirante de Pino Cepillado 2x6x3.05 M</t>
  </si>
  <si>
    <t>Puerta 80X200 Cm. Chapa Inyectada 2T Izquierda</t>
  </si>
  <si>
    <t>Pintura Látex Interior St 24 20 Lts</t>
  </si>
  <si>
    <t>Cerámico Alberdi Resic Gris 51X51 Cm</t>
  </si>
  <si>
    <t>Spot de Embutir Led Cuadrado Luz Día Sica</t>
  </si>
  <si>
    <t>Cable Unipolar Marròn Plastix Cf 2,50 Mm²</t>
  </si>
  <si>
    <t>Comunicación y Difusión</t>
  </si>
  <si>
    <t>Artes gráficas y visuales</t>
  </si>
  <si>
    <t>Diseño, edición, impresión de formularios, planillas, folletos, tarjetas, calendarios, partituras y demás productos de las artes gráficas, videos y otros productos de comunicación (sonoro o audiovisual)</t>
  </si>
  <si>
    <t>Bienes de consumo</t>
  </si>
  <si>
    <t>Productos de papel, cartón e impresos</t>
  </si>
  <si>
    <t>Papel de escritorio y cartón; Papel para computación; Productos de artes gráficas; Productos de papel y cartón; Libros, revistas y periódicos; Textos de enseñanza; Especies timbradas y valores; Otros</t>
  </si>
  <si>
    <t>Otros bienes de consumo</t>
  </si>
  <si>
    <t>Elementos de limpieza; Útiles de escritorio, oficina y enseñanza; Útiles y materiales eléctricos y electrónicos (no informáticos); Utensilios de cocina y comedor; Repuestos y accesorios; Otros</t>
  </si>
  <si>
    <t>Bienes de Uso</t>
  </si>
  <si>
    <t>Maquinaria y Equipo</t>
  </si>
  <si>
    <t>Equipo educacional y recreativo (435); Equipo para computación (436); Equipo de oficina y muebles; Otros</t>
  </si>
  <si>
    <t>Equipamiento deportivo y recreativo</t>
  </si>
  <si>
    <t>Adquisición de bienes y materiales destinados a equipar gimnasios al aire libre, mejorar la práctica deportiva y/o realización de clases de actividad física. Material para el desarrollo de entornos para promover la actividad física</t>
  </si>
  <si>
    <t>Textiles y vestuario</t>
  </si>
  <si>
    <t>Hilados y telas; Prendas de vestir; Confecciones textiles; Otros.</t>
  </si>
  <si>
    <t>Binario</t>
  </si>
  <si>
    <t>Dia</t>
  </si>
  <si>
    <t>Mes</t>
  </si>
  <si>
    <t>Año</t>
  </si>
  <si>
    <t>Componente de Gasto</t>
  </si>
  <si>
    <t>Sub Rubros Jurisdicción</t>
  </si>
  <si>
    <t>Sub Rubros CAPS</t>
  </si>
  <si>
    <t>SI</t>
  </si>
  <si>
    <t>Enero</t>
  </si>
  <si>
    <t>Libre Disponibilidad</t>
  </si>
  <si>
    <t>Locación de obras y/o servicios</t>
  </si>
  <si>
    <t>NO</t>
  </si>
  <si>
    <t>Febrero</t>
  </si>
  <si>
    <t>Fortalecimiento de PNA</t>
  </si>
  <si>
    <t>Servicios de comunicación y difusión</t>
  </si>
  <si>
    <t>Marzo</t>
  </si>
  <si>
    <t>Servicios e insumos para la organización de eventos, jornadas, talleres y reuniones</t>
  </si>
  <si>
    <t>Abril</t>
  </si>
  <si>
    <t>Insumos de laboratorio</t>
  </si>
  <si>
    <t>Mayo</t>
  </si>
  <si>
    <t>Insumos generales</t>
  </si>
  <si>
    <t>Junio</t>
  </si>
  <si>
    <t>Insumos médicos</t>
  </si>
  <si>
    <t>Julio</t>
  </si>
  <si>
    <t>Agostro</t>
  </si>
  <si>
    <t>Equipamiento audiovisual</t>
  </si>
  <si>
    <t>Septiembre</t>
  </si>
  <si>
    <t>Obras</t>
  </si>
  <si>
    <t>Equipamiento general</t>
  </si>
  <si>
    <t>Octubre</t>
  </si>
  <si>
    <t>Equipamiento laboratorio</t>
  </si>
  <si>
    <t>Noviembre</t>
  </si>
  <si>
    <t>Equipamiento médico</t>
  </si>
  <si>
    <t>Diciembre</t>
  </si>
  <si>
    <t>Equipo informático (hardware)</t>
  </si>
  <si>
    <t>Software</t>
  </si>
  <si>
    <t>Mobiliario</t>
  </si>
  <si>
    <t>Mobiliario para la salud</t>
  </si>
  <si>
    <t>Actividades de Investigación/Estudios</t>
  </si>
  <si>
    <t>Rodados/Móviles (adquisición de vehículos)</t>
  </si>
  <si>
    <t>Capacitación</t>
  </si>
  <si>
    <t>Servicios</t>
  </si>
  <si>
    <t>Pasajes y viáticos</t>
  </si>
  <si>
    <t>Logística</t>
  </si>
  <si>
    <t>Gastos y comisiones bancarias</t>
  </si>
  <si>
    <t>Abordaje COVID-19</t>
  </si>
  <si>
    <t>Vacunación COVID-19</t>
  </si>
  <si>
    <t>Línea 4.3.1. Adquisición de insumos, herramientas y materiales para mejoras edilicias y/o de infraestructura:</t>
  </si>
  <si>
    <t>En la planilla encontrará tres pestañas, cada una de las cuales lleva el nombre de una de las tres líneas en las que se pueden inscribir las OSC. Complete solamente la pestaña correspondiente a la línea en la que se inscribe su proyecto. En cada pestaña encontrará los rubros y sub-rubros a los que puede aplicar, junto a una breve descripción de lo que contempla cada uno. Complete la planilla en el lugar que corresponda al/los objeto/s de gasto que desea aplicar. A cada objeto de gasto debe corresponderle una única fila. En cada una de ellas deberán constar Rubro y Sub-rubro al que pertenece, Descripción del objeto de gasto solicitado, Cantidad de unidades de ese objeto de gasto, el Costo Unitario y el Costo Total.  En caso de no ser suficiente la cantidad de filas dentro de cada rubro agregue las que considere necesarias. Para el caso de la línea b). Mejoras de Gestión, técnico administrativas o informáticas se podrán incorporar objetos de gasto de diferentes rubros siempre que estén comprendidos en la planilla.A modo de ejemplo, se presenta un caso para un proyecto en el marco de la Línea 4.3.1.</t>
  </si>
  <si>
    <t>Línea 4.3.2. Mejoras de Gestión, técnico administrativas o informáticas:</t>
  </si>
  <si>
    <t>Línea 4.3.3. Mejoras en la Indumentaria (camisetas para clubes, trajes para murgas o similares):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</si>
</sst>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0"/>
      <color rgb="FF000000"/>
      <name val="Arial"/>
      <scheme val="minor"/>
    </font>
    <font>
      <sz val="11"/>
      <color theme="1"/>
      <name val="Calibri"/>
    </font>
    <font>
      <sz val="11"/>
      <color rgb="FF000000"/>
      <name val="Calibri"/>
    </font>
    <font>
      <sz val="10"/>
      <color theme="1"/>
      <name val="Arial"/>
    </font>
    <font>
      <b/>
      <sz val="10"/>
      <color theme="1"/>
      <name val="Arial"/>
    </font>
    <font>
      <sz val="10"/>
      <color theme="1"/>
      <name val="Calibri"/>
    </font>
    <font>
      <sz val="10"/>
      <color rgb="FF000000"/>
      <name val="Calibri"/>
    </font>
    <font>
      <b/>
      <sz val="10"/>
      <color theme="1"/>
      <name val="Calibri"/>
    </font>
    <font>
      <sz val="10"/>
      <color theme="1"/>
      <name val="Calibri"/>
    </font>
    <font>
      <sz val="10"/>
      <color rgb="FF999999"/>
      <name val="Arial"/>
    </font>
    <font>
      <sz val="10"/>
      <color theme="1"/>
      <name val="Arial"/>
    </font>
    <font>
      <b/>
      <sz val="10"/>
      <color theme="1"/>
      <name val="Arial"/>
      <family val="2"/>
    </font>
    <font>
      <b/>
      <i/>
      <sz val="11"/>
      <color theme="1" tint="0.499984740745262"/>
      <name val="Calibri"/>
      <family val="2"/>
    </font>
    <font>
      <sz val="10"/>
      <color theme="1" tint="0.499984740745262"/>
      <name val="Arial"/>
      <family val="2"/>
      <scheme val="minor"/>
    </font>
    <font>
      <b/>
      <sz val="10"/>
      <color rgb="FF000000"/>
      <name val="Arial"/>
      <family val="2"/>
      <scheme val="minor"/>
    </font>
  </fonts>
  <fills count="7">
    <fill>
      <patternFill patternType="none"/>
    </fill>
    <fill>
      <patternFill patternType="gray125"/>
    </fill>
    <fill>
      <patternFill patternType="solid">
        <fgColor theme="0"/>
        <bgColor theme="0"/>
      </patternFill>
    </fill>
    <fill>
      <patternFill patternType="solid">
        <fgColor theme="4"/>
        <bgColor theme="4"/>
      </patternFill>
    </fill>
    <fill>
      <patternFill patternType="solid">
        <fgColor rgb="FFB3CEFA"/>
        <bgColor rgb="FFB3CEFA"/>
      </patternFill>
    </fill>
    <fill>
      <patternFill patternType="solid">
        <fgColor rgb="FFC9DAF8"/>
        <bgColor rgb="FFC9DAF8"/>
      </patternFill>
    </fill>
    <fill>
      <patternFill patternType="solid">
        <fgColor rgb="FFFFFFFF"/>
        <bgColor rgb="FFFFFFFF"/>
      </patternFill>
    </fill>
  </fills>
  <borders count="5">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42">
    <xf numFmtId="0" fontId="0" fillId="0" borderId="0" xfId="0" applyFont="1" applyAlignment="1"/>
    <xf numFmtId="0" fontId="3" fillId="0" borderId="0" xfId="0" applyFont="1" applyAlignment="1">
      <alignment vertical="center"/>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5" fillId="4" borderId="2" xfId="0" applyFont="1" applyFill="1" applyBorder="1" applyAlignment="1">
      <alignment horizontal="left" vertical="center" wrapText="1"/>
    </xf>
    <xf numFmtId="0" fontId="6" fillId="4" borderId="2" xfId="0" applyFont="1" applyFill="1" applyBorder="1" applyAlignment="1">
      <alignment vertical="center" wrapText="1"/>
    </xf>
    <xf numFmtId="0" fontId="6" fillId="4" borderId="3" xfId="0" applyFont="1" applyFill="1" applyBorder="1" applyAlignment="1">
      <alignment vertical="center" wrapText="1"/>
    </xf>
    <xf numFmtId="0" fontId="5" fillId="0" borderId="2" xfId="0" applyFont="1" applyBorder="1" applyAlignment="1">
      <alignment horizontal="left" vertical="center" wrapText="1"/>
    </xf>
    <xf numFmtId="0" fontId="6" fillId="2" borderId="2" xfId="0" applyFont="1" applyFill="1" applyBorder="1" applyAlignment="1">
      <alignment vertical="center" wrapText="1"/>
    </xf>
    <xf numFmtId="0" fontId="6" fillId="2" borderId="3" xfId="0" applyFont="1" applyFill="1" applyBorder="1" applyAlignment="1">
      <alignment vertical="center" wrapText="1"/>
    </xf>
    <xf numFmtId="3" fontId="6" fillId="2" borderId="2" xfId="0" applyNumberFormat="1" applyFont="1" applyFill="1" applyBorder="1" applyAlignment="1">
      <alignment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8" fillId="0" borderId="0" xfId="0" applyFont="1" applyAlignment="1">
      <alignment vertical="center"/>
    </xf>
    <xf numFmtId="0" fontId="8" fillId="0" borderId="0" xfId="0" applyFont="1" applyAlignment="1">
      <alignment vertical="center" wrapText="1"/>
    </xf>
    <xf numFmtId="0" fontId="8" fillId="0" borderId="4" xfId="0" applyFont="1" applyBorder="1" applyAlignment="1">
      <alignment vertical="center"/>
    </xf>
    <xf numFmtId="0" fontId="5" fillId="5" borderId="2" xfId="0" applyFont="1" applyFill="1" applyBorder="1" applyAlignment="1">
      <alignment horizontal="left" vertical="center" wrapText="1"/>
    </xf>
    <xf numFmtId="0" fontId="5" fillId="5" borderId="2" xfId="0" applyFont="1" applyFill="1" applyBorder="1" applyAlignment="1">
      <alignment vertical="center" wrapText="1"/>
    </xf>
    <xf numFmtId="0" fontId="5" fillId="5" borderId="0" xfId="0" applyFont="1" applyFill="1" applyAlignment="1">
      <alignment vertical="center" wrapText="1"/>
    </xf>
    <xf numFmtId="0" fontId="6" fillId="5" borderId="2" xfId="0" applyFont="1" applyFill="1" applyBorder="1" applyAlignment="1">
      <alignment vertical="center" wrapText="1"/>
    </xf>
    <xf numFmtId="0" fontId="5" fillId="0" borderId="0" xfId="0" applyFont="1" applyAlignment="1">
      <alignment vertical="center"/>
    </xf>
    <xf numFmtId="0" fontId="1" fillId="6" borderId="2" xfId="0" applyFont="1" applyFill="1" applyBorder="1" applyAlignment="1">
      <alignment horizontal="left" vertical="center" wrapText="1"/>
    </xf>
    <xf numFmtId="0" fontId="2" fillId="6" borderId="2" xfId="0" applyFont="1" applyFill="1" applyBorder="1" applyAlignment="1">
      <alignment vertical="center" wrapText="1"/>
    </xf>
    <xf numFmtId="0" fontId="1" fillId="6" borderId="2" xfId="0" applyFont="1" applyFill="1" applyBorder="1" applyAlignment="1">
      <alignment vertical="center" wrapText="1"/>
    </xf>
    <xf numFmtId="0" fontId="6" fillId="6" borderId="2" xfId="0" applyFont="1" applyFill="1" applyBorder="1" applyAlignment="1">
      <alignment vertical="center" wrapText="1"/>
    </xf>
    <xf numFmtId="0" fontId="6" fillId="5" borderId="3" xfId="0" applyFont="1" applyFill="1" applyBorder="1" applyAlignment="1">
      <alignment vertical="center" wrapText="1"/>
    </xf>
    <xf numFmtId="0" fontId="3" fillId="0" borderId="2" xfId="0" applyFont="1" applyBorder="1" applyAlignment="1">
      <alignment vertical="center"/>
    </xf>
    <xf numFmtId="0" fontId="9" fillId="0" borderId="0" xfId="0" applyFont="1" applyAlignment="1">
      <alignment horizontal="left" vertical="center"/>
    </xf>
    <xf numFmtId="0" fontId="10" fillId="0" borderId="0" xfId="0" applyFont="1" applyAlignment="1">
      <alignment horizontal="center" vertical="center"/>
    </xf>
    <xf numFmtId="0" fontId="10" fillId="0" borderId="0" xfId="0" applyFont="1"/>
    <xf numFmtId="49" fontId="10" fillId="0" borderId="0" xfId="0" applyNumberFormat="1" applyFont="1"/>
    <xf numFmtId="0" fontId="4" fillId="0" borderId="1" xfId="0" applyFont="1" applyFill="1" applyBorder="1" applyAlignment="1">
      <alignment horizontal="left" vertical="center" wrapText="1"/>
    </xf>
    <xf numFmtId="0" fontId="3" fillId="0" borderId="0" xfId="0" applyFont="1" applyFill="1" applyAlignment="1">
      <alignment horizontal="left" vertical="center"/>
    </xf>
    <xf numFmtId="0" fontId="0" fillId="0" borderId="0" xfId="0" applyFont="1" applyAlignment="1">
      <alignment vertical="center"/>
    </xf>
    <xf numFmtId="0" fontId="0" fillId="0" borderId="0" xfId="0" applyFont="1" applyFill="1" applyAlignment="1">
      <alignment horizontal="left" vertical="center"/>
    </xf>
    <xf numFmtId="0" fontId="11" fillId="0" borderId="1" xfId="0" applyFont="1" applyFill="1" applyBorder="1" applyAlignment="1">
      <alignment horizontal="left" vertical="center"/>
    </xf>
    <xf numFmtId="0" fontId="12" fillId="0" borderId="0" xfId="0" applyFont="1" applyAlignment="1">
      <alignment vertical="center" wrapText="1"/>
    </xf>
    <xf numFmtId="0" fontId="13" fillId="0" borderId="0" xfId="0" applyFont="1" applyAlignment="1">
      <alignment vertical="center"/>
    </xf>
    <xf numFmtId="0" fontId="12" fillId="0" borderId="0" xfId="0" applyFont="1" applyAlignment="1">
      <alignment vertical="center" wrapText="1"/>
    </xf>
    <xf numFmtId="0" fontId="13" fillId="0" borderId="0" xfId="0" applyFont="1" applyAlignment="1">
      <alignment vertical="center"/>
    </xf>
    <xf numFmtId="0" fontId="14" fillId="0" borderId="0" xfId="0" applyFont="1" applyAlignment="1"/>
    <xf numFmtId="0" fontId="14"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theme" Target="theme/theme1.xml"/><Relationship Id="rId5" Type="http://schemas.openxmlformats.org/officeDocument/2006/relationships/worksheet" Target="worksheets/sheet5.xml"/><Relationship Id="rId10" Type="http://customschemas.google.com/relationships/workbookmetadata" Target="metadata"/><Relationship Id="rId4" Type="http://schemas.openxmlformats.org/officeDocument/2006/relationships/worksheet" Target="worksheets/sheet4.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5"/>
  <sheetViews>
    <sheetView showGridLines="0" tabSelected="1" workbookViewId="0">
      <selection activeCell="B5" sqref="B5"/>
    </sheetView>
  </sheetViews>
  <sheetFormatPr baseColWidth="10" defaultColWidth="12.6328125" defaultRowHeight="15" customHeight="1" x14ac:dyDescent="0.25"/>
  <cols>
    <col min="1" max="1" width="18.36328125" style="33" customWidth="1"/>
    <col min="2" max="2" width="23.453125" style="33" customWidth="1"/>
    <col min="3" max="3" width="59.6328125" style="33" customWidth="1"/>
    <col min="4" max="5" width="25.08984375" style="33" customWidth="1"/>
    <col min="6" max="6" width="28.36328125" style="33" customWidth="1"/>
    <col min="7" max="9" width="10.7265625" style="33" customWidth="1"/>
    <col min="10" max="25" width="14.453125" style="33" customWidth="1"/>
    <col min="26" max="16384" width="12.6328125" style="33"/>
  </cols>
  <sheetData>
    <row r="1" spans="1:25" ht="100" customHeight="1" x14ac:dyDescent="0.25">
      <c r="A1" s="36" t="s">
        <v>82</v>
      </c>
      <c r="B1" s="37"/>
      <c r="C1" s="37"/>
      <c r="D1" s="37"/>
      <c r="E1" s="37"/>
      <c r="F1" s="37"/>
      <c r="G1" s="1"/>
      <c r="H1" s="1"/>
      <c r="I1" s="1"/>
      <c r="J1" s="1"/>
      <c r="K1" s="1"/>
      <c r="L1" s="1"/>
      <c r="M1" s="1"/>
      <c r="N1" s="1"/>
      <c r="O1" s="1"/>
      <c r="P1" s="1"/>
      <c r="Q1" s="1"/>
      <c r="R1" s="1"/>
      <c r="S1" s="1"/>
      <c r="T1" s="1"/>
      <c r="U1" s="1"/>
      <c r="V1" s="1"/>
      <c r="W1" s="1"/>
      <c r="X1" s="1"/>
      <c r="Y1" s="1"/>
    </row>
    <row r="2" spans="1:25" ht="14.5" x14ac:dyDescent="0.25">
      <c r="A2" s="38"/>
      <c r="B2" s="39"/>
      <c r="C2" s="39"/>
      <c r="D2" s="39"/>
      <c r="E2" s="39"/>
      <c r="F2" s="39"/>
      <c r="G2" s="1"/>
      <c r="H2" s="1"/>
      <c r="I2" s="1"/>
      <c r="J2" s="1"/>
      <c r="K2" s="1"/>
      <c r="L2" s="1"/>
      <c r="M2" s="1"/>
      <c r="N2" s="1"/>
      <c r="O2" s="1"/>
      <c r="P2" s="1"/>
      <c r="Q2" s="1"/>
      <c r="R2" s="1"/>
      <c r="S2" s="1"/>
      <c r="T2" s="1"/>
      <c r="U2" s="1"/>
      <c r="V2" s="1"/>
      <c r="W2" s="1"/>
      <c r="X2" s="1"/>
      <c r="Y2" s="1"/>
    </row>
    <row r="3" spans="1:25" s="34" customFormat="1" ht="13" x14ac:dyDescent="0.25">
      <c r="A3" s="35" t="s">
        <v>81</v>
      </c>
      <c r="B3" s="31"/>
      <c r="C3" s="31"/>
      <c r="D3" s="31"/>
      <c r="E3" s="31"/>
      <c r="F3" s="31"/>
      <c r="G3" s="32"/>
      <c r="H3" s="32"/>
      <c r="I3" s="32"/>
      <c r="J3" s="32"/>
      <c r="K3" s="32"/>
      <c r="L3" s="32"/>
      <c r="M3" s="32"/>
      <c r="N3" s="32"/>
      <c r="O3" s="32"/>
      <c r="P3" s="32"/>
      <c r="Q3" s="32"/>
      <c r="R3" s="32"/>
      <c r="S3" s="32"/>
      <c r="T3" s="32"/>
      <c r="U3" s="32"/>
      <c r="V3" s="32"/>
      <c r="W3" s="32"/>
      <c r="X3" s="32"/>
      <c r="Y3" s="32"/>
    </row>
    <row r="4" spans="1:25" ht="13" x14ac:dyDescent="0.25">
      <c r="A4" s="2" t="s">
        <v>0</v>
      </c>
      <c r="B4" s="2" t="s">
        <v>1</v>
      </c>
      <c r="C4" s="3" t="s">
        <v>2</v>
      </c>
      <c r="D4" s="2" t="s">
        <v>3</v>
      </c>
      <c r="E4" s="2" t="s">
        <v>4</v>
      </c>
      <c r="F4" s="2" t="s">
        <v>5</v>
      </c>
      <c r="G4" s="1"/>
      <c r="H4" s="1"/>
      <c r="I4" s="1"/>
      <c r="J4" s="1"/>
      <c r="K4" s="1"/>
      <c r="L4" s="1"/>
      <c r="M4" s="1"/>
      <c r="N4" s="1"/>
      <c r="O4" s="1"/>
      <c r="P4" s="1"/>
      <c r="Q4" s="1"/>
      <c r="R4" s="1"/>
      <c r="S4" s="1"/>
      <c r="T4" s="1"/>
      <c r="U4" s="1"/>
      <c r="V4" s="1"/>
      <c r="W4" s="1"/>
      <c r="X4" s="1"/>
      <c r="Y4" s="1"/>
    </row>
    <row r="5" spans="1:25" ht="91" x14ac:dyDescent="0.25">
      <c r="A5" s="4" t="s">
        <v>6</v>
      </c>
      <c r="B5" s="5" t="s">
        <v>7</v>
      </c>
      <c r="C5" s="6" t="s">
        <v>8</v>
      </c>
      <c r="D5" s="5"/>
      <c r="E5" s="5"/>
      <c r="F5" s="5"/>
      <c r="G5" s="1"/>
      <c r="H5" s="1"/>
      <c r="I5" s="1"/>
      <c r="J5" s="1"/>
      <c r="K5" s="1"/>
      <c r="L5" s="1"/>
      <c r="M5" s="1"/>
      <c r="N5" s="1"/>
      <c r="O5" s="1"/>
      <c r="P5" s="1"/>
      <c r="Q5" s="1"/>
      <c r="R5" s="1"/>
      <c r="S5" s="1"/>
      <c r="T5" s="1"/>
      <c r="U5" s="1"/>
      <c r="V5" s="1"/>
      <c r="W5" s="1"/>
      <c r="X5" s="1"/>
      <c r="Y5" s="1"/>
    </row>
    <row r="6" spans="1:25" ht="13" x14ac:dyDescent="0.25">
      <c r="A6" s="7" t="s">
        <v>6</v>
      </c>
      <c r="B6" s="8" t="s">
        <v>7</v>
      </c>
      <c r="C6" s="9" t="s">
        <v>9</v>
      </c>
      <c r="D6" s="8">
        <v>8</v>
      </c>
      <c r="E6" s="10">
        <v>2500</v>
      </c>
      <c r="F6" s="8">
        <f t="shared" ref="F6:F15" si="0">E6*D6</f>
        <v>20000</v>
      </c>
      <c r="G6" s="1"/>
      <c r="H6" s="1"/>
      <c r="I6" s="1"/>
      <c r="J6" s="1"/>
      <c r="K6" s="1"/>
      <c r="L6" s="1"/>
      <c r="M6" s="1"/>
      <c r="N6" s="1"/>
      <c r="O6" s="1"/>
      <c r="P6" s="1"/>
      <c r="Q6" s="1"/>
      <c r="R6" s="1"/>
      <c r="S6" s="1"/>
      <c r="T6" s="1"/>
      <c r="U6" s="1"/>
      <c r="V6" s="1"/>
      <c r="W6" s="1"/>
      <c r="X6" s="1"/>
      <c r="Y6" s="1"/>
    </row>
    <row r="7" spans="1:25" ht="13" x14ac:dyDescent="0.25">
      <c r="A7" s="7" t="s">
        <v>6</v>
      </c>
      <c r="B7" s="8" t="s">
        <v>7</v>
      </c>
      <c r="C7" s="9" t="s">
        <v>10</v>
      </c>
      <c r="D7" s="8">
        <v>1</v>
      </c>
      <c r="E7" s="10">
        <v>8000</v>
      </c>
      <c r="F7" s="8">
        <f t="shared" si="0"/>
        <v>8000</v>
      </c>
      <c r="G7" s="1"/>
      <c r="H7" s="1"/>
      <c r="I7" s="1"/>
      <c r="J7" s="1"/>
      <c r="K7" s="1"/>
      <c r="L7" s="1"/>
      <c r="M7" s="1"/>
      <c r="N7" s="1"/>
      <c r="O7" s="1"/>
      <c r="P7" s="1"/>
      <c r="Q7" s="1"/>
      <c r="R7" s="1"/>
      <c r="S7" s="1"/>
      <c r="T7" s="1"/>
      <c r="U7" s="1"/>
      <c r="V7" s="1"/>
      <c r="W7" s="1"/>
      <c r="X7" s="1"/>
      <c r="Y7" s="1"/>
    </row>
    <row r="8" spans="1:25" ht="13" x14ac:dyDescent="0.25">
      <c r="A8" s="7" t="s">
        <v>6</v>
      </c>
      <c r="B8" s="8" t="s">
        <v>7</v>
      </c>
      <c r="C8" s="9" t="s">
        <v>11</v>
      </c>
      <c r="D8" s="8">
        <v>8</v>
      </c>
      <c r="E8" s="10">
        <v>20000</v>
      </c>
      <c r="F8" s="8">
        <f t="shared" si="0"/>
        <v>160000</v>
      </c>
      <c r="G8" s="1"/>
      <c r="H8" s="1"/>
      <c r="I8" s="1"/>
      <c r="J8" s="1"/>
      <c r="K8" s="1"/>
      <c r="L8" s="1"/>
      <c r="M8" s="1"/>
      <c r="N8" s="1"/>
      <c r="O8" s="1"/>
      <c r="P8" s="1"/>
      <c r="Q8" s="1"/>
      <c r="R8" s="1"/>
      <c r="S8" s="1"/>
      <c r="T8" s="1"/>
      <c r="U8" s="1"/>
      <c r="V8" s="1"/>
      <c r="W8" s="1"/>
      <c r="X8" s="1"/>
      <c r="Y8" s="1"/>
    </row>
    <row r="9" spans="1:25" ht="13" x14ac:dyDescent="0.25">
      <c r="A9" s="7" t="s">
        <v>6</v>
      </c>
      <c r="B9" s="8" t="s">
        <v>7</v>
      </c>
      <c r="C9" s="9" t="s">
        <v>12</v>
      </c>
      <c r="D9" s="8">
        <v>2</v>
      </c>
      <c r="E9" s="10">
        <v>22500</v>
      </c>
      <c r="F9" s="8">
        <f t="shared" si="0"/>
        <v>45000</v>
      </c>
      <c r="G9" s="1"/>
      <c r="H9" s="1"/>
      <c r="I9" s="1"/>
      <c r="J9" s="1"/>
      <c r="K9" s="1"/>
      <c r="L9" s="1"/>
      <c r="M9" s="1"/>
      <c r="N9" s="1"/>
      <c r="O9" s="1"/>
      <c r="P9" s="1"/>
      <c r="Q9" s="1"/>
      <c r="R9" s="1"/>
      <c r="S9" s="1"/>
      <c r="T9" s="1"/>
      <c r="U9" s="1"/>
      <c r="V9" s="1"/>
      <c r="W9" s="1"/>
      <c r="X9" s="1"/>
      <c r="Y9" s="1"/>
    </row>
    <row r="10" spans="1:25" ht="13" x14ac:dyDescent="0.25">
      <c r="A10" s="7" t="s">
        <v>6</v>
      </c>
      <c r="B10" s="8" t="s">
        <v>7</v>
      </c>
      <c r="C10" s="9" t="s">
        <v>13</v>
      </c>
      <c r="D10" s="8">
        <v>10</v>
      </c>
      <c r="E10" s="10">
        <v>2500</v>
      </c>
      <c r="F10" s="8">
        <f t="shared" si="0"/>
        <v>25000</v>
      </c>
      <c r="G10" s="1"/>
      <c r="H10" s="1"/>
      <c r="I10" s="1"/>
      <c r="J10" s="1"/>
      <c r="K10" s="1"/>
      <c r="L10" s="1"/>
      <c r="M10" s="1"/>
      <c r="N10" s="1"/>
      <c r="O10" s="1"/>
      <c r="P10" s="1"/>
      <c r="Q10" s="1"/>
      <c r="R10" s="1"/>
      <c r="S10" s="1"/>
      <c r="T10" s="1"/>
      <c r="U10" s="1"/>
      <c r="V10" s="1"/>
      <c r="W10" s="1"/>
      <c r="X10" s="1"/>
      <c r="Y10" s="1"/>
    </row>
    <row r="11" spans="1:25" ht="13" x14ac:dyDescent="0.25">
      <c r="A11" s="7" t="s">
        <v>6</v>
      </c>
      <c r="B11" s="8" t="s">
        <v>7</v>
      </c>
      <c r="C11" s="9" t="s">
        <v>14</v>
      </c>
      <c r="D11" s="8">
        <v>1</v>
      </c>
      <c r="E11" s="10">
        <v>50000</v>
      </c>
      <c r="F11" s="8">
        <f t="shared" si="0"/>
        <v>50000</v>
      </c>
      <c r="G11" s="1"/>
      <c r="H11" s="1"/>
      <c r="I11" s="1"/>
      <c r="J11" s="1"/>
      <c r="K11" s="1"/>
      <c r="L11" s="1"/>
      <c r="M11" s="1"/>
      <c r="N11" s="1"/>
      <c r="O11" s="1"/>
      <c r="P11" s="1"/>
      <c r="Q11" s="1"/>
      <c r="R11" s="1"/>
      <c r="S11" s="1"/>
      <c r="T11" s="1"/>
      <c r="U11" s="1"/>
      <c r="V11" s="1"/>
      <c r="W11" s="1"/>
      <c r="X11" s="1"/>
      <c r="Y11" s="1"/>
    </row>
    <row r="12" spans="1:25" ht="13" x14ac:dyDescent="0.25">
      <c r="A12" s="7" t="s">
        <v>6</v>
      </c>
      <c r="B12" s="8" t="s">
        <v>7</v>
      </c>
      <c r="C12" s="9" t="s">
        <v>15</v>
      </c>
      <c r="D12" s="8">
        <v>2</v>
      </c>
      <c r="E12" s="10">
        <v>8000</v>
      </c>
      <c r="F12" s="8">
        <f t="shared" si="0"/>
        <v>16000</v>
      </c>
      <c r="G12" s="1"/>
      <c r="H12" s="1"/>
      <c r="I12" s="1"/>
      <c r="J12" s="1"/>
      <c r="K12" s="1"/>
      <c r="L12" s="1"/>
      <c r="M12" s="1"/>
      <c r="N12" s="1"/>
      <c r="O12" s="1"/>
      <c r="P12" s="1"/>
      <c r="Q12" s="1"/>
      <c r="R12" s="1"/>
      <c r="S12" s="1"/>
      <c r="T12" s="1"/>
      <c r="U12" s="1"/>
      <c r="V12" s="1"/>
      <c r="W12" s="1"/>
      <c r="X12" s="1"/>
      <c r="Y12" s="1"/>
    </row>
    <row r="13" spans="1:25" ht="13" x14ac:dyDescent="0.25">
      <c r="A13" s="7" t="s">
        <v>6</v>
      </c>
      <c r="B13" s="8" t="s">
        <v>7</v>
      </c>
      <c r="C13" s="9" t="s">
        <v>16</v>
      </c>
      <c r="D13" s="8">
        <v>36</v>
      </c>
      <c r="E13" s="10">
        <v>1500</v>
      </c>
      <c r="F13" s="8">
        <f t="shared" si="0"/>
        <v>54000</v>
      </c>
      <c r="G13" s="1"/>
      <c r="H13" s="1"/>
      <c r="I13" s="1"/>
      <c r="J13" s="1"/>
      <c r="K13" s="1"/>
      <c r="L13" s="1"/>
      <c r="M13" s="1"/>
      <c r="N13" s="1"/>
      <c r="O13" s="1"/>
      <c r="P13" s="1"/>
      <c r="Q13" s="1"/>
      <c r="R13" s="1"/>
      <c r="S13" s="1"/>
      <c r="T13" s="1"/>
      <c r="U13" s="1"/>
      <c r="V13" s="1"/>
      <c r="W13" s="1"/>
      <c r="X13" s="1"/>
      <c r="Y13" s="1"/>
    </row>
    <row r="14" spans="1:25" ht="13" x14ac:dyDescent="0.25">
      <c r="A14" s="7" t="s">
        <v>6</v>
      </c>
      <c r="B14" s="8" t="s">
        <v>7</v>
      </c>
      <c r="C14" s="9" t="s">
        <v>17</v>
      </c>
      <c r="D14" s="8">
        <v>4</v>
      </c>
      <c r="E14" s="10">
        <v>3500</v>
      </c>
      <c r="F14" s="8">
        <f t="shared" si="0"/>
        <v>14000</v>
      </c>
      <c r="G14" s="1"/>
      <c r="H14" s="1"/>
      <c r="I14" s="1"/>
      <c r="J14" s="1"/>
      <c r="K14" s="1"/>
      <c r="L14" s="1"/>
      <c r="M14" s="1"/>
      <c r="N14" s="1"/>
      <c r="O14" s="1"/>
      <c r="P14" s="1"/>
      <c r="Q14" s="1"/>
      <c r="R14" s="1"/>
      <c r="S14" s="1"/>
      <c r="T14" s="1"/>
      <c r="U14" s="1"/>
      <c r="V14" s="1"/>
      <c r="W14" s="1"/>
      <c r="X14" s="1"/>
      <c r="Y14" s="1"/>
    </row>
    <row r="15" spans="1:25" ht="13" x14ac:dyDescent="0.25">
      <c r="A15" s="7" t="s">
        <v>6</v>
      </c>
      <c r="B15" s="8" t="s">
        <v>7</v>
      </c>
      <c r="C15" s="9" t="s">
        <v>18</v>
      </c>
      <c r="D15" s="8">
        <v>4</v>
      </c>
      <c r="E15" s="10">
        <v>27000</v>
      </c>
      <c r="F15" s="8">
        <f t="shared" si="0"/>
        <v>108000</v>
      </c>
      <c r="G15" s="1"/>
      <c r="H15" s="1"/>
      <c r="I15" s="1"/>
      <c r="J15" s="1"/>
      <c r="K15" s="1"/>
      <c r="L15" s="1"/>
      <c r="M15" s="1"/>
      <c r="N15" s="1"/>
      <c r="O15" s="1"/>
      <c r="P15" s="1"/>
      <c r="Q15" s="1"/>
      <c r="R15" s="1"/>
      <c r="S15" s="1"/>
      <c r="T15" s="1"/>
      <c r="U15" s="1"/>
      <c r="V15" s="1"/>
      <c r="W15" s="1"/>
      <c r="X15" s="1"/>
      <c r="Y15" s="1"/>
    </row>
    <row r="16" spans="1:25" ht="13" x14ac:dyDescent="0.25">
      <c r="A16" s="7"/>
      <c r="B16" s="8"/>
      <c r="C16" s="9"/>
      <c r="D16" s="8"/>
      <c r="E16" s="8"/>
      <c r="F16" s="8"/>
      <c r="G16" s="1"/>
      <c r="H16" s="1"/>
      <c r="I16" s="1"/>
      <c r="J16" s="1"/>
      <c r="K16" s="1"/>
      <c r="L16" s="1"/>
      <c r="M16" s="1"/>
      <c r="N16" s="1"/>
      <c r="O16" s="1"/>
      <c r="P16" s="1"/>
      <c r="Q16" s="1"/>
      <c r="R16" s="1"/>
      <c r="S16" s="1"/>
      <c r="T16" s="1"/>
      <c r="U16" s="1"/>
      <c r="V16" s="1"/>
      <c r="W16" s="1"/>
      <c r="X16" s="1"/>
      <c r="Y16" s="1"/>
    </row>
    <row r="17" spans="1:25" ht="13" x14ac:dyDescent="0.25">
      <c r="A17" s="7"/>
      <c r="B17" s="8"/>
      <c r="C17" s="9"/>
      <c r="D17" s="8"/>
      <c r="E17" s="8"/>
      <c r="F17" s="8"/>
      <c r="G17" s="1"/>
      <c r="H17" s="1"/>
      <c r="I17" s="1"/>
      <c r="J17" s="1"/>
      <c r="K17" s="1"/>
      <c r="L17" s="1"/>
      <c r="M17" s="1"/>
      <c r="N17" s="1"/>
      <c r="O17" s="1"/>
      <c r="P17" s="1"/>
      <c r="Q17" s="1"/>
      <c r="R17" s="1"/>
      <c r="S17" s="1"/>
      <c r="T17" s="1"/>
      <c r="U17" s="1"/>
      <c r="V17" s="1"/>
      <c r="W17" s="1"/>
      <c r="X17" s="1"/>
      <c r="Y17" s="1"/>
    </row>
    <row r="18" spans="1:25" ht="12.75" customHeight="1" x14ac:dyDescent="0.25">
      <c r="A18" s="1"/>
      <c r="B18" s="1"/>
      <c r="C18" s="1"/>
      <c r="D18" s="1"/>
      <c r="E18" s="1"/>
      <c r="F18" s="1"/>
      <c r="G18" s="1"/>
      <c r="H18" s="1"/>
      <c r="I18" s="1"/>
      <c r="J18" s="1"/>
      <c r="K18" s="1"/>
      <c r="L18" s="1"/>
      <c r="M18" s="1"/>
      <c r="N18" s="1"/>
      <c r="O18" s="1"/>
      <c r="P18" s="1"/>
      <c r="Q18" s="1"/>
      <c r="R18" s="1"/>
      <c r="S18" s="1"/>
      <c r="T18" s="1"/>
      <c r="U18" s="1"/>
      <c r="V18" s="1"/>
      <c r="W18" s="1"/>
      <c r="X18" s="1"/>
      <c r="Y18" s="1"/>
    </row>
    <row r="19" spans="1:25" ht="12.75" customHeight="1" x14ac:dyDescent="0.25">
      <c r="A19" s="1"/>
      <c r="B19" s="1"/>
      <c r="C19" s="1"/>
      <c r="D19" s="1"/>
      <c r="E19" s="1"/>
      <c r="F19" s="1"/>
      <c r="G19" s="1"/>
      <c r="H19" s="1"/>
      <c r="I19" s="1"/>
      <c r="J19" s="1"/>
      <c r="K19" s="1"/>
      <c r="L19" s="1"/>
      <c r="M19" s="1"/>
      <c r="N19" s="1"/>
      <c r="O19" s="1"/>
      <c r="P19" s="1"/>
      <c r="Q19" s="1"/>
      <c r="R19" s="1"/>
      <c r="S19" s="1"/>
      <c r="T19" s="1"/>
      <c r="U19" s="1"/>
      <c r="V19" s="1"/>
      <c r="W19" s="1"/>
      <c r="X19" s="1"/>
      <c r="Y19" s="1"/>
    </row>
    <row r="20" spans="1:25" ht="12.75" customHeight="1" x14ac:dyDescent="0.25">
      <c r="A20" s="1"/>
      <c r="B20" s="1"/>
      <c r="C20" s="1"/>
      <c r="D20" s="1"/>
      <c r="E20" s="1"/>
      <c r="F20" s="1"/>
      <c r="G20" s="1"/>
      <c r="H20" s="1"/>
      <c r="I20" s="1"/>
      <c r="J20" s="1"/>
      <c r="K20" s="1"/>
      <c r="L20" s="1"/>
      <c r="M20" s="1"/>
      <c r="N20" s="1"/>
      <c r="O20" s="1"/>
      <c r="P20" s="1"/>
      <c r="Q20" s="1"/>
      <c r="R20" s="1"/>
      <c r="S20" s="1"/>
      <c r="T20" s="1"/>
      <c r="U20" s="1"/>
      <c r="V20" s="1"/>
      <c r="W20" s="1"/>
      <c r="X20" s="1"/>
      <c r="Y20" s="1"/>
    </row>
    <row r="21" spans="1:25" ht="12.75" customHeight="1" x14ac:dyDescent="0.25">
      <c r="A21" s="1"/>
      <c r="B21" s="1"/>
      <c r="C21" s="1"/>
      <c r="D21" s="1"/>
      <c r="E21" s="1"/>
      <c r="F21" s="1"/>
      <c r="G21" s="1"/>
      <c r="H21" s="1"/>
      <c r="I21" s="1"/>
      <c r="J21" s="1"/>
      <c r="K21" s="1"/>
      <c r="L21" s="1"/>
      <c r="M21" s="1"/>
      <c r="N21" s="1"/>
      <c r="O21" s="1"/>
      <c r="P21" s="1"/>
      <c r="Q21" s="1"/>
      <c r="R21" s="1"/>
      <c r="S21" s="1"/>
      <c r="T21" s="1"/>
      <c r="U21" s="1"/>
      <c r="V21" s="1"/>
      <c r="W21" s="1"/>
      <c r="X21" s="1"/>
      <c r="Y21" s="1"/>
    </row>
    <row r="22" spans="1:25" ht="12.75" customHeight="1" x14ac:dyDescent="0.25">
      <c r="A22" s="1"/>
      <c r="B22" s="1"/>
      <c r="C22" s="1"/>
      <c r="D22" s="1"/>
      <c r="E22" s="1"/>
      <c r="F22" s="1"/>
      <c r="G22" s="1"/>
      <c r="H22" s="1"/>
      <c r="I22" s="1"/>
      <c r="J22" s="1"/>
      <c r="K22" s="1"/>
      <c r="L22" s="1"/>
      <c r="M22" s="1"/>
      <c r="N22" s="1"/>
      <c r="O22" s="1"/>
      <c r="P22" s="1"/>
      <c r="Q22" s="1"/>
      <c r="R22" s="1"/>
      <c r="S22" s="1"/>
      <c r="T22" s="1"/>
      <c r="U22" s="1"/>
      <c r="V22" s="1"/>
      <c r="W22" s="1"/>
      <c r="X22" s="1"/>
      <c r="Y22" s="1"/>
    </row>
    <row r="23" spans="1:25" ht="12.75" customHeight="1" x14ac:dyDescent="0.25">
      <c r="A23" s="1"/>
      <c r="B23" s="1"/>
      <c r="C23" s="1"/>
      <c r="D23" s="1"/>
      <c r="E23" s="1"/>
      <c r="F23" s="1"/>
      <c r="G23" s="1"/>
      <c r="H23" s="1"/>
      <c r="I23" s="1"/>
      <c r="J23" s="1"/>
      <c r="K23" s="1"/>
      <c r="L23" s="1"/>
      <c r="M23" s="1"/>
      <c r="N23" s="1"/>
      <c r="O23" s="1"/>
      <c r="P23" s="1"/>
      <c r="Q23" s="1"/>
      <c r="R23" s="1"/>
      <c r="S23" s="1"/>
      <c r="T23" s="1"/>
      <c r="U23" s="1"/>
      <c r="V23" s="1"/>
      <c r="W23" s="1"/>
      <c r="X23" s="1"/>
      <c r="Y23" s="1"/>
    </row>
    <row r="24" spans="1:25" ht="12.75" customHeight="1" x14ac:dyDescent="0.25">
      <c r="A24" s="1"/>
      <c r="B24" s="1"/>
      <c r="C24" s="1"/>
      <c r="D24" s="1"/>
      <c r="E24" s="1"/>
      <c r="F24" s="1"/>
      <c r="G24" s="1"/>
      <c r="H24" s="1"/>
      <c r="I24" s="1"/>
      <c r="J24" s="1"/>
      <c r="K24" s="1"/>
      <c r="L24" s="1"/>
      <c r="M24" s="1"/>
      <c r="N24" s="1"/>
      <c r="O24" s="1"/>
      <c r="P24" s="1"/>
      <c r="Q24" s="1"/>
      <c r="R24" s="1"/>
      <c r="S24" s="1"/>
      <c r="T24" s="1"/>
      <c r="U24" s="1"/>
      <c r="V24" s="1"/>
      <c r="W24" s="1"/>
      <c r="X24" s="1"/>
      <c r="Y24" s="1"/>
    </row>
    <row r="25" spans="1:25" ht="12.75" customHeight="1" x14ac:dyDescent="0.25">
      <c r="A25" s="1"/>
      <c r="B25" s="1"/>
      <c r="C25" s="1"/>
      <c r="D25" s="1"/>
      <c r="E25" s="1"/>
      <c r="F25" s="1"/>
      <c r="G25" s="1"/>
      <c r="H25" s="1"/>
      <c r="I25" s="1"/>
      <c r="J25" s="1"/>
      <c r="K25" s="1"/>
      <c r="L25" s="1"/>
      <c r="M25" s="1"/>
      <c r="N25" s="1"/>
      <c r="O25" s="1"/>
      <c r="P25" s="1"/>
      <c r="Q25" s="1"/>
      <c r="R25" s="1"/>
      <c r="S25" s="1"/>
      <c r="T25" s="1"/>
      <c r="U25" s="1"/>
      <c r="V25" s="1"/>
      <c r="W25" s="1"/>
      <c r="X25" s="1"/>
      <c r="Y25" s="1"/>
    </row>
    <row r="26" spans="1:25" ht="12.75" customHeight="1" x14ac:dyDescent="0.25">
      <c r="A26" s="1"/>
      <c r="B26" s="1"/>
      <c r="C26" s="1"/>
      <c r="D26" s="1"/>
      <c r="E26" s="1"/>
      <c r="F26" s="1"/>
      <c r="G26" s="1"/>
      <c r="H26" s="1"/>
      <c r="I26" s="1"/>
      <c r="J26" s="1"/>
      <c r="K26" s="1"/>
      <c r="L26" s="1"/>
      <c r="M26" s="1"/>
      <c r="N26" s="1"/>
      <c r="O26" s="1"/>
      <c r="P26" s="1"/>
      <c r="Q26" s="1"/>
      <c r="R26" s="1"/>
      <c r="S26" s="1"/>
      <c r="T26" s="1"/>
      <c r="U26" s="1"/>
      <c r="V26" s="1"/>
      <c r="W26" s="1"/>
      <c r="X26" s="1"/>
      <c r="Y26" s="1"/>
    </row>
    <row r="27" spans="1:25" ht="12.75" customHeight="1" x14ac:dyDescent="0.25">
      <c r="A27" s="1"/>
      <c r="B27" s="1"/>
      <c r="C27" s="1"/>
      <c r="D27" s="1"/>
      <c r="E27" s="1"/>
      <c r="F27" s="1"/>
      <c r="G27" s="1"/>
      <c r="H27" s="1"/>
      <c r="I27" s="1"/>
      <c r="J27" s="1"/>
      <c r="K27" s="1"/>
      <c r="L27" s="1"/>
      <c r="M27" s="1"/>
      <c r="N27" s="1"/>
      <c r="O27" s="1"/>
      <c r="P27" s="1"/>
      <c r="Q27" s="1"/>
      <c r="R27" s="1"/>
      <c r="S27" s="1"/>
      <c r="T27" s="1"/>
      <c r="U27" s="1"/>
      <c r="V27" s="1"/>
      <c r="W27" s="1"/>
      <c r="X27" s="1"/>
      <c r="Y27" s="1"/>
    </row>
    <row r="28" spans="1:25" ht="12.75" customHeight="1" x14ac:dyDescent="0.25">
      <c r="A28" s="1"/>
      <c r="B28" s="1"/>
      <c r="C28" s="1"/>
      <c r="D28" s="1"/>
      <c r="E28" s="1"/>
      <c r="F28" s="1"/>
      <c r="G28" s="1"/>
      <c r="H28" s="1"/>
      <c r="I28" s="1"/>
      <c r="J28" s="1"/>
      <c r="K28" s="1"/>
      <c r="L28" s="1"/>
      <c r="M28" s="1"/>
      <c r="N28" s="1"/>
      <c r="O28" s="1"/>
      <c r="P28" s="1"/>
      <c r="Q28" s="1"/>
      <c r="R28" s="1"/>
      <c r="S28" s="1"/>
      <c r="T28" s="1"/>
      <c r="U28" s="1"/>
      <c r="V28" s="1"/>
      <c r="W28" s="1"/>
      <c r="X28" s="1"/>
      <c r="Y28" s="1"/>
    </row>
    <row r="29" spans="1:25" ht="12.75" customHeight="1" x14ac:dyDescent="0.25">
      <c r="A29" s="1"/>
      <c r="B29" s="1"/>
      <c r="C29" s="1"/>
      <c r="D29" s="1"/>
      <c r="E29" s="1"/>
      <c r="F29" s="1"/>
      <c r="G29" s="1"/>
      <c r="H29" s="1"/>
      <c r="I29" s="1"/>
      <c r="J29" s="1"/>
      <c r="K29" s="1"/>
      <c r="L29" s="1"/>
      <c r="M29" s="1"/>
      <c r="N29" s="1"/>
      <c r="O29" s="1"/>
      <c r="P29" s="1"/>
      <c r="Q29" s="1"/>
      <c r="R29" s="1"/>
      <c r="S29" s="1"/>
      <c r="T29" s="1"/>
      <c r="U29" s="1"/>
      <c r="V29" s="1"/>
      <c r="W29" s="1"/>
      <c r="X29" s="1"/>
      <c r="Y29" s="1"/>
    </row>
    <row r="30" spans="1:25" ht="12.75" customHeight="1" x14ac:dyDescent="0.25">
      <c r="A30" s="1"/>
      <c r="B30" s="1"/>
      <c r="C30" s="1"/>
      <c r="D30" s="1"/>
      <c r="E30" s="1"/>
      <c r="F30" s="1"/>
      <c r="G30" s="1"/>
      <c r="H30" s="1"/>
      <c r="I30" s="1"/>
      <c r="J30" s="1"/>
      <c r="K30" s="1"/>
      <c r="L30" s="1"/>
      <c r="M30" s="1"/>
      <c r="N30" s="1"/>
      <c r="O30" s="1"/>
      <c r="P30" s="1"/>
      <c r="Q30" s="1"/>
      <c r="R30" s="1"/>
      <c r="S30" s="1"/>
      <c r="T30" s="1"/>
      <c r="U30" s="1"/>
      <c r="V30" s="1"/>
      <c r="W30" s="1"/>
      <c r="X30" s="1"/>
      <c r="Y30" s="1"/>
    </row>
    <row r="31" spans="1:25" ht="12.75" customHeight="1" x14ac:dyDescent="0.25">
      <c r="A31" s="1"/>
      <c r="B31" s="1"/>
      <c r="C31" s="1"/>
      <c r="D31" s="1"/>
      <c r="E31" s="1"/>
      <c r="F31" s="1"/>
      <c r="G31" s="1"/>
      <c r="H31" s="1"/>
      <c r="I31" s="1"/>
      <c r="J31" s="1"/>
      <c r="K31" s="1"/>
      <c r="L31" s="1"/>
      <c r="M31" s="1"/>
      <c r="N31" s="1"/>
      <c r="O31" s="1"/>
      <c r="P31" s="1"/>
      <c r="Q31" s="1"/>
      <c r="R31" s="1"/>
      <c r="S31" s="1"/>
      <c r="T31" s="1"/>
      <c r="U31" s="1"/>
      <c r="V31" s="1"/>
      <c r="W31" s="1"/>
      <c r="X31" s="1"/>
      <c r="Y31" s="1"/>
    </row>
    <row r="32" spans="1:25" ht="12.75" customHeight="1" x14ac:dyDescent="0.25">
      <c r="A32" s="1"/>
      <c r="B32" s="1"/>
      <c r="C32" s="1"/>
      <c r="D32" s="1"/>
      <c r="E32" s="1"/>
      <c r="F32" s="1"/>
      <c r="G32" s="1"/>
      <c r="H32" s="1"/>
      <c r="I32" s="1"/>
      <c r="J32" s="1"/>
      <c r="K32" s="1"/>
      <c r="L32" s="1"/>
      <c r="M32" s="1"/>
      <c r="N32" s="1"/>
      <c r="O32" s="1"/>
      <c r="P32" s="1"/>
      <c r="Q32" s="1"/>
      <c r="R32" s="1"/>
      <c r="S32" s="1"/>
      <c r="T32" s="1"/>
      <c r="U32" s="1"/>
      <c r="V32" s="1"/>
      <c r="W32" s="1"/>
      <c r="X32" s="1"/>
      <c r="Y32" s="1"/>
    </row>
    <row r="33" spans="1:25" ht="12.75" customHeight="1" x14ac:dyDescent="0.25">
      <c r="A33" s="1"/>
      <c r="B33" s="1"/>
      <c r="C33" s="1"/>
      <c r="D33" s="1"/>
      <c r="E33" s="1"/>
      <c r="F33" s="1"/>
      <c r="G33" s="1"/>
      <c r="H33" s="1"/>
      <c r="I33" s="1"/>
      <c r="J33" s="1"/>
      <c r="K33" s="1"/>
      <c r="L33" s="1"/>
      <c r="M33" s="1"/>
      <c r="N33" s="1"/>
      <c r="O33" s="1"/>
      <c r="P33" s="1"/>
      <c r="Q33" s="1"/>
      <c r="R33" s="1"/>
      <c r="S33" s="1"/>
      <c r="T33" s="1"/>
      <c r="U33" s="1"/>
      <c r="V33" s="1"/>
      <c r="W33" s="1"/>
      <c r="X33" s="1"/>
      <c r="Y33" s="1"/>
    </row>
    <row r="34" spans="1:25" ht="12.75" customHeight="1" x14ac:dyDescent="0.25">
      <c r="A34" s="1"/>
      <c r="B34" s="1"/>
      <c r="C34" s="1"/>
      <c r="D34" s="1"/>
      <c r="E34" s="1"/>
      <c r="F34" s="1"/>
      <c r="G34" s="1"/>
      <c r="H34" s="1"/>
      <c r="I34" s="1"/>
      <c r="J34" s="1"/>
      <c r="K34" s="1"/>
      <c r="L34" s="1"/>
      <c r="M34" s="1"/>
      <c r="N34" s="1"/>
      <c r="O34" s="1"/>
      <c r="P34" s="1"/>
      <c r="Q34" s="1"/>
      <c r="R34" s="1"/>
      <c r="S34" s="1"/>
      <c r="T34" s="1"/>
      <c r="U34" s="1"/>
      <c r="V34" s="1"/>
      <c r="W34" s="1"/>
      <c r="X34" s="1"/>
      <c r="Y34" s="1"/>
    </row>
    <row r="35" spans="1:25" ht="12.75" customHeight="1" x14ac:dyDescent="0.25">
      <c r="A35" s="1"/>
      <c r="B35" s="1"/>
      <c r="C35" s="1"/>
      <c r="D35" s="1"/>
      <c r="E35" s="1"/>
      <c r="F35" s="1"/>
      <c r="G35" s="1"/>
      <c r="H35" s="1"/>
      <c r="I35" s="1"/>
      <c r="J35" s="1"/>
      <c r="K35" s="1"/>
      <c r="L35" s="1"/>
      <c r="M35" s="1"/>
      <c r="N35" s="1"/>
      <c r="O35" s="1"/>
      <c r="P35" s="1"/>
      <c r="Q35" s="1"/>
      <c r="R35" s="1"/>
      <c r="S35" s="1"/>
      <c r="T35" s="1"/>
      <c r="U35" s="1"/>
      <c r="V35" s="1"/>
      <c r="W35" s="1"/>
      <c r="X35" s="1"/>
      <c r="Y35" s="1"/>
    </row>
    <row r="36" spans="1:25" ht="12.75" customHeight="1" x14ac:dyDescent="0.25">
      <c r="A36" s="1"/>
      <c r="B36" s="1"/>
      <c r="C36" s="1"/>
      <c r="D36" s="1"/>
      <c r="E36" s="1"/>
      <c r="F36" s="1"/>
      <c r="G36" s="1"/>
      <c r="H36" s="1"/>
      <c r="I36" s="1"/>
      <c r="J36" s="1"/>
      <c r="K36" s="1"/>
      <c r="L36" s="1"/>
      <c r="M36" s="1"/>
      <c r="N36" s="1"/>
      <c r="O36" s="1"/>
      <c r="P36" s="1"/>
      <c r="Q36" s="1"/>
      <c r="R36" s="1"/>
      <c r="S36" s="1"/>
      <c r="T36" s="1"/>
      <c r="U36" s="1"/>
      <c r="V36" s="1"/>
      <c r="W36" s="1"/>
      <c r="X36" s="1"/>
      <c r="Y36" s="1"/>
    </row>
    <row r="37" spans="1:25" ht="12.75" customHeight="1" x14ac:dyDescent="0.25">
      <c r="A37" s="1"/>
      <c r="B37" s="1"/>
      <c r="C37" s="1"/>
      <c r="D37" s="1"/>
      <c r="E37" s="1"/>
      <c r="F37" s="1"/>
      <c r="G37" s="1"/>
      <c r="H37" s="1"/>
      <c r="I37" s="1"/>
      <c r="J37" s="1"/>
      <c r="K37" s="1"/>
      <c r="L37" s="1"/>
      <c r="M37" s="1"/>
      <c r="N37" s="1"/>
      <c r="O37" s="1"/>
      <c r="P37" s="1"/>
      <c r="Q37" s="1"/>
      <c r="R37" s="1"/>
      <c r="S37" s="1"/>
      <c r="T37" s="1"/>
      <c r="U37" s="1"/>
      <c r="V37" s="1"/>
      <c r="W37" s="1"/>
      <c r="X37" s="1"/>
      <c r="Y37" s="1"/>
    </row>
    <row r="38" spans="1:25" ht="12.75" customHeight="1" x14ac:dyDescent="0.25">
      <c r="A38" s="1"/>
      <c r="B38" s="1"/>
      <c r="C38" s="1"/>
      <c r="D38" s="1"/>
      <c r="E38" s="1"/>
      <c r="F38" s="1"/>
      <c r="G38" s="1"/>
      <c r="H38" s="1"/>
      <c r="I38" s="1"/>
      <c r="J38" s="1"/>
      <c r="K38" s="1"/>
      <c r="L38" s="1"/>
      <c r="M38" s="1"/>
      <c r="N38" s="1"/>
      <c r="O38" s="1"/>
      <c r="P38" s="1"/>
      <c r="Q38" s="1"/>
      <c r="R38" s="1"/>
      <c r="S38" s="1"/>
      <c r="T38" s="1"/>
      <c r="U38" s="1"/>
      <c r="V38" s="1"/>
      <c r="W38" s="1"/>
      <c r="X38" s="1"/>
      <c r="Y38" s="1"/>
    </row>
    <row r="39" spans="1:25" ht="12.75" customHeight="1" x14ac:dyDescent="0.25">
      <c r="A39" s="1"/>
      <c r="B39" s="1"/>
      <c r="C39" s="1"/>
      <c r="D39" s="1"/>
      <c r="E39" s="1"/>
      <c r="F39" s="1"/>
      <c r="G39" s="1"/>
      <c r="H39" s="1"/>
      <c r="I39" s="1"/>
      <c r="J39" s="1"/>
      <c r="K39" s="1"/>
      <c r="L39" s="1"/>
      <c r="M39" s="1"/>
      <c r="N39" s="1"/>
      <c r="O39" s="1"/>
      <c r="P39" s="1"/>
      <c r="Q39" s="1"/>
      <c r="R39" s="1"/>
      <c r="S39" s="1"/>
      <c r="T39" s="1"/>
      <c r="U39" s="1"/>
      <c r="V39" s="1"/>
      <c r="W39" s="1"/>
      <c r="X39" s="1"/>
      <c r="Y39" s="1"/>
    </row>
    <row r="40" spans="1:25" ht="12.75" customHeight="1" x14ac:dyDescent="0.25">
      <c r="A40" s="1"/>
      <c r="B40" s="1"/>
      <c r="C40" s="1"/>
      <c r="D40" s="1"/>
      <c r="E40" s="1"/>
      <c r="F40" s="1"/>
      <c r="G40" s="1"/>
      <c r="H40" s="1"/>
      <c r="I40" s="1"/>
      <c r="J40" s="1"/>
      <c r="K40" s="1"/>
      <c r="L40" s="1"/>
      <c r="M40" s="1"/>
      <c r="N40" s="1"/>
      <c r="O40" s="1"/>
      <c r="P40" s="1"/>
      <c r="Q40" s="1"/>
      <c r="R40" s="1"/>
      <c r="S40" s="1"/>
      <c r="T40" s="1"/>
      <c r="U40" s="1"/>
      <c r="V40" s="1"/>
      <c r="W40" s="1"/>
      <c r="X40" s="1"/>
      <c r="Y40" s="1"/>
    </row>
    <row r="41" spans="1:25" ht="12.75" customHeight="1" x14ac:dyDescent="0.25">
      <c r="A41" s="1"/>
      <c r="B41" s="1"/>
      <c r="C41" s="1"/>
      <c r="D41" s="1"/>
      <c r="E41" s="1"/>
      <c r="F41" s="1"/>
      <c r="G41" s="1"/>
      <c r="H41" s="1"/>
      <c r="I41" s="1"/>
      <c r="J41" s="1"/>
      <c r="K41" s="1"/>
      <c r="L41" s="1"/>
      <c r="M41" s="1"/>
      <c r="N41" s="1"/>
      <c r="O41" s="1"/>
      <c r="P41" s="1"/>
      <c r="Q41" s="1"/>
      <c r="R41" s="1"/>
      <c r="S41" s="1"/>
      <c r="T41" s="1"/>
      <c r="U41" s="1"/>
      <c r="V41" s="1"/>
      <c r="W41" s="1"/>
      <c r="X41" s="1"/>
      <c r="Y41" s="1"/>
    </row>
    <row r="42" spans="1:25" ht="12.75" customHeight="1" x14ac:dyDescent="0.25">
      <c r="A42" s="1"/>
      <c r="B42" s="1"/>
      <c r="C42" s="1"/>
      <c r="D42" s="1"/>
      <c r="E42" s="1"/>
      <c r="F42" s="1"/>
      <c r="G42" s="1"/>
      <c r="H42" s="1"/>
      <c r="I42" s="1"/>
      <c r="J42" s="1"/>
      <c r="K42" s="1"/>
      <c r="L42" s="1"/>
      <c r="M42" s="1"/>
      <c r="N42" s="1"/>
      <c r="O42" s="1"/>
      <c r="P42" s="1"/>
      <c r="Q42" s="1"/>
      <c r="R42" s="1"/>
      <c r="S42" s="1"/>
      <c r="T42" s="1"/>
      <c r="U42" s="1"/>
      <c r="V42" s="1"/>
      <c r="W42" s="1"/>
      <c r="X42" s="1"/>
      <c r="Y42" s="1"/>
    </row>
    <row r="43" spans="1:25" ht="12.75" customHeight="1" x14ac:dyDescent="0.25">
      <c r="A43" s="1"/>
      <c r="B43" s="1"/>
      <c r="C43" s="1"/>
      <c r="D43" s="1"/>
      <c r="E43" s="1"/>
      <c r="F43" s="1"/>
      <c r="G43" s="1"/>
      <c r="H43" s="1"/>
      <c r="I43" s="1"/>
      <c r="J43" s="1"/>
      <c r="K43" s="1"/>
      <c r="L43" s="1"/>
      <c r="M43" s="1"/>
      <c r="N43" s="1"/>
      <c r="O43" s="1"/>
      <c r="P43" s="1"/>
      <c r="Q43" s="1"/>
      <c r="R43" s="1"/>
      <c r="S43" s="1"/>
      <c r="T43" s="1"/>
      <c r="U43" s="1"/>
      <c r="V43" s="1"/>
      <c r="W43" s="1"/>
      <c r="X43" s="1"/>
      <c r="Y43" s="1"/>
    </row>
    <row r="44" spans="1:25" ht="12.75" customHeight="1" x14ac:dyDescent="0.25">
      <c r="A44" s="1"/>
      <c r="B44" s="1"/>
      <c r="C44" s="1"/>
      <c r="D44" s="1"/>
      <c r="E44" s="1"/>
      <c r="F44" s="1"/>
      <c r="G44" s="1"/>
      <c r="H44" s="1"/>
      <c r="I44" s="1"/>
      <c r="J44" s="1"/>
      <c r="K44" s="1"/>
      <c r="L44" s="1"/>
      <c r="M44" s="1"/>
      <c r="N44" s="1"/>
      <c r="O44" s="1"/>
      <c r="P44" s="1"/>
      <c r="Q44" s="1"/>
      <c r="R44" s="1"/>
      <c r="S44" s="1"/>
      <c r="T44" s="1"/>
      <c r="U44" s="1"/>
      <c r="V44" s="1"/>
      <c r="W44" s="1"/>
      <c r="X44" s="1"/>
      <c r="Y44" s="1"/>
    </row>
    <row r="45" spans="1:25" ht="12.75" customHeight="1" x14ac:dyDescent="0.25">
      <c r="A45" s="1"/>
      <c r="B45" s="1"/>
      <c r="C45" s="1"/>
      <c r="D45" s="1"/>
      <c r="E45" s="1"/>
      <c r="F45" s="1"/>
      <c r="G45" s="1"/>
      <c r="H45" s="1"/>
      <c r="I45" s="1"/>
      <c r="J45" s="1"/>
      <c r="K45" s="1"/>
      <c r="L45" s="1"/>
      <c r="M45" s="1"/>
      <c r="N45" s="1"/>
      <c r="O45" s="1"/>
      <c r="P45" s="1"/>
      <c r="Q45" s="1"/>
      <c r="R45" s="1"/>
      <c r="S45" s="1"/>
      <c r="T45" s="1"/>
      <c r="U45" s="1"/>
      <c r="V45" s="1"/>
      <c r="W45" s="1"/>
      <c r="X45" s="1"/>
      <c r="Y45" s="1"/>
    </row>
    <row r="46" spans="1:25" ht="12.75" customHeight="1" x14ac:dyDescent="0.25">
      <c r="A46" s="1"/>
      <c r="B46" s="1"/>
      <c r="C46" s="1"/>
      <c r="D46" s="1"/>
      <c r="E46" s="1"/>
      <c r="F46" s="1"/>
      <c r="G46" s="1"/>
      <c r="H46" s="1"/>
      <c r="I46" s="1"/>
      <c r="J46" s="1"/>
      <c r="K46" s="1"/>
      <c r="L46" s="1"/>
      <c r="M46" s="1"/>
      <c r="N46" s="1"/>
      <c r="O46" s="1"/>
      <c r="P46" s="1"/>
      <c r="Q46" s="1"/>
      <c r="R46" s="1"/>
      <c r="S46" s="1"/>
      <c r="T46" s="1"/>
      <c r="U46" s="1"/>
      <c r="V46" s="1"/>
      <c r="W46" s="1"/>
      <c r="X46" s="1"/>
      <c r="Y46" s="1"/>
    </row>
    <row r="47" spans="1:25" ht="12.75" customHeight="1" x14ac:dyDescent="0.25">
      <c r="A47" s="1"/>
      <c r="B47" s="1"/>
      <c r="C47" s="1"/>
      <c r="D47" s="1"/>
      <c r="E47" s="1"/>
      <c r="F47" s="1"/>
      <c r="G47" s="1"/>
      <c r="H47" s="1"/>
      <c r="I47" s="1"/>
      <c r="J47" s="1"/>
      <c r="K47" s="1"/>
      <c r="L47" s="1"/>
      <c r="M47" s="1"/>
      <c r="N47" s="1"/>
      <c r="O47" s="1"/>
      <c r="P47" s="1"/>
      <c r="Q47" s="1"/>
      <c r="R47" s="1"/>
      <c r="S47" s="1"/>
      <c r="T47" s="1"/>
      <c r="U47" s="1"/>
      <c r="V47" s="1"/>
      <c r="W47" s="1"/>
      <c r="X47" s="1"/>
      <c r="Y47" s="1"/>
    </row>
    <row r="48" spans="1:25" ht="12.75" customHeight="1" x14ac:dyDescent="0.25">
      <c r="A48" s="1"/>
      <c r="B48" s="1"/>
      <c r="C48" s="1"/>
      <c r="D48" s="1"/>
      <c r="E48" s="1"/>
      <c r="F48" s="1"/>
      <c r="G48" s="1"/>
      <c r="H48" s="1"/>
      <c r="I48" s="1"/>
      <c r="J48" s="1"/>
      <c r="K48" s="1"/>
      <c r="L48" s="1"/>
      <c r="M48" s="1"/>
      <c r="N48" s="1"/>
      <c r="O48" s="1"/>
      <c r="P48" s="1"/>
      <c r="Q48" s="1"/>
      <c r="R48" s="1"/>
      <c r="S48" s="1"/>
      <c r="T48" s="1"/>
      <c r="U48" s="1"/>
      <c r="V48" s="1"/>
      <c r="W48" s="1"/>
      <c r="X48" s="1"/>
      <c r="Y48" s="1"/>
    </row>
    <row r="49" spans="1:25" ht="12.75" customHeight="1" x14ac:dyDescent="0.25">
      <c r="A49" s="1"/>
      <c r="B49" s="1"/>
      <c r="C49" s="1"/>
      <c r="D49" s="1"/>
      <c r="E49" s="1"/>
      <c r="F49" s="1"/>
      <c r="G49" s="1"/>
      <c r="H49" s="1"/>
      <c r="I49" s="1"/>
      <c r="J49" s="1"/>
      <c r="K49" s="1"/>
      <c r="L49" s="1"/>
      <c r="M49" s="1"/>
      <c r="N49" s="1"/>
      <c r="O49" s="1"/>
      <c r="P49" s="1"/>
      <c r="Q49" s="1"/>
      <c r="R49" s="1"/>
      <c r="S49" s="1"/>
      <c r="T49" s="1"/>
      <c r="U49" s="1"/>
      <c r="V49" s="1"/>
      <c r="W49" s="1"/>
      <c r="X49" s="1"/>
      <c r="Y49" s="1"/>
    </row>
    <row r="50" spans="1:25" ht="12.75" customHeight="1" x14ac:dyDescent="0.25">
      <c r="A50" s="1"/>
      <c r="B50" s="1"/>
      <c r="C50" s="1"/>
      <c r="D50" s="1"/>
      <c r="E50" s="1"/>
      <c r="F50" s="1"/>
      <c r="G50" s="1"/>
      <c r="H50" s="1"/>
      <c r="I50" s="1"/>
      <c r="J50" s="1"/>
      <c r="K50" s="1"/>
      <c r="L50" s="1"/>
      <c r="M50" s="1"/>
      <c r="N50" s="1"/>
      <c r="O50" s="1"/>
      <c r="P50" s="1"/>
      <c r="Q50" s="1"/>
      <c r="R50" s="1"/>
      <c r="S50" s="1"/>
      <c r="T50" s="1"/>
      <c r="U50" s="1"/>
      <c r="V50" s="1"/>
      <c r="W50" s="1"/>
      <c r="X50" s="1"/>
      <c r="Y50" s="1"/>
    </row>
    <row r="51" spans="1:25" ht="12.75" customHeight="1" x14ac:dyDescent="0.25">
      <c r="A51" s="1"/>
      <c r="B51" s="1"/>
      <c r="C51" s="1"/>
      <c r="D51" s="1"/>
      <c r="E51" s="1"/>
      <c r="F51" s="1"/>
      <c r="G51" s="1"/>
      <c r="H51" s="1"/>
      <c r="I51" s="1"/>
      <c r="J51" s="1"/>
      <c r="K51" s="1"/>
      <c r="L51" s="1"/>
      <c r="M51" s="1"/>
      <c r="N51" s="1"/>
      <c r="O51" s="1"/>
      <c r="P51" s="1"/>
      <c r="Q51" s="1"/>
      <c r="R51" s="1"/>
      <c r="S51" s="1"/>
      <c r="T51" s="1"/>
      <c r="U51" s="1"/>
      <c r="V51" s="1"/>
      <c r="W51" s="1"/>
      <c r="X51" s="1"/>
      <c r="Y51" s="1"/>
    </row>
    <row r="52" spans="1:25" ht="12.75" customHeight="1" x14ac:dyDescent="0.25">
      <c r="A52" s="1"/>
      <c r="B52" s="1"/>
      <c r="C52" s="1"/>
      <c r="D52" s="1"/>
      <c r="E52" s="1"/>
      <c r="F52" s="1"/>
      <c r="G52" s="1"/>
      <c r="H52" s="1"/>
      <c r="I52" s="1"/>
      <c r="J52" s="1"/>
      <c r="K52" s="1"/>
      <c r="L52" s="1"/>
      <c r="M52" s="1"/>
      <c r="N52" s="1"/>
      <c r="O52" s="1"/>
      <c r="P52" s="1"/>
      <c r="Q52" s="1"/>
      <c r="R52" s="1"/>
      <c r="S52" s="1"/>
      <c r="T52" s="1"/>
      <c r="U52" s="1"/>
      <c r="V52" s="1"/>
      <c r="W52" s="1"/>
      <c r="X52" s="1"/>
      <c r="Y52" s="1"/>
    </row>
    <row r="53" spans="1:25" ht="12.75" customHeight="1" x14ac:dyDescent="0.25">
      <c r="A53" s="1"/>
      <c r="B53" s="1"/>
      <c r="C53" s="1"/>
      <c r="D53" s="1"/>
      <c r="E53" s="1"/>
      <c r="F53" s="1"/>
      <c r="G53" s="1"/>
      <c r="H53" s="1"/>
      <c r="I53" s="1"/>
      <c r="J53" s="1"/>
      <c r="K53" s="1"/>
      <c r="L53" s="1"/>
      <c r="M53" s="1"/>
      <c r="N53" s="1"/>
      <c r="O53" s="1"/>
      <c r="P53" s="1"/>
      <c r="Q53" s="1"/>
      <c r="R53" s="1"/>
      <c r="S53" s="1"/>
      <c r="T53" s="1"/>
      <c r="U53" s="1"/>
      <c r="V53" s="1"/>
      <c r="W53" s="1"/>
      <c r="X53" s="1"/>
      <c r="Y53" s="1"/>
    </row>
    <row r="54" spans="1:25" ht="12.75" customHeight="1" x14ac:dyDescent="0.25">
      <c r="A54" s="1"/>
      <c r="B54" s="1"/>
      <c r="C54" s="1"/>
      <c r="D54" s="1"/>
      <c r="E54" s="1"/>
      <c r="F54" s="1"/>
      <c r="G54" s="1"/>
      <c r="H54" s="1"/>
      <c r="I54" s="1"/>
      <c r="J54" s="1"/>
      <c r="K54" s="1"/>
      <c r="L54" s="1"/>
      <c r="M54" s="1"/>
      <c r="N54" s="1"/>
      <c r="O54" s="1"/>
      <c r="P54" s="1"/>
      <c r="Q54" s="1"/>
      <c r="R54" s="1"/>
      <c r="S54" s="1"/>
      <c r="T54" s="1"/>
      <c r="U54" s="1"/>
      <c r="V54" s="1"/>
      <c r="W54" s="1"/>
      <c r="X54" s="1"/>
      <c r="Y54" s="1"/>
    </row>
    <row r="55" spans="1:25" ht="12.75" customHeight="1" x14ac:dyDescent="0.25">
      <c r="A55" s="1"/>
      <c r="B55" s="1"/>
      <c r="C55" s="1"/>
      <c r="D55" s="1"/>
      <c r="E55" s="1"/>
      <c r="F55" s="1"/>
      <c r="G55" s="1"/>
      <c r="H55" s="1"/>
      <c r="I55" s="1"/>
      <c r="J55" s="1"/>
      <c r="K55" s="1"/>
      <c r="L55" s="1"/>
      <c r="M55" s="1"/>
      <c r="N55" s="1"/>
      <c r="O55" s="1"/>
      <c r="P55" s="1"/>
      <c r="Q55" s="1"/>
      <c r="R55" s="1"/>
      <c r="S55" s="1"/>
      <c r="T55" s="1"/>
      <c r="U55" s="1"/>
      <c r="V55" s="1"/>
      <c r="W55" s="1"/>
      <c r="X55" s="1"/>
      <c r="Y55" s="1"/>
    </row>
    <row r="56" spans="1:25" ht="12.75" customHeight="1" x14ac:dyDescent="0.25">
      <c r="A56" s="1"/>
      <c r="B56" s="1"/>
      <c r="C56" s="1"/>
      <c r="D56" s="1"/>
      <c r="E56" s="1"/>
      <c r="F56" s="1"/>
      <c r="G56" s="1"/>
      <c r="H56" s="1"/>
      <c r="I56" s="1"/>
      <c r="J56" s="1"/>
      <c r="K56" s="1"/>
      <c r="L56" s="1"/>
      <c r="M56" s="1"/>
      <c r="N56" s="1"/>
      <c r="O56" s="1"/>
      <c r="P56" s="1"/>
      <c r="Q56" s="1"/>
      <c r="R56" s="1"/>
      <c r="S56" s="1"/>
      <c r="T56" s="1"/>
      <c r="U56" s="1"/>
      <c r="V56" s="1"/>
      <c r="W56" s="1"/>
      <c r="X56" s="1"/>
      <c r="Y56" s="1"/>
    </row>
    <row r="57" spans="1:25" ht="12.75" customHeight="1" x14ac:dyDescent="0.25">
      <c r="A57" s="1"/>
      <c r="B57" s="1"/>
      <c r="C57" s="1"/>
      <c r="D57" s="1"/>
      <c r="E57" s="1"/>
      <c r="F57" s="1"/>
      <c r="G57" s="1"/>
      <c r="H57" s="1"/>
      <c r="I57" s="1"/>
      <c r="J57" s="1"/>
      <c r="K57" s="1"/>
      <c r="L57" s="1"/>
      <c r="M57" s="1"/>
      <c r="N57" s="1"/>
      <c r="O57" s="1"/>
      <c r="P57" s="1"/>
      <c r="Q57" s="1"/>
      <c r="R57" s="1"/>
      <c r="S57" s="1"/>
      <c r="T57" s="1"/>
      <c r="U57" s="1"/>
      <c r="V57" s="1"/>
      <c r="W57" s="1"/>
      <c r="X57" s="1"/>
      <c r="Y57" s="1"/>
    </row>
    <row r="58" spans="1:25" ht="12.75" customHeight="1" x14ac:dyDescent="0.25">
      <c r="A58" s="1"/>
      <c r="B58" s="1"/>
      <c r="C58" s="1"/>
      <c r="D58" s="1"/>
      <c r="E58" s="1"/>
      <c r="F58" s="1"/>
      <c r="G58" s="1"/>
      <c r="H58" s="1"/>
      <c r="I58" s="1"/>
      <c r="J58" s="1"/>
      <c r="K58" s="1"/>
      <c r="L58" s="1"/>
      <c r="M58" s="1"/>
      <c r="N58" s="1"/>
      <c r="O58" s="1"/>
      <c r="P58" s="1"/>
      <c r="Q58" s="1"/>
      <c r="R58" s="1"/>
      <c r="S58" s="1"/>
      <c r="T58" s="1"/>
      <c r="U58" s="1"/>
      <c r="V58" s="1"/>
      <c r="W58" s="1"/>
      <c r="X58" s="1"/>
      <c r="Y58" s="1"/>
    </row>
    <row r="59" spans="1:25" ht="12.75" customHeight="1" x14ac:dyDescent="0.25">
      <c r="A59" s="1"/>
      <c r="B59" s="1"/>
      <c r="C59" s="1"/>
      <c r="D59" s="1"/>
      <c r="E59" s="1"/>
      <c r="F59" s="1"/>
      <c r="G59" s="1"/>
      <c r="H59" s="1"/>
      <c r="I59" s="1"/>
      <c r="J59" s="1"/>
      <c r="K59" s="1"/>
      <c r="L59" s="1"/>
      <c r="M59" s="1"/>
      <c r="N59" s="1"/>
      <c r="O59" s="1"/>
      <c r="P59" s="1"/>
      <c r="Q59" s="1"/>
      <c r="R59" s="1"/>
      <c r="S59" s="1"/>
      <c r="T59" s="1"/>
      <c r="U59" s="1"/>
      <c r="V59" s="1"/>
      <c r="W59" s="1"/>
      <c r="X59" s="1"/>
      <c r="Y59" s="1"/>
    </row>
    <row r="60" spans="1:25" ht="12.75" customHeight="1" x14ac:dyDescent="0.25">
      <c r="A60" s="1"/>
      <c r="B60" s="1"/>
      <c r="C60" s="1"/>
      <c r="D60" s="1"/>
      <c r="E60" s="1"/>
      <c r="F60" s="1"/>
      <c r="G60" s="1"/>
      <c r="H60" s="1"/>
      <c r="I60" s="1"/>
      <c r="J60" s="1"/>
      <c r="K60" s="1"/>
      <c r="L60" s="1"/>
      <c r="M60" s="1"/>
      <c r="N60" s="1"/>
      <c r="O60" s="1"/>
      <c r="P60" s="1"/>
      <c r="Q60" s="1"/>
      <c r="R60" s="1"/>
      <c r="S60" s="1"/>
      <c r="T60" s="1"/>
      <c r="U60" s="1"/>
      <c r="V60" s="1"/>
      <c r="W60" s="1"/>
      <c r="X60" s="1"/>
      <c r="Y60" s="1"/>
    </row>
    <row r="61" spans="1:25" ht="12.75" customHeight="1" x14ac:dyDescent="0.25">
      <c r="A61" s="1"/>
      <c r="B61" s="1"/>
      <c r="C61" s="1"/>
      <c r="D61" s="1"/>
      <c r="E61" s="1"/>
      <c r="F61" s="1"/>
      <c r="G61" s="1"/>
      <c r="H61" s="1"/>
      <c r="I61" s="1"/>
      <c r="J61" s="1"/>
      <c r="K61" s="1"/>
      <c r="L61" s="1"/>
      <c r="M61" s="1"/>
      <c r="N61" s="1"/>
      <c r="O61" s="1"/>
      <c r="P61" s="1"/>
      <c r="Q61" s="1"/>
      <c r="R61" s="1"/>
      <c r="S61" s="1"/>
      <c r="T61" s="1"/>
      <c r="U61" s="1"/>
      <c r="V61" s="1"/>
      <c r="W61" s="1"/>
      <c r="X61" s="1"/>
      <c r="Y61" s="1"/>
    </row>
    <row r="62" spans="1:25" ht="12.75" customHeight="1" x14ac:dyDescent="0.25">
      <c r="A62" s="1"/>
      <c r="B62" s="1"/>
      <c r="C62" s="1"/>
      <c r="D62" s="1"/>
      <c r="E62" s="1"/>
      <c r="F62" s="1"/>
      <c r="G62" s="1"/>
      <c r="H62" s="1"/>
      <c r="I62" s="1"/>
      <c r="J62" s="1"/>
      <c r="K62" s="1"/>
      <c r="L62" s="1"/>
      <c r="M62" s="1"/>
      <c r="N62" s="1"/>
      <c r="O62" s="1"/>
      <c r="P62" s="1"/>
      <c r="Q62" s="1"/>
      <c r="R62" s="1"/>
      <c r="S62" s="1"/>
      <c r="T62" s="1"/>
      <c r="U62" s="1"/>
      <c r="V62" s="1"/>
      <c r="W62" s="1"/>
      <c r="X62" s="1"/>
      <c r="Y62" s="1"/>
    </row>
    <row r="63" spans="1:25" ht="12.75" customHeight="1" x14ac:dyDescent="0.25">
      <c r="A63" s="1"/>
      <c r="B63" s="1"/>
      <c r="C63" s="1"/>
      <c r="D63" s="1"/>
      <c r="E63" s="1"/>
      <c r="F63" s="1"/>
      <c r="G63" s="1"/>
      <c r="H63" s="1"/>
      <c r="I63" s="1"/>
      <c r="J63" s="1"/>
      <c r="K63" s="1"/>
      <c r="L63" s="1"/>
      <c r="M63" s="1"/>
      <c r="N63" s="1"/>
      <c r="O63" s="1"/>
      <c r="P63" s="1"/>
      <c r="Q63" s="1"/>
      <c r="R63" s="1"/>
      <c r="S63" s="1"/>
      <c r="T63" s="1"/>
      <c r="U63" s="1"/>
      <c r="V63" s="1"/>
      <c r="W63" s="1"/>
      <c r="X63" s="1"/>
      <c r="Y63" s="1"/>
    </row>
    <row r="64" spans="1:25" ht="12.75" customHeight="1" x14ac:dyDescent="0.25">
      <c r="A64" s="1"/>
      <c r="B64" s="1"/>
      <c r="C64" s="1"/>
      <c r="D64" s="1"/>
      <c r="E64" s="1"/>
      <c r="F64" s="1"/>
      <c r="G64" s="1"/>
      <c r="H64" s="1"/>
      <c r="I64" s="1"/>
      <c r="J64" s="1"/>
      <c r="K64" s="1"/>
      <c r="L64" s="1"/>
      <c r="M64" s="1"/>
      <c r="N64" s="1"/>
      <c r="O64" s="1"/>
      <c r="P64" s="1"/>
      <c r="Q64" s="1"/>
      <c r="R64" s="1"/>
      <c r="S64" s="1"/>
      <c r="T64" s="1"/>
      <c r="U64" s="1"/>
      <c r="V64" s="1"/>
      <c r="W64" s="1"/>
      <c r="X64" s="1"/>
      <c r="Y64" s="1"/>
    </row>
    <row r="65" spans="1:25" ht="12.75" customHeight="1" x14ac:dyDescent="0.25">
      <c r="A65" s="1"/>
      <c r="B65" s="1"/>
      <c r="C65" s="1"/>
      <c r="D65" s="1"/>
      <c r="E65" s="1"/>
      <c r="F65" s="1"/>
      <c r="G65" s="1"/>
      <c r="H65" s="1"/>
      <c r="I65" s="1"/>
      <c r="J65" s="1"/>
      <c r="K65" s="1"/>
      <c r="L65" s="1"/>
      <c r="M65" s="1"/>
      <c r="N65" s="1"/>
      <c r="O65" s="1"/>
      <c r="P65" s="1"/>
      <c r="Q65" s="1"/>
      <c r="R65" s="1"/>
      <c r="S65" s="1"/>
      <c r="T65" s="1"/>
      <c r="U65" s="1"/>
      <c r="V65" s="1"/>
      <c r="W65" s="1"/>
      <c r="X65" s="1"/>
      <c r="Y65" s="1"/>
    </row>
    <row r="66" spans="1:25" ht="12.75" customHeight="1" x14ac:dyDescent="0.25">
      <c r="A66" s="1"/>
      <c r="B66" s="1"/>
      <c r="C66" s="1"/>
      <c r="D66" s="1"/>
      <c r="E66" s="1"/>
      <c r="F66" s="1"/>
      <c r="G66" s="1"/>
      <c r="H66" s="1"/>
      <c r="I66" s="1"/>
      <c r="J66" s="1"/>
      <c r="K66" s="1"/>
      <c r="L66" s="1"/>
      <c r="M66" s="1"/>
      <c r="N66" s="1"/>
      <c r="O66" s="1"/>
      <c r="P66" s="1"/>
      <c r="Q66" s="1"/>
      <c r="R66" s="1"/>
      <c r="S66" s="1"/>
      <c r="T66" s="1"/>
      <c r="U66" s="1"/>
      <c r="V66" s="1"/>
      <c r="W66" s="1"/>
      <c r="X66" s="1"/>
      <c r="Y66" s="1"/>
    </row>
    <row r="67" spans="1:25" ht="12.75" customHeight="1" x14ac:dyDescent="0.25">
      <c r="A67" s="1"/>
      <c r="B67" s="1"/>
      <c r="C67" s="1"/>
      <c r="D67" s="1"/>
      <c r="E67" s="1"/>
      <c r="F67" s="1"/>
      <c r="G67" s="1"/>
      <c r="H67" s="1"/>
      <c r="I67" s="1"/>
      <c r="J67" s="1"/>
      <c r="K67" s="1"/>
      <c r="L67" s="1"/>
      <c r="M67" s="1"/>
      <c r="N67" s="1"/>
      <c r="O67" s="1"/>
      <c r="P67" s="1"/>
      <c r="Q67" s="1"/>
      <c r="R67" s="1"/>
      <c r="S67" s="1"/>
      <c r="T67" s="1"/>
      <c r="U67" s="1"/>
      <c r="V67" s="1"/>
      <c r="W67" s="1"/>
      <c r="X67" s="1"/>
      <c r="Y67" s="1"/>
    </row>
    <row r="68" spans="1:25" ht="12.75" customHeight="1" x14ac:dyDescent="0.25">
      <c r="A68" s="1"/>
      <c r="B68" s="1"/>
      <c r="C68" s="1"/>
      <c r="D68" s="1"/>
      <c r="E68" s="1"/>
      <c r="F68" s="1"/>
      <c r="G68" s="1"/>
      <c r="H68" s="1"/>
      <c r="I68" s="1"/>
      <c r="J68" s="1"/>
      <c r="K68" s="1"/>
      <c r="L68" s="1"/>
      <c r="M68" s="1"/>
      <c r="N68" s="1"/>
      <c r="O68" s="1"/>
      <c r="P68" s="1"/>
      <c r="Q68" s="1"/>
      <c r="R68" s="1"/>
      <c r="S68" s="1"/>
      <c r="T68" s="1"/>
      <c r="U68" s="1"/>
      <c r="V68" s="1"/>
      <c r="W68" s="1"/>
      <c r="X68" s="1"/>
      <c r="Y68" s="1"/>
    </row>
    <row r="69" spans="1:25" ht="12.75" customHeight="1" x14ac:dyDescent="0.25">
      <c r="A69" s="1"/>
      <c r="B69" s="1"/>
      <c r="C69" s="1"/>
      <c r="D69" s="1"/>
      <c r="E69" s="1"/>
      <c r="F69" s="1"/>
      <c r="G69" s="1"/>
      <c r="H69" s="1"/>
      <c r="I69" s="1"/>
      <c r="J69" s="1"/>
      <c r="K69" s="1"/>
      <c r="L69" s="1"/>
      <c r="M69" s="1"/>
      <c r="N69" s="1"/>
      <c r="O69" s="1"/>
      <c r="P69" s="1"/>
      <c r="Q69" s="1"/>
      <c r="R69" s="1"/>
      <c r="S69" s="1"/>
      <c r="T69" s="1"/>
      <c r="U69" s="1"/>
      <c r="V69" s="1"/>
      <c r="W69" s="1"/>
      <c r="X69" s="1"/>
      <c r="Y69" s="1"/>
    </row>
    <row r="70" spans="1:25" ht="12.75" customHeight="1" x14ac:dyDescent="0.25">
      <c r="A70" s="1"/>
      <c r="B70" s="1"/>
      <c r="C70" s="1"/>
      <c r="D70" s="1"/>
      <c r="E70" s="1"/>
      <c r="F70" s="1"/>
      <c r="G70" s="1"/>
      <c r="H70" s="1"/>
      <c r="I70" s="1"/>
      <c r="J70" s="1"/>
      <c r="K70" s="1"/>
      <c r="L70" s="1"/>
      <c r="M70" s="1"/>
      <c r="N70" s="1"/>
      <c r="O70" s="1"/>
      <c r="P70" s="1"/>
      <c r="Q70" s="1"/>
      <c r="R70" s="1"/>
      <c r="S70" s="1"/>
      <c r="T70" s="1"/>
      <c r="U70" s="1"/>
      <c r="V70" s="1"/>
      <c r="W70" s="1"/>
      <c r="X70" s="1"/>
      <c r="Y70" s="1"/>
    </row>
    <row r="71" spans="1:25" ht="12.75" customHeight="1" x14ac:dyDescent="0.25">
      <c r="A71" s="1"/>
      <c r="B71" s="1"/>
      <c r="C71" s="1"/>
      <c r="D71" s="1"/>
      <c r="E71" s="1"/>
      <c r="F71" s="1"/>
      <c r="G71" s="1"/>
      <c r="H71" s="1"/>
      <c r="I71" s="1"/>
      <c r="J71" s="1"/>
      <c r="K71" s="1"/>
      <c r="L71" s="1"/>
      <c r="M71" s="1"/>
      <c r="N71" s="1"/>
      <c r="O71" s="1"/>
      <c r="P71" s="1"/>
      <c r="Q71" s="1"/>
      <c r="R71" s="1"/>
      <c r="S71" s="1"/>
      <c r="T71" s="1"/>
      <c r="U71" s="1"/>
      <c r="V71" s="1"/>
      <c r="W71" s="1"/>
      <c r="X71" s="1"/>
      <c r="Y71" s="1"/>
    </row>
    <row r="72" spans="1:25" ht="12.75" customHeight="1" x14ac:dyDescent="0.25">
      <c r="A72" s="1"/>
      <c r="B72" s="1"/>
      <c r="C72" s="1"/>
      <c r="D72" s="1"/>
      <c r="E72" s="1"/>
      <c r="F72" s="1"/>
      <c r="G72" s="1"/>
      <c r="H72" s="1"/>
      <c r="I72" s="1"/>
      <c r="J72" s="1"/>
      <c r="K72" s="1"/>
      <c r="L72" s="1"/>
      <c r="M72" s="1"/>
      <c r="N72" s="1"/>
      <c r="O72" s="1"/>
      <c r="P72" s="1"/>
      <c r="Q72" s="1"/>
      <c r="R72" s="1"/>
      <c r="S72" s="1"/>
      <c r="T72" s="1"/>
      <c r="U72" s="1"/>
      <c r="V72" s="1"/>
      <c r="W72" s="1"/>
      <c r="X72" s="1"/>
      <c r="Y72" s="1"/>
    </row>
    <row r="73" spans="1:25" ht="12.75" customHeight="1" x14ac:dyDescent="0.25">
      <c r="A73" s="1"/>
      <c r="B73" s="1"/>
      <c r="C73" s="1"/>
      <c r="D73" s="1"/>
      <c r="E73" s="1"/>
      <c r="F73" s="1"/>
      <c r="G73" s="1"/>
      <c r="H73" s="1"/>
      <c r="I73" s="1"/>
      <c r="J73" s="1"/>
      <c r="K73" s="1"/>
      <c r="L73" s="1"/>
      <c r="M73" s="1"/>
      <c r="N73" s="1"/>
      <c r="O73" s="1"/>
      <c r="P73" s="1"/>
      <c r="Q73" s="1"/>
      <c r="R73" s="1"/>
      <c r="S73" s="1"/>
      <c r="T73" s="1"/>
      <c r="U73" s="1"/>
      <c r="V73" s="1"/>
      <c r="W73" s="1"/>
      <c r="X73" s="1"/>
      <c r="Y73" s="1"/>
    </row>
    <row r="74" spans="1:25" ht="12.75" customHeight="1" x14ac:dyDescent="0.25">
      <c r="A74" s="1"/>
      <c r="B74" s="1"/>
      <c r="C74" s="1"/>
      <c r="D74" s="1"/>
      <c r="E74" s="1"/>
      <c r="F74" s="1"/>
      <c r="G74" s="1"/>
      <c r="H74" s="1"/>
      <c r="I74" s="1"/>
      <c r="J74" s="1"/>
      <c r="K74" s="1"/>
      <c r="L74" s="1"/>
      <c r="M74" s="1"/>
      <c r="N74" s="1"/>
      <c r="O74" s="1"/>
      <c r="P74" s="1"/>
      <c r="Q74" s="1"/>
      <c r="R74" s="1"/>
      <c r="S74" s="1"/>
      <c r="T74" s="1"/>
      <c r="U74" s="1"/>
      <c r="V74" s="1"/>
      <c r="W74" s="1"/>
      <c r="X74" s="1"/>
      <c r="Y74" s="1"/>
    </row>
    <row r="75" spans="1:25" ht="12.75" customHeight="1" x14ac:dyDescent="0.25">
      <c r="A75" s="1"/>
      <c r="B75" s="1"/>
      <c r="C75" s="1"/>
      <c r="D75" s="1"/>
      <c r="E75" s="1"/>
      <c r="F75" s="1"/>
      <c r="G75" s="1"/>
      <c r="H75" s="1"/>
      <c r="I75" s="1"/>
      <c r="J75" s="1"/>
      <c r="K75" s="1"/>
      <c r="L75" s="1"/>
      <c r="M75" s="1"/>
      <c r="N75" s="1"/>
      <c r="O75" s="1"/>
      <c r="P75" s="1"/>
      <c r="Q75" s="1"/>
      <c r="R75" s="1"/>
      <c r="S75" s="1"/>
      <c r="T75" s="1"/>
      <c r="U75" s="1"/>
      <c r="V75" s="1"/>
      <c r="W75" s="1"/>
      <c r="X75" s="1"/>
      <c r="Y75" s="1"/>
    </row>
    <row r="76" spans="1:25" ht="12.75" customHeight="1" x14ac:dyDescent="0.25">
      <c r="A76" s="1"/>
      <c r="B76" s="1"/>
      <c r="C76" s="1"/>
      <c r="D76" s="1"/>
      <c r="E76" s="1"/>
      <c r="F76" s="1"/>
      <c r="G76" s="1"/>
      <c r="H76" s="1"/>
      <c r="I76" s="1"/>
      <c r="J76" s="1"/>
      <c r="K76" s="1"/>
      <c r="L76" s="1"/>
      <c r="M76" s="1"/>
      <c r="N76" s="1"/>
      <c r="O76" s="1"/>
      <c r="P76" s="1"/>
      <c r="Q76" s="1"/>
      <c r="R76" s="1"/>
      <c r="S76" s="1"/>
      <c r="T76" s="1"/>
      <c r="U76" s="1"/>
      <c r="V76" s="1"/>
      <c r="W76" s="1"/>
      <c r="X76" s="1"/>
      <c r="Y76" s="1"/>
    </row>
    <row r="77" spans="1:25" ht="12.75" customHeight="1" x14ac:dyDescent="0.25">
      <c r="A77" s="1"/>
      <c r="B77" s="1"/>
      <c r="C77" s="1"/>
      <c r="D77" s="1"/>
      <c r="E77" s="1"/>
      <c r="F77" s="1"/>
      <c r="G77" s="1"/>
      <c r="H77" s="1"/>
      <c r="I77" s="1"/>
      <c r="J77" s="1"/>
      <c r="K77" s="1"/>
      <c r="L77" s="1"/>
      <c r="M77" s="1"/>
      <c r="N77" s="1"/>
      <c r="O77" s="1"/>
      <c r="P77" s="1"/>
      <c r="Q77" s="1"/>
      <c r="R77" s="1"/>
      <c r="S77" s="1"/>
      <c r="T77" s="1"/>
      <c r="U77" s="1"/>
      <c r="V77" s="1"/>
      <c r="W77" s="1"/>
      <c r="X77" s="1"/>
      <c r="Y77" s="1"/>
    </row>
    <row r="78" spans="1:25" ht="12.75" customHeight="1" x14ac:dyDescent="0.25">
      <c r="A78" s="1"/>
      <c r="B78" s="1"/>
      <c r="C78" s="1"/>
      <c r="D78" s="1"/>
      <c r="E78" s="1"/>
      <c r="F78" s="1"/>
      <c r="G78" s="1"/>
      <c r="H78" s="1"/>
      <c r="I78" s="1"/>
      <c r="J78" s="1"/>
      <c r="K78" s="1"/>
      <c r="L78" s="1"/>
      <c r="M78" s="1"/>
      <c r="N78" s="1"/>
      <c r="O78" s="1"/>
      <c r="P78" s="1"/>
      <c r="Q78" s="1"/>
      <c r="R78" s="1"/>
      <c r="S78" s="1"/>
      <c r="T78" s="1"/>
      <c r="U78" s="1"/>
      <c r="V78" s="1"/>
      <c r="W78" s="1"/>
      <c r="X78" s="1"/>
      <c r="Y78" s="1"/>
    </row>
    <row r="79" spans="1:25" ht="12.75" customHeight="1" x14ac:dyDescent="0.25">
      <c r="A79" s="1"/>
      <c r="B79" s="1"/>
      <c r="C79" s="1"/>
      <c r="D79" s="1"/>
      <c r="E79" s="1"/>
      <c r="F79" s="1"/>
      <c r="G79" s="1"/>
      <c r="H79" s="1"/>
      <c r="I79" s="1"/>
      <c r="J79" s="1"/>
      <c r="K79" s="1"/>
      <c r="L79" s="1"/>
      <c r="M79" s="1"/>
      <c r="N79" s="1"/>
      <c r="O79" s="1"/>
      <c r="P79" s="1"/>
      <c r="Q79" s="1"/>
      <c r="R79" s="1"/>
      <c r="S79" s="1"/>
      <c r="T79" s="1"/>
      <c r="U79" s="1"/>
      <c r="V79" s="1"/>
      <c r="W79" s="1"/>
      <c r="X79" s="1"/>
      <c r="Y79" s="1"/>
    </row>
    <row r="80" spans="1:25" ht="12.75" customHeight="1" x14ac:dyDescent="0.25">
      <c r="A80" s="1"/>
      <c r="B80" s="1"/>
      <c r="C80" s="1"/>
      <c r="D80" s="1"/>
      <c r="E80" s="1"/>
      <c r="F80" s="1"/>
      <c r="G80" s="1"/>
      <c r="H80" s="1"/>
      <c r="I80" s="1"/>
      <c r="J80" s="1"/>
      <c r="K80" s="1"/>
      <c r="L80" s="1"/>
      <c r="M80" s="1"/>
      <c r="N80" s="1"/>
      <c r="O80" s="1"/>
      <c r="P80" s="1"/>
      <c r="Q80" s="1"/>
      <c r="R80" s="1"/>
      <c r="S80" s="1"/>
      <c r="T80" s="1"/>
      <c r="U80" s="1"/>
      <c r="V80" s="1"/>
      <c r="W80" s="1"/>
      <c r="X80" s="1"/>
      <c r="Y80" s="1"/>
    </row>
    <row r="81" spans="1:25" ht="12.75" customHeight="1" x14ac:dyDescent="0.25">
      <c r="A81" s="1"/>
      <c r="B81" s="1"/>
      <c r="C81" s="1"/>
      <c r="D81" s="1"/>
      <c r="E81" s="1"/>
      <c r="F81" s="1"/>
      <c r="G81" s="1"/>
      <c r="H81" s="1"/>
      <c r="I81" s="1"/>
      <c r="J81" s="1"/>
      <c r="K81" s="1"/>
      <c r="L81" s="1"/>
      <c r="M81" s="1"/>
      <c r="N81" s="1"/>
      <c r="O81" s="1"/>
      <c r="P81" s="1"/>
      <c r="Q81" s="1"/>
      <c r="R81" s="1"/>
      <c r="S81" s="1"/>
      <c r="T81" s="1"/>
      <c r="U81" s="1"/>
      <c r="V81" s="1"/>
      <c r="W81" s="1"/>
      <c r="X81" s="1"/>
      <c r="Y81" s="1"/>
    </row>
    <row r="82" spans="1:25" ht="12.75" customHeight="1" x14ac:dyDescent="0.25">
      <c r="A82" s="1"/>
      <c r="B82" s="1"/>
      <c r="C82" s="1"/>
      <c r="D82" s="1"/>
      <c r="E82" s="1"/>
      <c r="F82" s="1"/>
      <c r="G82" s="1"/>
      <c r="H82" s="1"/>
      <c r="I82" s="1"/>
      <c r="J82" s="1"/>
      <c r="K82" s="1"/>
      <c r="L82" s="1"/>
      <c r="M82" s="1"/>
      <c r="N82" s="1"/>
      <c r="O82" s="1"/>
      <c r="P82" s="1"/>
      <c r="Q82" s="1"/>
      <c r="R82" s="1"/>
      <c r="S82" s="1"/>
      <c r="T82" s="1"/>
      <c r="U82" s="1"/>
      <c r="V82" s="1"/>
      <c r="W82" s="1"/>
      <c r="X82" s="1"/>
      <c r="Y82" s="1"/>
    </row>
    <row r="83" spans="1:25" ht="12.75" customHeight="1" x14ac:dyDescent="0.25">
      <c r="A83" s="1"/>
      <c r="B83" s="1"/>
      <c r="C83" s="1"/>
      <c r="D83" s="1"/>
      <c r="E83" s="1"/>
      <c r="F83" s="1"/>
      <c r="G83" s="1"/>
      <c r="H83" s="1"/>
      <c r="I83" s="1"/>
      <c r="J83" s="1"/>
      <c r="K83" s="1"/>
      <c r="L83" s="1"/>
      <c r="M83" s="1"/>
      <c r="N83" s="1"/>
      <c r="O83" s="1"/>
      <c r="P83" s="1"/>
      <c r="Q83" s="1"/>
      <c r="R83" s="1"/>
      <c r="S83" s="1"/>
      <c r="T83" s="1"/>
      <c r="U83" s="1"/>
      <c r="V83" s="1"/>
      <c r="W83" s="1"/>
      <c r="X83" s="1"/>
      <c r="Y83" s="1"/>
    </row>
    <row r="84" spans="1:25" ht="12.75" customHeight="1" x14ac:dyDescent="0.25">
      <c r="A84" s="1"/>
      <c r="B84" s="1"/>
      <c r="C84" s="1"/>
      <c r="D84" s="1"/>
      <c r="E84" s="1"/>
      <c r="F84" s="1"/>
      <c r="G84" s="1"/>
      <c r="H84" s="1"/>
      <c r="I84" s="1"/>
      <c r="J84" s="1"/>
      <c r="K84" s="1"/>
      <c r="L84" s="1"/>
      <c r="M84" s="1"/>
      <c r="N84" s="1"/>
      <c r="O84" s="1"/>
      <c r="P84" s="1"/>
      <c r="Q84" s="1"/>
      <c r="R84" s="1"/>
      <c r="S84" s="1"/>
      <c r="T84" s="1"/>
      <c r="U84" s="1"/>
      <c r="V84" s="1"/>
      <c r="W84" s="1"/>
      <c r="X84" s="1"/>
      <c r="Y84" s="1"/>
    </row>
    <row r="85" spans="1:25" ht="12.75" customHeight="1" x14ac:dyDescent="0.25">
      <c r="A85" s="1"/>
      <c r="B85" s="1"/>
      <c r="C85" s="1"/>
      <c r="D85" s="1"/>
      <c r="E85" s="1"/>
      <c r="F85" s="1"/>
      <c r="G85" s="1"/>
      <c r="H85" s="1"/>
      <c r="I85" s="1"/>
      <c r="J85" s="1"/>
      <c r="K85" s="1"/>
      <c r="L85" s="1"/>
      <c r="M85" s="1"/>
      <c r="N85" s="1"/>
      <c r="O85" s="1"/>
      <c r="P85" s="1"/>
      <c r="Q85" s="1"/>
      <c r="R85" s="1"/>
      <c r="S85" s="1"/>
      <c r="T85" s="1"/>
      <c r="U85" s="1"/>
      <c r="V85" s="1"/>
      <c r="W85" s="1"/>
      <c r="X85" s="1"/>
      <c r="Y85" s="1"/>
    </row>
    <row r="86" spans="1:25" ht="12.75" customHeight="1" x14ac:dyDescent="0.25">
      <c r="A86" s="1"/>
      <c r="B86" s="1"/>
      <c r="C86" s="1"/>
      <c r="D86" s="1"/>
      <c r="E86" s="1"/>
      <c r="F86" s="1"/>
      <c r="G86" s="1"/>
      <c r="H86" s="1"/>
      <c r="I86" s="1"/>
      <c r="J86" s="1"/>
      <c r="K86" s="1"/>
      <c r="L86" s="1"/>
      <c r="M86" s="1"/>
      <c r="N86" s="1"/>
      <c r="O86" s="1"/>
      <c r="P86" s="1"/>
      <c r="Q86" s="1"/>
      <c r="R86" s="1"/>
      <c r="S86" s="1"/>
      <c r="T86" s="1"/>
      <c r="U86" s="1"/>
      <c r="V86" s="1"/>
      <c r="W86" s="1"/>
      <c r="X86" s="1"/>
      <c r="Y86" s="1"/>
    </row>
    <row r="87" spans="1:25" ht="12.75" customHeight="1" x14ac:dyDescent="0.25">
      <c r="A87" s="1"/>
      <c r="B87" s="1"/>
      <c r="C87" s="1"/>
      <c r="D87" s="1"/>
      <c r="E87" s="1"/>
      <c r="F87" s="1"/>
      <c r="G87" s="1"/>
      <c r="H87" s="1"/>
      <c r="I87" s="1"/>
      <c r="J87" s="1"/>
      <c r="K87" s="1"/>
      <c r="L87" s="1"/>
      <c r="M87" s="1"/>
      <c r="N87" s="1"/>
      <c r="O87" s="1"/>
      <c r="P87" s="1"/>
      <c r="Q87" s="1"/>
      <c r="R87" s="1"/>
      <c r="S87" s="1"/>
      <c r="T87" s="1"/>
      <c r="U87" s="1"/>
      <c r="V87" s="1"/>
      <c r="W87" s="1"/>
      <c r="X87" s="1"/>
      <c r="Y87" s="1"/>
    </row>
    <row r="88" spans="1:25" ht="12.75" customHeight="1" x14ac:dyDescent="0.25">
      <c r="A88" s="1"/>
      <c r="B88" s="1"/>
      <c r="C88" s="1"/>
      <c r="D88" s="1"/>
      <c r="E88" s="1"/>
      <c r="F88" s="1"/>
      <c r="G88" s="1"/>
      <c r="H88" s="1"/>
      <c r="I88" s="1"/>
      <c r="J88" s="1"/>
      <c r="K88" s="1"/>
      <c r="L88" s="1"/>
      <c r="M88" s="1"/>
      <c r="N88" s="1"/>
      <c r="O88" s="1"/>
      <c r="P88" s="1"/>
      <c r="Q88" s="1"/>
      <c r="R88" s="1"/>
      <c r="S88" s="1"/>
      <c r="T88" s="1"/>
      <c r="U88" s="1"/>
      <c r="V88" s="1"/>
      <c r="W88" s="1"/>
      <c r="X88" s="1"/>
      <c r="Y88" s="1"/>
    </row>
    <row r="89" spans="1:25" ht="12.75" customHeight="1" x14ac:dyDescent="0.25">
      <c r="A89" s="1"/>
      <c r="B89" s="1"/>
      <c r="C89" s="1"/>
      <c r="D89" s="1"/>
      <c r="E89" s="1"/>
      <c r="F89" s="1"/>
      <c r="G89" s="1"/>
      <c r="H89" s="1"/>
      <c r="I89" s="1"/>
      <c r="J89" s="1"/>
      <c r="K89" s="1"/>
      <c r="L89" s="1"/>
      <c r="M89" s="1"/>
      <c r="N89" s="1"/>
      <c r="O89" s="1"/>
      <c r="P89" s="1"/>
      <c r="Q89" s="1"/>
      <c r="R89" s="1"/>
      <c r="S89" s="1"/>
      <c r="T89" s="1"/>
      <c r="U89" s="1"/>
      <c r="V89" s="1"/>
      <c r="W89" s="1"/>
      <c r="X89" s="1"/>
      <c r="Y89" s="1"/>
    </row>
    <row r="90" spans="1:25" ht="12.75" customHeight="1" x14ac:dyDescent="0.25">
      <c r="A90" s="1"/>
      <c r="B90" s="1"/>
      <c r="C90" s="1"/>
      <c r="D90" s="1"/>
      <c r="E90" s="1"/>
      <c r="F90" s="1"/>
      <c r="G90" s="1"/>
      <c r="H90" s="1"/>
      <c r="I90" s="1"/>
      <c r="J90" s="1"/>
      <c r="K90" s="1"/>
      <c r="L90" s="1"/>
      <c r="M90" s="1"/>
      <c r="N90" s="1"/>
      <c r="O90" s="1"/>
      <c r="P90" s="1"/>
      <c r="Q90" s="1"/>
      <c r="R90" s="1"/>
      <c r="S90" s="1"/>
      <c r="T90" s="1"/>
      <c r="U90" s="1"/>
      <c r="V90" s="1"/>
      <c r="W90" s="1"/>
      <c r="X90" s="1"/>
      <c r="Y90" s="1"/>
    </row>
    <row r="91" spans="1:25" ht="12.75" customHeight="1" x14ac:dyDescent="0.25">
      <c r="A91" s="1"/>
      <c r="B91" s="1"/>
      <c r="C91" s="1"/>
      <c r="D91" s="1"/>
      <c r="E91" s="1"/>
      <c r="F91" s="1"/>
      <c r="G91" s="1"/>
      <c r="H91" s="1"/>
      <c r="I91" s="1"/>
      <c r="J91" s="1"/>
      <c r="K91" s="1"/>
      <c r="L91" s="1"/>
      <c r="M91" s="1"/>
      <c r="N91" s="1"/>
      <c r="O91" s="1"/>
      <c r="P91" s="1"/>
      <c r="Q91" s="1"/>
      <c r="R91" s="1"/>
      <c r="S91" s="1"/>
      <c r="T91" s="1"/>
      <c r="U91" s="1"/>
      <c r="V91" s="1"/>
      <c r="W91" s="1"/>
      <c r="X91" s="1"/>
      <c r="Y91" s="1"/>
    </row>
    <row r="92" spans="1:25" ht="12.75" customHeight="1" x14ac:dyDescent="0.25">
      <c r="A92" s="1"/>
      <c r="B92" s="1"/>
      <c r="C92" s="1"/>
      <c r="D92" s="1"/>
      <c r="E92" s="1"/>
      <c r="F92" s="1"/>
      <c r="G92" s="1"/>
      <c r="H92" s="1"/>
      <c r="I92" s="1"/>
      <c r="J92" s="1"/>
      <c r="K92" s="1"/>
      <c r="L92" s="1"/>
      <c r="M92" s="1"/>
      <c r="N92" s="1"/>
      <c r="O92" s="1"/>
      <c r="P92" s="1"/>
      <c r="Q92" s="1"/>
      <c r="R92" s="1"/>
      <c r="S92" s="1"/>
      <c r="T92" s="1"/>
      <c r="U92" s="1"/>
      <c r="V92" s="1"/>
      <c r="W92" s="1"/>
      <c r="X92" s="1"/>
      <c r="Y92" s="1"/>
    </row>
    <row r="93" spans="1:25" ht="12.75" customHeight="1" x14ac:dyDescent="0.25">
      <c r="A93" s="1"/>
      <c r="B93" s="1"/>
      <c r="C93" s="1"/>
      <c r="D93" s="1"/>
      <c r="E93" s="1"/>
      <c r="F93" s="1"/>
      <c r="G93" s="1"/>
      <c r="H93" s="1"/>
      <c r="I93" s="1"/>
      <c r="J93" s="1"/>
      <c r="K93" s="1"/>
      <c r="L93" s="1"/>
      <c r="M93" s="1"/>
      <c r="N93" s="1"/>
      <c r="O93" s="1"/>
      <c r="P93" s="1"/>
      <c r="Q93" s="1"/>
      <c r="R93" s="1"/>
      <c r="S93" s="1"/>
      <c r="T93" s="1"/>
      <c r="U93" s="1"/>
      <c r="V93" s="1"/>
      <c r="W93" s="1"/>
      <c r="X93" s="1"/>
      <c r="Y93" s="1"/>
    </row>
    <row r="94" spans="1:25" ht="12.75" customHeight="1" x14ac:dyDescent="0.25">
      <c r="A94" s="1"/>
      <c r="B94" s="1"/>
      <c r="C94" s="1"/>
      <c r="D94" s="1"/>
      <c r="E94" s="1"/>
      <c r="F94" s="1"/>
      <c r="G94" s="1"/>
      <c r="H94" s="1"/>
      <c r="I94" s="1"/>
      <c r="J94" s="1"/>
      <c r="K94" s="1"/>
      <c r="L94" s="1"/>
      <c r="M94" s="1"/>
      <c r="N94" s="1"/>
      <c r="O94" s="1"/>
      <c r="P94" s="1"/>
      <c r="Q94" s="1"/>
      <c r="R94" s="1"/>
      <c r="S94" s="1"/>
      <c r="T94" s="1"/>
      <c r="U94" s="1"/>
      <c r="V94" s="1"/>
      <c r="W94" s="1"/>
      <c r="X94" s="1"/>
      <c r="Y94" s="1"/>
    </row>
    <row r="95" spans="1:25" ht="12.75" customHeight="1" x14ac:dyDescent="0.25">
      <c r="A95" s="1"/>
      <c r="B95" s="1"/>
      <c r="C95" s="1"/>
      <c r="D95" s="1"/>
      <c r="E95" s="1"/>
      <c r="F95" s="1"/>
      <c r="G95" s="1"/>
      <c r="H95" s="1"/>
      <c r="I95" s="1"/>
      <c r="J95" s="1"/>
      <c r="K95" s="1"/>
      <c r="L95" s="1"/>
      <c r="M95" s="1"/>
      <c r="N95" s="1"/>
      <c r="O95" s="1"/>
      <c r="P95" s="1"/>
      <c r="Q95" s="1"/>
      <c r="R95" s="1"/>
      <c r="S95" s="1"/>
      <c r="T95" s="1"/>
      <c r="U95" s="1"/>
      <c r="V95" s="1"/>
      <c r="W95" s="1"/>
      <c r="X95" s="1"/>
      <c r="Y95" s="1"/>
    </row>
    <row r="96" spans="1:25" ht="12.75" customHeight="1" x14ac:dyDescent="0.25">
      <c r="A96" s="1"/>
      <c r="B96" s="1"/>
      <c r="C96" s="1"/>
      <c r="D96" s="1"/>
      <c r="E96" s="1"/>
      <c r="F96" s="1"/>
      <c r="G96" s="1"/>
      <c r="H96" s="1"/>
      <c r="I96" s="1"/>
      <c r="J96" s="1"/>
      <c r="K96" s="1"/>
      <c r="L96" s="1"/>
      <c r="M96" s="1"/>
      <c r="N96" s="1"/>
      <c r="O96" s="1"/>
      <c r="P96" s="1"/>
      <c r="Q96" s="1"/>
      <c r="R96" s="1"/>
      <c r="S96" s="1"/>
      <c r="T96" s="1"/>
      <c r="U96" s="1"/>
      <c r="V96" s="1"/>
      <c r="W96" s="1"/>
      <c r="X96" s="1"/>
      <c r="Y96" s="1"/>
    </row>
    <row r="97" spans="1:25" ht="12.75" customHeight="1" x14ac:dyDescent="0.25">
      <c r="A97" s="1"/>
      <c r="B97" s="1"/>
      <c r="C97" s="1"/>
      <c r="D97" s="1"/>
      <c r="E97" s="1"/>
      <c r="F97" s="1"/>
      <c r="G97" s="1"/>
      <c r="H97" s="1"/>
      <c r="I97" s="1"/>
      <c r="J97" s="1"/>
      <c r="K97" s="1"/>
      <c r="L97" s="1"/>
      <c r="M97" s="1"/>
      <c r="N97" s="1"/>
      <c r="O97" s="1"/>
      <c r="P97" s="1"/>
      <c r="Q97" s="1"/>
      <c r="R97" s="1"/>
      <c r="S97" s="1"/>
      <c r="T97" s="1"/>
      <c r="U97" s="1"/>
      <c r="V97" s="1"/>
      <c r="W97" s="1"/>
      <c r="X97" s="1"/>
      <c r="Y97" s="1"/>
    </row>
    <row r="98" spans="1:25" ht="12.75" customHeight="1" x14ac:dyDescent="0.25">
      <c r="A98" s="1"/>
      <c r="B98" s="1"/>
      <c r="C98" s="1"/>
      <c r="D98" s="1"/>
      <c r="E98" s="1"/>
      <c r="F98" s="1"/>
      <c r="G98" s="1"/>
      <c r="H98" s="1"/>
      <c r="I98" s="1"/>
      <c r="J98" s="1"/>
      <c r="K98" s="1"/>
      <c r="L98" s="1"/>
      <c r="M98" s="1"/>
      <c r="N98" s="1"/>
      <c r="O98" s="1"/>
      <c r="P98" s="1"/>
      <c r="Q98" s="1"/>
      <c r="R98" s="1"/>
      <c r="S98" s="1"/>
      <c r="T98" s="1"/>
      <c r="U98" s="1"/>
      <c r="V98" s="1"/>
      <c r="W98" s="1"/>
      <c r="X98" s="1"/>
      <c r="Y98" s="1"/>
    </row>
    <row r="99" spans="1:25" ht="12.75" customHeight="1" x14ac:dyDescent="0.25">
      <c r="A99" s="1"/>
      <c r="B99" s="1"/>
      <c r="C99" s="1"/>
      <c r="D99" s="1"/>
      <c r="E99" s="1"/>
      <c r="F99" s="1"/>
      <c r="G99" s="1"/>
      <c r="H99" s="1"/>
      <c r="I99" s="1"/>
      <c r="J99" s="1"/>
      <c r="K99" s="1"/>
      <c r="L99" s="1"/>
      <c r="M99" s="1"/>
      <c r="N99" s="1"/>
      <c r="O99" s="1"/>
      <c r="P99" s="1"/>
      <c r="Q99" s="1"/>
      <c r="R99" s="1"/>
      <c r="S99" s="1"/>
      <c r="T99" s="1"/>
      <c r="U99" s="1"/>
      <c r="V99" s="1"/>
      <c r="W99" s="1"/>
      <c r="X99" s="1"/>
      <c r="Y99" s="1"/>
    </row>
    <row r="100" spans="1:25" ht="12.75" customHeight="1"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row>
    <row r="101" spans="1:25" ht="12.75" customHeight="1"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row>
    <row r="102" spans="1:25" ht="12.75" customHeight="1"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row>
    <row r="103" spans="1:25" ht="12.75" customHeight="1"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row>
    <row r="104" spans="1:25" ht="12.75" customHeight="1"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row>
    <row r="105" spans="1:25" ht="12.75" customHeight="1"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row>
    <row r="106" spans="1:25" ht="12.75" customHeight="1"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row>
    <row r="107" spans="1:25" ht="12.75" customHeight="1"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row>
    <row r="108" spans="1:25" ht="12.75" customHeight="1"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row>
    <row r="109" spans="1:25" ht="12.75" customHeight="1"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row>
    <row r="110" spans="1:25" ht="12.75" customHeight="1"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row>
    <row r="111" spans="1:25" ht="12.75" customHeight="1"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row>
    <row r="112" spans="1:25" ht="12.75" customHeight="1"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row>
    <row r="113" spans="1:25" ht="12.75" customHeight="1"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row>
    <row r="114" spans="1:25" ht="12.75" customHeight="1"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row>
    <row r="115" spans="1:25" ht="12.75" customHeight="1"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row>
    <row r="116" spans="1:25" ht="12.75" customHeight="1"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row>
    <row r="117" spans="1:25" ht="12.75" customHeight="1"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row>
    <row r="118" spans="1:25" ht="12.75" customHeight="1"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row>
    <row r="119" spans="1:25" ht="12.75" customHeight="1"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row>
    <row r="120" spans="1:25" ht="12.75" customHeight="1"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row>
    <row r="121" spans="1:25" ht="12.75" customHeight="1"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row>
    <row r="122" spans="1:25" ht="12.75" customHeight="1"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row>
    <row r="123" spans="1:25" ht="12.75" customHeight="1"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row>
    <row r="124" spans="1:25" ht="12.75" customHeight="1"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row>
    <row r="125" spans="1:25" ht="12.75" customHeight="1"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row>
    <row r="126" spans="1:25" ht="12.75" customHeight="1"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row>
    <row r="127" spans="1:25" ht="12.75" customHeight="1"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row>
    <row r="128" spans="1:25" ht="12.75" customHeight="1"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row>
    <row r="129" spans="1:25" ht="12.75" customHeight="1"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row>
    <row r="130" spans="1:25" ht="12.75" customHeight="1"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row>
    <row r="131" spans="1:25" ht="12.75" customHeight="1"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row>
    <row r="132" spans="1:25" ht="12.75" customHeight="1"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row>
    <row r="133" spans="1:25" ht="12.75" customHeight="1"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row>
    <row r="134" spans="1:25" ht="12.75" customHeight="1"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row>
    <row r="135" spans="1:25" ht="12.75" customHeight="1"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row>
    <row r="136" spans="1:25" ht="12.75" customHeight="1"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row>
    <row r="137" spans="1:25" ht="12.75" customHeight="1"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row>
    <row r="138" spans="1:25" ht="12.75" customHeight="1"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row>
    <row r="139" spans="1:25" ht="12.75" customHeight="1"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row>
    <row r="140" spans="1:25" ht="12.75" customHeight="1"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row>
    <row r="141" spans="1:25" ht="12.75" customHeight="1"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row>
    <row r="142" spans="1:25" ht="12.75" customHeight="1"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row>
    <row r="143" spans="1:25" ht="12.75" customHeight="1"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row>
    <row r="144" spans="1:25" ht="12.75" customHeight="1"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row>
    <row r="145" spans="1:25" ht="12.75" customHeight="1"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row>
    <row r="146" spans="1:25" ht="12.75" customHeight="1"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row>
    <row r="147" spans="1:25" ht="12.75" customHeight="1"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row>
    <row r="148" spans="1:25" ht="12.75" customHeight="1"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row>
    <row r="149" spans="1:25" ht="12.75" customHeight="1"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row>
    <row r="150" spans="1:25" ht="12.75" customHeight="1"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row>
    <row r="151" spans="1:25" ht="12.75" customHeight="1"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row>
    <row r="152" spans="1:25" ht="12.75" customHeight="1"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row>
    <row r="153" spans="1:25" ht="12.75" customHeight="1"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row>
    <row r="154" spans="1:25" ht="12.75" customHeight="1"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row>
    <row r="155" spans="1:25" ht="12.75" customHeight="1"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row>
    <row r="156" spans="1:25" ht="12.7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row>
    <row r="157" spans="1:25" ht="12.7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row>
    <row r="158" spans="1:25" ht="12.7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row>
    <row r="159" spans="1:25" ht="12.7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row>
    <row r="160" spans="1:25" ht="12.75" customHeight="1"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row>
    <row r="161" spans="1:25" ht="12.75" customHeight="1"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row>
    <row r="162" spans="1:25" ht="12.75" customHeight="1"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row>
    <row r="163" spans="1:25" ht="12.75" customHeight="1"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row>
    <row r="164" spans="1:25" ht="12.75" customHeight="1"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row>
    <row r="165" spans="1:25" ht="12.75" customHeight="1"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row>
    <row r="166" spans="1:25" ht="12.75" customHeight="1"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row>
    <row r="167" spans="1:25" ht="12.75" customHeight="1"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row>
    <row r="168" spans="1:25" ht="12.75" customHeight="1"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row>
    <row r="169" spans="1:25" ht="12.75" customHeight="1"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row>
    <row r="170" spans="1:25" ht="12.75" customHeight="1"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row>
    <row r="171" spans="1:25" ht="12.75" customHeight="1"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row>
    <row r="172" spans="1:25" ht="12.75" customHeight="1"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row>
    <row r="173" spans="1:25" ht="12.75" customHeight="1"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row>
    <row r="174" spans="1:25" ht="12.75" customHeight="1"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row>
    <row r="175" spans="1:25" ht="12.75" customHeight="1"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row>
    <row r="176" spans="1:25" ht="12.75" customHeight="1"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row>
    <row r="177" spans="1:25" ht="12.75" customHeight="1"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row>
    <row r="178" spans="1:25" ht="12.75" customHeight="1"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row>
    <row r="179" spans="1:25" ht="12.75" customHeight="1"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row>
    <row r="180" spans="1:25" ht="12.75" customHeight="1"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row>
    <row r="181" spans="1:25" ht="12.75" customHeight="1"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row>
    <row r="182" spans="1:25" ht="12.75" customHeight="1"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row>
    <row r="183" spans="1:25" ht="12.75" customHeight="1"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row>
    <row r="184" spans="1:25" ht="12.75" customHeight="1"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row>
    <row r="185" spans="1:25" ht="12.75" customHeight="1"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row>
    <row r="186" spans="1:25" ht="12.75" customHeight="1"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row>
    <row r="187" spans="1:25" ht="12.75" customHeight="1"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row>
    <row r="188" spans="1:25" ht="12.75" customHeight="1"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row>
    <row r="189" spans="1:25" ht="12.75" customHeight="1"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row>
    <row r="190" spans="1:25" ht="12.75" customHeight="1"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row>
    <row r="191" spans="1:25" ht="12.75" customHeight="1"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row>
    <row r="192" spans="1:25" ht="12.75" customHeight="1"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row>
    <row r="193" spans="1:25" ht="12.75" customHeight="1"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row>
    <row r="194" spans="1:25" ht="12.75" customHeight="1"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row>
    <row r="195" spans="1:25" ht="12.75" customHeight="1"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row>
    <row r="196" spans="1:25" ht="12.75" customHeight="1"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row>
    <row r="197" spans="1:25" ht="12.75" customHeight="1"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row>
    <row r="198" spans="1:25" ht="12.75" customHeight="1"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row>
    <row r="199" spans="1:25" ht="12.75" customHeight="1"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row>
    <row r="200" spans="1:25" ht="12.75" customHeight="1"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row>
    <row r="201" spans="1:25" ht="12.75" customHeight="1"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row>
    <row r="202" spans="1:25" ht="12.75" customHeight="1"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row>
    <row r="203" spans="1:25" ht="12.75" customHeight="1"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row>
    <row r="204" spans="1:25" ht="12.75" customHeight="1"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row>
    <row r="205" spans="1:25" ht="12.75" customHeight="1"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row>
    <row r="206" spans="1:25" ht="12.75" customHeight="1"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row>
    <row r="207" spans="1:25" ht="12.75" customHeight="1"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row>
    <row r="208" spans="1:25" ht="12.75" customHeight="1"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row>
    <row r="209" spans="1:25" ht="12.75" customHeight="1"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row>
    <row r="210" spans="1:25" ht="12.75" customHeight="1"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row>
    <row r="211" spans="1:25" ht="12.75" customHeight="1"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row>
    <row r="212" spans="1:25" ht="12.75" customHeight="1"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row>
    <row r="213" spans="1:25" ht="12.75" customHeight="1"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row>
    <row r="214" spans="1:25" ht="12.75" customHeight="1"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row>
    <row r="215" spans="1:25" ht="12.75" customHeight="1"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row>
    <row r="216" spans="1:25" ht="15.75" customHeight="1"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row>
    <row r="217" spans="1:25" ht="15.75" customHeight="1"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row>
    <row r="218" spans="1:25" ht="15.75" customHeight="1"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row>
    <row r="219" spans="1:25" ht="15.75" customHeight="1"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row>
    <row r="220" spans="1:25" ht="15.75" customHeight="1"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row>
    <row r="221" spans="1:25" ht="15.75" customHeight="1"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row>
    <row r="222" spans="1:25" ht="15.75" customHeight="1"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row>
    <row r="223" spans="1:25" ht="15.75" customHeight="1"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row>
    <row r="224" spans="1:25" ht="15.75" customHeight="1"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row>
    <row r="225" spans="1:25" ht="15.75" customHeight="1"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row>
    <row r="226" spans="1:25" ht="15.75" customHeight="1"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row>
    <row r="227" spans="1:25" ht="15.75" customHeight="1"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row>
    <row r="228" spans="1:25" ht="15.75" customHeight="1"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row>
    <row r="229" spans="1:25" ht="15.75" customHeight="1"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row>
    <row r="230" spans="1:25" ht="15.75" customHeight="1"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row>
    <row r="231" spans="1:25" ht="15.75" customHeight="1"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row>
    <row r="232" spans="1:25" ht="15.75" customHeight="1"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row>
    <row r="233" spans="1:25" ht="15.75" customHeight="1"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row>
    <row r="234" spans="1:25" ht="15.75" customHeight="1"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row>
    <row r="235" spans="1:25" ht="15.75" customHeight="1"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row>
    <row r="236" spans="1:25" ht="15.75" customHeight="1"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row>
    <row r="237" spans="1:25" ht="15.75" customHeight="1"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row>
    <row r="238" spans="1:25" ht="15.75" customHeight="1"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row>
    <row r="239" spans="1:25" ht="15.75" customHeight="1"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row>
    <row r="240" spans="1:25" ht="15.75" customHeight="1"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c r="Y240" s="1"/>
    </row>
    <row r="241" spans="1:25" ht="15.75" customHeight="1"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c r="Y241" s="1"/>
    </row>
    <row r="242" spans="1:25" ht="15.75" customHeight="1"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c r="Y242" s="1"/>
    </row>
    <row r="243" spans="1:25" ht="15.75" customHeight="1"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c r="Y243" s="1"/>
    </row>
    <row r="244" spans="1:25" ht="15.75" customHeight="1"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c r="Y244" s="1"/>
    </row>
    <row r="245" spans="1:25" ht="15.75" customHeight="1"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c r="Y245" s="1"/>
    </row>
    <row r="246" spans="1:25" ht="15.75" customHeight="1"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c r="Y246" s="1"/>
    </row>
    <row r="247" spans="1:25" ht="15.75" customHeight="1"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c r="Y247" s="1"/>
    </row>
    <row r="248" spans="1:25" ht="15.75" customHeight="1"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c r="Y248" s="1"/>
    </row>
    <row r="249" spans="1:25" ht="15.75" customHeight="1"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c r="Y249" s="1"/>
    </row>
    <row r="250" spans="1:25" ht="15.75" customHeight="1"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c r="Y250" s="1"/>
    </row>
    <row r="251" spans="1:25" ht="15.75" customHeight="1"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c r="Y251" s="1"/>
    </row>
    <row r="252" spans="1:25" ht="15.75" customHeight="1"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c r="Y252" s="1"/>
    </row>
    <row r="253" spans="1:25" ht="15.75" customHeight="1"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c r="Y253" s="1"/>
    </row>
    <row r="254" spans="1:25" ht="15.75" customHeight="1"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c r="Y254" s="1"/>
    </row>
    <row r="255" spans="1:25" ht="15.75" customHeight="1"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c r="Y255" s="1"/>
    </row>
    <row r="256" spans="1:25" ht="15.75" customHeight="1"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c r="Y256" s="1"/>
    </row>
    <row r="257" spans="1:25" ht="15.75" customHeight="1"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c r="Y257" s="1"/>
    </row>
    <row r="258" spans="1:25" ht="15.75" customHeight="1"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c r="Y258" s="1"/>
    </row>
    <row r="259" spans="1:25" ht="15.75" customHeight="1"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c r="Y259" s="1"/>
    </row>
    <row r="260" spans="1:25" ht="15.75" customHeight="1"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c r="Y260" s="1"/>
    </row>
    <row r="261" spans="1:25" ht="15.75" customHeight="1"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c r="Y261" s="1"/>
    </row>
    <row r="262" spans="1:25" ht="15.75" customHeight="1"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c r="Y262" s="1"/>
    </row>
    <row r="263" spans="1:25" ht="15.75" customHeight="1"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c r="Y263" s="1"/>
    </row>
    <row r="264" spans="1:25" ht="15.75" customHeight="1"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c r="Y264" s="1"/>
    </row>
    <row r="265" spans="1:25" ht="15.75" customHeight="1"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c r="Y265" s="1"/>
    </row>
    <row r="266" spans="1:25" ht="15.75" customHeight="1"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c r="Y266" s="1"/>
    </row>
    <row r="267" spans="1:25" ht="15.75" customHeight="1"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c r="Y267" s="1"/>
    </row>
    <row r="268" spans="1:25" ht="15.75" customHeight="1"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c r="Y268" s="1"/>
    </row>
    <row r="269" spans="1:25" ht="15.75" customHeight="1"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c r="Y269" s="1"/>
    </row>
    <row r="270" spans="1:25" ht="15.75" customHeight="1"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c r="Y270" s="1"/>
    </row>
    <row r="271" spans="1:25" ht="15.75" customHeight="1"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c r="Y271" s="1"/>
    </row>
    <row r="272" spans="1:25" ht="15.75" customHeight="1"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c r="Y272" s="1"/>
    </row>
    <row r="273" spans="1:25" ht="15.75" customHeight="1"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c r="Y273" s="1"/>
    </row>
    <row r="274" spans="1:25" ht="15.75" customHeight="1"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c r="Y274" s="1"/>
    </row>
    <row r="275" spans="1:25" ht="15.75" customHeight="1"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c r="Y275" s="1"/>
    </row>
    <row r="276" spans="1:25" ht="15.75" customHeight="1"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c r="Y276" s="1"/>
    </row>
    <row r="277" spans="1:25" ht="15.75" customHeight="1"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c r="Y277" s="1"/>
    </row>
    <row r="278" spans="1:25" ht="15.75" customHeight="1"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c r="Y278" s="1"/>
    </row>
    <row r="279" spans="1:25" ht="15.75" customHeight="1"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c r="Y279" s="1"/>
    </row>
    <row r="280" spans="1:25" ht="15.75" customHeight="1"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c r="Y280" s="1"/>
    </row>
    <row r="281" spans="1:25" ht="15.75" customHeight="1"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c r="Y281" s="1"/>
    </row>
    <row r="282" spans="1:25" ht="15.75" customHeight="1"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c r="Y282" s="1"/>
    </row>
    <row r="283" spans="1:25" ht="15.75" customHeight="1"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c r="Y283" s="1"/>
    </row>
    <row r="284" spans="1:25" ht="15.75" customHeight="1"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c r="Y284" s="1"/>
    </row>
    <row r="285" spans="1:25" ht="15.75" customHeight="1"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c r="Y285" s="1"/>
    </row>
    <row r="286" spans="1:25" ht="15.75" customHeight="1"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c r="Y286" s="1"/>
    </row>
    <row r="287" spans="1:25" ht="15.75" customHeight="1"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c r="Y287" s="1"/>
    </row>
    <row r="288" spans="1:25" ht="15.75" customHeight="1"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c r="Y288" s="1"/>
    </row>
    <row r="289" spans="1:25" ht="15.75" customHeight="1"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c r="Y289" s="1"/>
    </row>
    <row r="290" spans="1:25" ht="15.75" customHeight="1"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c r="Y290" s="1"/>
    </row>
    <row r="291" spans="1:25" ht="15.75" customHeight="1"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c r="Y291" s="1"/>
    </row>
    <row r="292" spans="1:25" ht="15.75" customHeight="1"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c r="Y292" s="1"/>
    </row>
    <row r="293" spans="1:25" ht="15.75" customHeight="1"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c r="Y293" s="1"/>
    </row>
    <row r="294" spans="1:25" ht="15.75" customHeight="1"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c r="Y294" s="1"/>
    </row>
    <row r="295" spans="1:25" ht="15.75" customHeight="1"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c r="Y295" s="1"/>
    </row>
    <row r="296" spans="1:25" ht="15.75" customHeight="1"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c r="Y296" s="1"/>
    </row>
    <row r="297" spans="1:25" ht="15.75" customHeight="1"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c r="Y297" s="1"/>
    </row>
    <row r="298" spans="1:25" ht="15.75" customHeight="1"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c r="Y298" s="1"/>
    </row>
    <row r="299" spans="1:25" ht="15.75" customHeight="1"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c r="Y299" s="1"/>
    </row>
    <row r="300" spans="1:25" ht="15.75" customHeight="1"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c r="Y300" s="1"/>
    </row>
    <row r="301" spans="1:25" ht="15.75" customHeight="1"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c r="Y301" s="1"/>
    </row>
    <row r="302" spans="1:25" ht="15.75" customHeight="1"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c r="Y302" s="1"/>
    </row>
    <row r="303" spans="1:25" ht="15.75" customHeight="1"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c r="Y303" s="1"/>
    </row>
    <row r="304" spans="1:25" ht="15.75" customHeight="1"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c r="Y304" s="1"/>
    </row>
    <row r="305" spans="1:25" ht="15.75" customHeight="1"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c r="Y305" s="1"/>
    </row>
    <row r="306" spans="1:25" ht="15.75" customHeight="1"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c r="Y306" s="1"/>
    </row>
    <row r="307" spans="1:25" ht="15.75" customHeight="1"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c r="Y307" s="1"/>
    </row>
    <row r="308" spans="1:25" ht="15.75" customHeight="1"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c r="Y308" s="1"/>
    </row>
    <row r="309" spans="1:25" ht="15.75" customHeight="1"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c r="Y309" s="1"/>
    </row>
    <row r="310" spans="1:25" ht="15.75" customHeight="1"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c r="Y310" s="1"/>
    </row>
    <row r="311" spans="1:25" ht="15.75" customHeight="1"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c r="Y311" s="1"/>
    </row>
    <row r="312" spans="1:25" ht="15.75" customHeight="1"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c r="Y312" s="1"/>
    </row>
    <row r="313" spans="1:25" ht="15.75" customHeight="1"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c r="Y313" s="1"/>
    </row>
    <row r="314" spans="1:25" ht="15.75" customHeight="1"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c r="Y314" s="1"/>
    </row>
    <row r="315" spans="1:25" ht="15.75" customHeight="1"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c r="Y315" s="1"/>
    </row>
    <row r="316" spans="1:25" ht="15.75" customHeight="1"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c r="Y316" s="1"/>
    </row>
    <row r="317" spans="1:25" ht="15.75" customHeight="1"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c r="Y317" s="1"/>
    </row>
    <row r="318" spans="1:25" ht="15.75" customHeight="1"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c r="Y318" s="1"/>
    </row>
    <row r="319" spans="1:25" ht="15.75" customHeight="1"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c r="Y319" s="1"/>
    </row>
    <row r="320" spans="1:25" ht="15.75" customHeight="1"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c r="Y320" s="1"/>
    </row>
    <row r="321" spans="1:25" ht="15.75" customHeight="1"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c r="Y321" s="1"/>
    </row>
    <row r="322" spans="1:25" ht="15.75" customHeight="1"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c r="Y322" s="1"/>
    </row>
    <row r="323" spans="1:25" ht="15.75" customHeight="1"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c r="Y323" s="1"/>
    </row>
    <row r="324" spans="1:25" ht="15.75" customHeight="1"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c r="Y324" s="1"/>
    </row>
    <row r="325" spans="1:25" ht="15.75" customHeight="1"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c r="Y325" s="1"/>
    </row>
    <row r="326" spans="1:25" ht="15.75" customHeight="1"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c r="Y326" s="1"/>
    </row>
    <row r="327" spans="1:25" ht="15.75" customHeight="1"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c r="Y327" s="1"/>
    </row>
    <row r="328" spans="1:25" ht="15.75" customHeight="1"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c r="Y328" s="1"/>
    </row>
    <row r="329" spans="1:25" ht="15.75" customHeight="1"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c r="Y329" s="1"/>
    </row>
    <row r="330" spans="1:25" ht="15.75" customHeight="1"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c r="Y330" s="1"/>
    </row>
    <row r="331" spans="1:25" ht="15.75" customHeight="1"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c r="Y331" s="1"/>
    </row>
    <row r="332" spans="1:25" ht="15.75" customHeight="1"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c r="Y332" s="1"/>
    </row>
    <row r="333" spans="1:25" ht="15.75" customHeight="1"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c r="Y333" s="1"/>
    </row>
    <row r="334" spans="1:25" ht="15.75" customHeight="1"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c r="Y334" s="1"/>
    </row>
    <row r="335" spans="1:25" ht="15.75" customHeight="1"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c r="Y335" s="1"/>
    </row>
    <row r="336" spans="1:25" ht="15.75" customHeight="1"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c r="Y336" s="1"/>
    </row>
    <row r="337" spans="1:25" ht="15.75" customHeight="1"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c r="Y337" s="1"/>
    </row>
    <row r="338" spans="1:25" ht="15.75" customHeight="1"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c r="Y338" s="1"/>
    </row>
    <row r="339" spans="1:25" ht="15.75" customHeight="1"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c r="Y339" s="1"/>
    </row>
    <row r="340" spans="1:25" ht="15.75" customHeight="1"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c r="Y340" s="1"/>
    </row>
    <row r="341" spans="1:25" ht="15.75" customHeight="1"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c r="Y341" s="1"/>
    </row>
    <row r="342" spans="1:25" ht="15.75" customHeight="1"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c r="Y342" s="1"/>
    </row>
    <row r="343" spans="1:25" ht="15.75" customHeight="1"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c r="Y343" s="1"/>
    </row>
    <row r="344" spans="1:25" ht="15.75" customHeight="1"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c r="Y344" s="1"/>
    </row>
    <row r="345" spans="1:25" ht="15.75" customHeight="1"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c r="Y345" s="1"/>
    </row>
    <row r="346" spans="1:25" ht="15.75" customHeight="1"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c r="Y346" s="1"/>
    </row>
    <row r="347" spans="1:25" ht="15.75" customHeight="1"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c r="Y347" s="1"/>
    </row>
    <row r="348" spans="1:25" ht="15.75" customHeight="1"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c r="Y348" s="1"/>
    </row>
    <row r="349" spans="1:25" ht="15.75" customHeight="1"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c r="Y349" s="1"/>
    </row>
    <row r="350" spans="1:25" ht="15.75" customHeight="1"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c r="Y350" s="1"/>
    </row>
    <row r="351" spans="1:25" ht="15.75" customHeight="1"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c r="Y351" s="1"/>
    </row>
    <row r="352" spans="1:25" ht="15.75" customHeight="1"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c r="Y352" s="1"/>
    </row>
    <row r="353" spans="1:25" ht="15.75" customHeight="1"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c r="Y353" s="1"/>
    </row>
    <row r="354" spans="1:25" ht="15.75" customHeight="1"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c r="Y354" s="1"/>
    </row>
    <row r="355" spans="1:25" ht="15.75" customHeight="1"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c r="Y355" s="1"/>
    </row>
    <row r="356" spans="1:25" ht="15.75" customHeight="1"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c r="Y356" s="1"/>
    </row>
    <row r="357" spans="1:25" ht="15.75" customHeight="1"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c r="Y357" s="1"/>
    </row>
    <row r="358" spans="1:25" ht="15.75" customHeight="1"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c r="Y358" s="1"/>
    </row>
    <row r="359" spans="1:25" ht="15.75" customHeight="1"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c r="Y359" s="1"/>
    </row>
    <row r="360" spans="1:25" ht="15.75" customHeight="1"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c r="Y360" s="1"/>
    </row>
    <row r="361" spans="1:25" ht="15.75" customHeight="1"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c r="Y361" s="1"/>
    </row>
    <row r="362" spans="1:25" ht="15.75" customHeight="1"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c r="Y362" s="1"/>
    </row>
    <row r="363" spans="1:25" ht="15.75" customHeight="1"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c r="Y363" s="1"/>
    </row>
    <row r="364" spans="1:25" ht="15.75" customHeight="1"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c r="Y364" s="1"/>
    </row>
    <row r="365" spans="1:25" ht="15.75" customHeight="1"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c r="Y365" s="1"/>
    </row>
    <row r="366" spans="1:25" ht="15.75" customHeight="1"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c r="Y366" s="1"/>
    </row>
    <row r="367" spans="1:25" ht="15.75" customHeight="1"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c r="Y367" s="1"/>
    </row>
    <row r="368" spans="1:25" ht="15.75" customHeight="1"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c r="Y368" s="1"/>
    </row>
    <row r="369" spans="1:25" ht="15.75" customHeight="1"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c r="Y369" s="1"/>
    </row>
    <row r="370" spans="1:25" ht="15.75" customHeight="1"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c r="Y370" s="1"/>
    </row>
    <row r="371" spans="1:25" ht="15.75" customHeight="1"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c r="Y371" s="1"/>
    </row>
    <row r="372" spans="1:25" ht="15.75" customHeight="1"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c r="Y372" s="1"/>
    </row>
    <row r="373" spans="1:25" ht="15.75" customHeight="1"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c r="Y373" s="1"/>
    </row>
    <row r="374" spans="1:25" ht="15.75" customHeight="1"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c r="Y374" s="1"/>
    </row>
    <row r="375" spans="1:25" ht="15.75" customHeight="1"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c r="Y375" s="1"/>
    </row>
    <row r="376" spans="1:25" ht="15.75" customHeight="1"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c r="Y376" s="1"/>
    </row>
    <row r="377" spans="1:25" ht="15.75" customHeight="1"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c r="Y377" s="1"/>
    </row>
    <row r="378" spans="1:25" ht="15.75" customHeight="1"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c r="Y378" s="1"/>
    </row>
    <row r="379" spans="1:25" ht="15.75" customHeight="1"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c r="Y379" s="1"/>
    </row>
    <row r="380" spans="1:25" ht="15.75" customHeight="1"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c r="Y380" s="1"/>
    </row>
    <row r="381" spans="1:25" ht="15.75" customHeight="1"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c r="Y381" s="1"/>
    </row>
    <row r="382" spans="1:25" ht="15.75" customHeight="1"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c r="Y382" s="1"/>
    </row>
    <row r="383" spans="1:25" ht="15.75" customHeight="1"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c r="Y383" s="1"/>
    </row>
    <row r="384" spans="1:25" ht="15.75" customHeight="1"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c r="Y384" s="1"/>
    </row>
    <row r="385" spans="1:25" ht="15.75" customHeight="1"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c r="Y385" s="1"/>
    </row>
    <row r="386" spans="1:25" ht="15.75" customHeight="1"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c r="Y386" s="1"/>
    </row>
    <row r="387" spans="1:25" ht="15.75" customHeight="1"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c r="Y387" s="1"/>
    </row>
    <row r="388" spans="1:25" ht="15.75" customHeight="1"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c r="Y388" s="1"/>
    </row>
    <row r="389" spans="1:25" ht="15.75" customHeight="1"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c r="Y389" s="1"/>
    </row>
    <row r="390" spans="1:25" ht="15.75" customHeight="1"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c r="Y390" s="1"/>
    </row>
    <row r="391" spans="1:25" ht="15.75" customHeight="1"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c r="Y391" s="1"/>
    </row>
    <row r="392" spans="1:25" ht="15.75" customHeight="1"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c r="Y392" s="1"/>
    </row>
    <row r="393" spans="1:25" ht="15.75" customHeight="1"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c r="Y393" s="1"/>
    </row>
    <row r="394" spans="1:25" ht="15.75" customHeight="1"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c r="Y394" s="1"/>
    </row>
    <row r="395" spans="1:25" ht="15.75" customHeight="1"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c r="Y395" s="1"/>
    </row>
    <row r="396" spans="1:25" ht="15.75" customHeight="1"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c r="Y396" s="1"/>
    </row>
    <row r="397" spans="1:25" ht="15.75" customHeight="1"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c r="Y397" s="1"/>
    </row>
    <row r="398" spans="1:25" ht="15.75" customHeight="1"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c r="Y398" s="1"/>
    </row>
    <row r="399" spans="1:25" ht="15.75" customHeight="1"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c r="Y399" s="1"/>
    </row>
    <row r="400" spans="1:25" ht="15.75" customHeight="1"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c r="Y400" s="1"/>
    </row>
    <row r="401" spans="1:25" ht="15.75" customHeight="1"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c r="Y401" s="1"/>
    </row>
    <row r="402" spans="1:25" ht="15.75" customHeight="1"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c r="Y402" s="1"/>
    </row>
    <row r="403" spans="1:25" ht="15.75" customHeight="1"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c r="Y403" s="1"/>
    </row>
    <row r="404" spans="1:25" ht="15.75" customHeight="1"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c r="Y404" s="1"/>
    </row>
    <row r="405" spans="1:25" ht="15.75" customHeight="1"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c r="Y405" s="1"/>
    </row>
    <row r="406" spans="1:25" ht="15.75" customHeight="1"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c r="Y406" s="1"/>
    </row>
    <row r="407" spans="1:25" ht="15.75" customHeight="1"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c r="Y407" s="1"/>
    </row>
    <row r="408" spans="1:25" ht="15.75" customHeight="1"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c r="Y408" s="1"/>
    </row>
    <row r="409" spans="1:25" ht="15.75" customHeight="1"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c r="Y409" s="1"/>
    </row>
    <row r="410" spans="1:25" ht="15.75" customHeight="1"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c r="Y410" s="1"/>
    </row>
    <row r="411" spans="1:25" ht="15.75" customHeight="1"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c r="Y411" s="1"/>
    </row>
    <row r="412" spans="1:25" ht="15.75" customHeight="1"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c r="Y412" s="1"/>
    </row>
    <row r="413" spans="1:25" ht="15.75" customHeight="1"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row>
    <row r="414" spans="1:25" ht="15.75" customHeight="1"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row>
    <row r="415" spans="1:25" ht="15.75" customHeight="1"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row>
    <row r="416" spans="1:25" ht="15.75" customHeight="1"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row>
    <row r="417" spans="1:25" ht="15.75" customHeight="1"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row>
    <row r="418" spans="1:25" ht="15.75" customHeight="1"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row>
    <row r="419" spans="1:25" ht="15.75" customHeight="1"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row>
    <row r="420" spans="1:25" ht="15.75" customHeight="1"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row>
    <row r="421" spans="1:25" ht="15.75" customHeight="1"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row>
    <row r="422" spans="1:25" ht="15.75" customHeight="1"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row>
    <row r="423" spans="1:25" ht="15.75" customHeight="1"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row>
    <row r="424" spans="1:25" ht="15.75" customHeight="1"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row>
    <row r="425" spans="1:25" ht="15.75" customHeight="1"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row>
    <row r="426" spans="1:25" ht="15.75" customHeight="1"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row>
    <row r="427" spans="1:25" ht="15.75" customHeight="1"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row>
    <row r="428" spans="1:25" ht="15.75" customHeight="1"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row>
    <row r="429" spans="1:25" ht="15.75" customHeight="1"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row>
    <row r="430" spans="1:25" ht="15.75" customHeight="1"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row>
    <row r="431" spans="1:25" ht="15.75" customHeight="1"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row>
    <row r="432" spans="1:25" ht="15.75" customHeight="1"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row>
    <row r="433" spans="1:25" ht="15.75" customHeight="1"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row>
    <row r="434" spans="1:25" ht="15.75" customHeight="1"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row>
    <row r="435" spans="1:25" ht="15.75" customHeight="1"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row>
    <row r="436" spans="1:25" ht="15.75" customHeight="1"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row>
    <row r="437" spans="1:25" ht="15.75" customHeight="1"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row>
    <row r="438" spans="1:25" ht="15.75" customHeight="1"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row>
    <row r="439" spans="1:25" ht="15.75" customHeight="1"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row>
    <row r="440" spans="1:25" ht="15.75" customHeight="1"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row>
    <row r="441" spans="1:25" ht="15.75" customHeight="1"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row>
    <row r="442" spans="1:25" ht="15.75" customHeight="1"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row>
    <row r="443" spans="1:25" ht="15.75" customHeight="1"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row>
    <row r="444" spans="1:25" ht="15.75" customHeight="1"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row>
    <row r="445" spans="1:25" ht="15.75" customHeight="1"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row>
    <row r="446" spans="1:25" ht="15.75" customHeight="1"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row>
    <row r="447" spans="1:25" ht="15.75" customHeight="1"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row>
    <row r="448" spans="1:25" ht="15.75" customHeight="1"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row>
    <row r="449" spans="1:25" ht="15.75" customHeight="1"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row>
    <row r="450" spans="1:25" ht="15.75" customHeight="1"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row>
    <row r="451" spans="1:25" ht="15.75" customHeight="1"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row>
    <row r="452" spans="1:25" ht="15.75" customHeight="1"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row>
    <row r="453" spans="1:25" ht="15.75" customHeight="1"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row>
    <row r="454" spans="1:25" ht="15.75" customHeight="1"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row>
    <row r="455" spans="1:25" ht="15.75" customHeight="1"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row>
    <row r="456" spans="1:25" ht="15.75" customHeight="1"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row>
    <row r="457" spans="1:25" ht="15.75" customHeight="1"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row>
    <row r="458" spans="1:25" ht="15.75" customHeight="1"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row>
    <row r="459" spans="1:25" ht="15.75" customHeight="1"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row>
    <row r="460" spans="1:25" ht="15.75" customHeight="1"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row>
    <row r="461" spans="1:25" ht="15.75" customHeight="1"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row>
    <row r="462" spans="1:25" ht="15.75" customHeight="1"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row>
    <row r="463" spans="1:25" ht="15.75" customHeight="1"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row>
    <row r="464" spans="1:25" ht="15.75" customHeight="1"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row>
    <row r="465" spans="1:25" ht="15.75" customHeight="1"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row>
    <row r="466" spans="1:25" ht="15.75" customHeight="1"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row>
    <row r="467" spans="1:25" ht="15.75" customHeight="1"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row>
    <row r="468" spans="1:25" ht="15.75" customHeight="1"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row>
    <row r="469" spans="1:25" ht="15.75" customHeight="1"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row>
    <row r="470" spans="1:25" ht="15.75" customHeight="1"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row>
    <row r="471" spans="1:25" ht="15.75" customHeight="1"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row>
    <row r="472" spans="1:25" ht="15.75" customHeight="1"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row>
    <row r="473" spans="1:25" ht="15.75" customHeight="1"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row>
    <row r="474" spans="1:25" ht="15.75" customHeight="1"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row>
    <row r="475" spans="1:25" ht="15.75" customHeight="1"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row>
    <row r="476" spans="1:25" ht="15.75" customHeight="1"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row>
    <row r="477" spans="1:25" ht="15.75" customHeight="1"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row>
    <row r="478" spans="1:25" ht="15.75" customHeight="1"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row>
    <row r="479" spans="1:25" ht="15.75" customHeight="1"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row>
    <row r="480" spans="1:25" ht="15.75" customHeight="1"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row>
    <row r="481" spans="1:25" ht="15.75" customHeight="1"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row>
    <row r="482" spans="1:25" ht="15.75" customHeight="1"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row>
    <row r="483" spans="1:25" ht="15.75" customHeight="1"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row>
    <row r="484" spans="1:25" ht="15.75" customHeight="1"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c r="Y484" s="1"/>
    </row>
    <row r="485" spans="1:25" ht="15.75" customHeight="1"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c r="Y485" s="1"/>
    </row>
    <row r="486" spans="1:25" ht="15.75" customHeight="1"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c r="Y486" s="1"/>
    </row>
    <row r="487" spans="1:25" ht="15.75" customHeight="1"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c r="Y487" s="1"/>
    </row>
    <row r="488" spans="1:25" ht="15.75" customHeight="1"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c r="Y488" s="1"/>
    </row>
    <row r="489" spans="1:25" ht="15.75" customHeight="1"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c r="Y489" s="1"/>
    </row>
    <row r="490" spans="1:25" ht="15.75" customHeight="1"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c r="Y490" s="1"/>
    </row>
    <row r="491" spans="1:25" ht="15.75" customHeight="1"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c r="Y491" s="1"/>
    </row>
    <row r="492" spans="1:25" ht="15.75" customHeight="1"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c r="Y492" s="1"/>
    </row>
    <row r="493" spans="1:25" ht="15.75" customHeight="1"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c r="Y493" s="1"/>
    </row>
    <row r="494" spans="1:25" ht="15.75" customHeight="1"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c r="Y494" s="1"/>
    </row>
    <row r="495" spans="1:25" ht="15.75" customHeight="1"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c r="Y495" s="1"/>
    </row>
    <row r="496" spans="1:25" ht="15.75" customHeight="1"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c r="Y496" s="1"/>
    </row>
    <row r="497" spans="1:25" ht="15.75" customHeight="1"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c r="Y497" s="1"/>
    </row>
    <row r="498" spans="1:25" ht="15.75" customHeight="1"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c r="Y498" s="1"/>
    </row>
    <row r="499" spans="1:25" ht="15.75" customHeight="1"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c r="Y499" s="1"/>
    </row>
    <row r="500" spans="1:25" ht="15.75" customHeight="1"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c r="Y500" s="1"/>
    </row>
    <row r="501" spans="1:25" ht="15.75" customHeight="1"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c r="Y501" s="1"/>
    </row>
    <row r="502" spans="1:25" ht="15.75" customHeight="1"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c r="Y502" s="1"/>
    </row>
    <row r="503" spans="1:25" ht="15.75" customHeight="1"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c r="Y503" s="1"/>
    </row>
    <row r="504" spans="1:25" ht="15.75" customHeight="1"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c r="Y504" s="1"/>
    </row>
    <row r="505" spans="1:25" ht="15.75" customHeight="1"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c r="Y505" s="1"/>
    </row>
    <row r="506" spans="1:25" ht="15.75" customHeight="1"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c r="Y506" s="1"/>
    </row>
    <row r="507" spans="1:25" ht="15.75" customHeight="1"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c r="Y507" s="1"/>
    </row>
    <row r="508" spans="1:25" ht="15.75" customHeight="1"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c r="Y508" s="1"/>
    </row>
    <row r="509" spans="1:25" ht="15.75" customHeight="1"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c r="Y509" s="1"/>
    </row>
    <row r="510" spans="1:25" ht="15.75" customHeight="1"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c r="Y510" s="1"/>
    </row>
    <row r="511" spans="1:25" ht="15.75" customHeight="1"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c r="Y511" s="1"/>
    </row>
    <row r="512" spans="1:25" ht="15.75" customHeight="1"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c r="Y512" s="1"/>
    </row>
    <row r="513" spans="1:25" ht="15.75" customHeight="1"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c r="Y513" s="1"/>
    </row>
    <row r="514" spans="1:25" ht="15.75" customHeight="1"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c r="Y514" s="1"/>
    </row>
    <row r="515" spans="1:25" ht="15.75" customHeight="1"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c r="Y515" s="1"/>
    </row>
    <row r="516" spans="1:25" ht="15.75" customHeight="1"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c r="Y516" s="1"/>
    </row>
    <row r="517" spans="1:25" ht="15.75" customHeight="1"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c r="Y517" s="1"/>
    </row>
    <row r="518" spans="1:25" ht="15.75" customHeight="1"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c r="Y518" s="1"/>
    </row>
    <row r="519" spans="1:25" ht="15.75" customHeight="1"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c r="Y519" s="1"/>
    </row>
    <row r="520" spans="1:25" ht="15.75" customHeight="1"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c r="Y520" s="1"/>
    </row>
    <row r="521" spans="1:25" ht="15.75" customHeight="1"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c r="Y521" s="1"/>
    </row>
    <row r="522" spans="1:25" ht="15.75" customHeight="1"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c r="Y522" s="1"/>
    </row>
    <row r="523" spans="1:25" ht="15.75" customHeight="1"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c r="Y523" s="1"/>
    </row>
    <row r="524" spans="1:25" ht="15.75" customHeight="1"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c r="Y524" s="1"/>
    </row>
    <row r="525" spans="1:25" ht="15.75" customHeight="1"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c r="Y525" s="1"/>
    </row>
    <row r="526" spans="1:25" ht="15.75" customHeight="1"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c r="Y526" s="1"/>
    </row>
    <row r="527" spans="1:25" ht="15.75" customHeight="1"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c r="Y527" s="1"/>
    </row>
    <row r="528" spans="1:25" ht="15.75" customHeight="1"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c r="Y528" s="1"/>
    </row>
    <row r="529" spans="1:25" ht="15.75" customHeight="1"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c r="Y529" s="1"/>
    </row>
    <row r="530" spans="1:25" ht="15.75" customHeight="1"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c r="Y530" s="1"/>
    </row>
    <row r="531" spans="1:25" ht="15.75" customHeight="1"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c r="Y531" s="1"/>
    </row>
    <row r="532" spans="1:25" ht="15.75" customHeight="1"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c r="Y532" s="1"/>
    </row>
    <row r="533" spans="1:25" ht="15.75" customHeight="1"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c r="Y533" s="1"/>
    </row>
    <row r="534" spans="1:25" ht="15.75" customHeight="1"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c r="Y534" s="1"/>
    </row>
    <row r="535" spans="1:25" ht="15.75" customHeight="1"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c r="Y535" s="1"/>
    </row>
    <row r="536" spans="1:25" ht="15.75" customHeight="1"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c r="Y536" s="1"/>
    </row>
    <row r="537" spans="1:25" ht="15.75" customHeight="1"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c r="Y537" s="1"/>
    </row>
    <row r="538" spans="1:25" ht="15.75" customHeight="1"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c r="Y538" s="1"/>
    </row>
    <row r="539" spans="1:25" ht="15.75" customHeight="1"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c r="Y539" s="1"/>
    </row>
    <row r="540" spans="1:25" ht="15.75" customHeight="1"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c r="Y540" s="1"/>
    </row>
    <row r="541" spans="1:25" ht="15.75" customHeight="1"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c r="Y541" s="1"/>
    </row>
    <row r="542" spans="1:25" ht="15.75" customHeight="1"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c r="Y542" s="1"/>
    </row>
    <row r="543" spans="1:25" ht="15.75" customHeight="1"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c r="Y543" s="1"/>
    </row>
    <row r="544" spans="1:25" ht="15.75" customHeight="1"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c r="Y544" s="1"/>
    </row>
    <row r="545" spans="1:25" ht="15.75" customHeight="1"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c r="Y545" s="1"/>
    </row>
    <row r="546" spans="1:25" ht="15.75" customHeight="1"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c r="Y546" s="1"/>
    </row>
    <row r="547" spans="1:25" ht="15.75" customHeight="1"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c r="Y547" s="1"/>
    </row>
    <row r="548" spans="1:25" ht="15.75" customHeight="1"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c r="Y548" s="1"/>
    </row>
    <row r="549" spans="1:25" ht="15.75" customHeight="1"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c r="Y549" s="1"/>
    </row>
    <row r="550" spans="1:25" ht="15.75" customHeight="1"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c r="Y550" s="1"/>
    </row>
    <row r="551" spans="1:25" ht="15.75" customHeight="1"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c r="Y551" s="1"/>
    </row>
    <row r="552" spans="1:25" ht="15.75" customHeight="1"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c r="Y552" s="1"/>
    </row>
    <row r="553" spans="1:25" ht="15.75" customHeight="1"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c r="Y553" s="1"/>
    </row>
    <row r="554" spans="1:25" ht="15.75" customHeight="1"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c r="Y554" s="1"/>
    </row>
    <row r="555" spans="1:25" ht="15.75" customHeight="1"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c r="Y555" s="1"/>
    </row>
    <row r="556" spans="1:25" ht="15.75" customHeight="1"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c r="Y556" s="1"/>
    </row>
    <row r="557" spans="1:25" ht="15.75" customHeight="1"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c r="Y557" s="1"/>
    </row>
    <row r="558" spans="1:25" ht="15.75" customHeight="1"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c r="Y558" s="1"/>
    </row>
    <row r="559" spans="1:25" ht="15.75" customHeight="1"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c r="Y559" s="1"/>
    </row>
    <row r="560" spans="1:25" ht="15.75" customHeight="1"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c r="Y560" s="1"/>
    </row>
    <row r="561" spans="1:25" ht="15.75" customHeight="1"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c r="Y561" s="1"/>
    </row>
    <row r="562" spans="1:25" ht="15.75" customHeight="1"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c r="Y562" s="1"/>
    </row>
    <row r="563" spans="1:25" ht="15.75" customHeight="1"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c r="Y563" s="1"/>
    </row>
    <row r="564" spans="1:25" ht="15.75" customHeight="1"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c r="Y564" s="1"/>
    </row>
    <row r="565" spans="1:25" ht="15.75" customHeight="1"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c r="Y565" s="1"/>
    </row>
    <row r="566" spans="1:25" ht="15.75" customHeight="1"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c r="Y566" s="1"/>
    </row>
    <row r="567" spans="1:25" ht="15.75" customHeight="1"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c r="Y567" s="1"/>
    </row>
    <row r="568" spans="1:25" ht="15.75" customHeight="1"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c r="Y568" s="1"/>
    </row>
    <row r="569" spans="1:25" ht="15.75" customHeight="1"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c r="Y569" s="1"/>
    </row>
    <row r="570" spans="1:25" ht="15.75" customHeight="1"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c r="Y570" s="1"/>
    </row>
    <row r="571" spans="1:25" ht="15.75" customHeight="1"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c r="Y571" s="1"/>
    </row>
    <row r="572" spans="1:25" ht="15.75" customHeight="1"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c r="Y572" s="1"/>
    </row>
    <row r="573" spans="1:25" ht="15.75" customHeight="1"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c r="Y573" s="1"/>
    </row>
    <row r="574" spans="1:25" ht="15.75" customHeight="1"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c r="Y574" s="1"/>
    </row>
    <row r="575" spans="1:25" ht="15.75" customHeight="1"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c r="Y575" s="1"/>
    </row>
    <row r="576" spans="1:25" ht="15.75" customHeight="1"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c r="Y576" s="1"/>
    </row>
    <row r="577" spans="1:25" ht="15.75" customHeight="1"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c r="Y577" s="1"/>
    </row>
    <row r="578" spans="1:25" ht="15.75" customHeight="1"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c r="Y578" s="1"/>
    </row>
    <row r="579" spans="1:25" ht="15.75" customHeight="1"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c r="Y579" s="1"/>
    </row>
    <row r="580" spans="1:25" ht="15.75" customHeight="1"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c r="Y580" s="1"/>
    </row>
    <row r="581" spans="1:25" ht="15.75" customHeight="1"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c r="Y581" s="1"/>
    </row>
    <row r="582" spans="1:25" ht="15.75" customHeight="1"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c r="Y582" s="1"/>
    </row>
    <row r="583" spans="1:25" ht="15.75" customHeight="1"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c r="Y583" s="1"/>
    </row>
    <row r="584" spans="1:25" ht="15.75" customHeight="1"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c r="Y584" s="1"/>
    </row>
    <row r="585" spans="1:25" ht="15.75" customHeight="1"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c r="Y585" s="1"/>
    </row>
    <row r="586" spans="1:25" ht="15.75" customHeight="1"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c r="Y586" s="1"/>
    </row>
    <row r="587" spans="1:25" ht="15.75" customHeight="1"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c r="Y587" s="1"/>
    </row>
    <row r="588" spans="1:25" ht="15.75" customHeight="1"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c r="Y588" s="1"/>
    </row>
    <row r="589" spans="1:25" ht="15.75" customHeight="1"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c r="Y589" s="1"/>
    </row>
    <row r="590" spans="1:25" ht="15.75" customHeight="1"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c r="Y590" s="1"/>
    </row>
    <row r="591" spans="1:25" ht="15.75" customHeight="1"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c r="Y591" s="1"/>
    </row>
    <row r="592" spans="1:25" ht="15.75" customHeight="1"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c r="Y592" s="1"/>
    </row>
    <row r="593" spans="1:25" ht="15.75" customHeight="1"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c r="Y593" s="1"/>
    </row>
    <row r="594" spans="1:25" ht="15.75" customHeight="1"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c r="Y594" s="1"/>
    </row>
    <row r="595" spans="1:25" ht="15.75" customHeight="1"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c r="Y595" s="1"/>
    </row>
    <row r="596" spans="1:25" ht="15.75" customHeight="1"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c r="Y596" s="1"/>
    </row>
    <row r="597" spans="1:25" ht="15.75" customHeight="1"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c r="Y597" s="1"/>
    </row>
    <row r="598" spans="1:25" ht="15.75" customHeight="1"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c r="Y598" s="1"/>
    </row>
    <row r="599" spans="1:25" ht="15.75" customHeight="1"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c r="Y599" s="1"/>
    </row>
    <row r="600" spans="1:25" ht="15.75" customHeight="1"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c r="Y600" s="1"/>
    </row>
    <row r="601" spans="1:25" ht="15.75" customHeight="1"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c r="Y601" s="1"/>
    </row>
    <row r="602" spans="1:25" ht="15.75" customHeight="1"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c r="Y602" s="1"/>
    </row>
    <row r="603" spans="1:25" ht="15.75" customHeight="1"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c r="Y603" s="1"/>
    </row>
    <row r="604" spans="1:25" ht="15.75" customHeight="1"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c r="Y604" s="1"/>
    </row>
    <row r="605" spans="1:25" ht="15.75" customHeight="1"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c r="Y605" s="1"/>
    </row>
    <row r="606" spans="1:25" ht="15.75" customHeight="1"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c r="Y606" s="1"/>
    </row>
    <row r="607" spans="1:25" ht="15.75" customHeight="1"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c r="Y607" s="1"/>
    </row>
    <row r="608" spans="1:25" ht="15.75" customHeight="1"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c r="Y608" s="1"/>
    </row>
    <row r="609" spans="1:25" ht="15.75" customHeight="1"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c r="Y609" s="1"/>
    </row>
    <row r="610" spans="1:25" ht="15.75" customHeight="1"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c r="Y610" s="1"/>
    </row>
    <row r="611" spans="1:25" ht="15.75" customHeight="1"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c r="Y611" s="1"/>
    </row>
    <row r="612" spans="1:25" ht="15.75" customHeight="1"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c r="Y612" s="1"/>
    </row>
    <row r="613" spans="1:25" ht="15.75" customHeight="1"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c r="Y613" s="1"/>
    </row>
    <row r="614" spans="1:25" ht="15.75" customHeight="1"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c r="Y614" s="1"/>
    </row>
    <row r="615" spans="1:25" ht="15.75" customHeight="1"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c r="Y615" s="1"/>
    </row>
    <row r="616" spans="1:25" ht="15.75" customHeight="1"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c r="Y616" s="1"/>
    </row>
    <row r="617" spans="1:25" ht="15.75" customHeight="1"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c r="Y617" s="1"/>
    </row>
    <row r="618" spans="1:25" ht="15.75" customHeight="1"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c r="Y618" s="1"/>
    </row>
    <row r="619" spans="1:25" ht="15.75" customHeight="1"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c r="Y619" s="1"/>
    </row>
    <row r="620" spans="1:25" ht="15.75" customHeight="1"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c r="Y620" s="1"/>
    </row>
    <row r="621" spans="1:25" ht="15.75" customHeight="1"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c r="Y621" s="1"/>
    </row>
    <row r="622" spans="1:25" ht="15.75" customHeight="1"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c r="Y622" s="1"/>
    </row>
    <row r="623" spans="1:25" ht="15.75" customHeight="1"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c r="Y623" s="1"/>
    </row>
    <row r="624" spans="1:25" ht="15.75" customHeight="1"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c r="Y624" s="1"/>
    </row>
    <row r="625" spans="1:25" ht="15.75" customHeight="1"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c r="Y625" s="1"/>
    </row>
    <row r="626" spans="1:25" ht="15.75" customHeight="1"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c r="Y626" s="1"/>
    </row>
    <row r="627" spans="1:25" ht="15.75" customHeight="1"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c r="Y627" s="1"/>
    </row>
    <row r="628" spans="1:25" ht="15.75" customHeight="1"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c r="Y628" s="1"/>
    </row>
    <row r="629" spans="1:25" ht="15.75" customHeight="1"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c r="Y629" s="1"/>
    </row>
    <row r="630" spans="1:25" ht="15.75" customHeight="1"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c r="Y630" s="1"/>
    </row>
    <row r="631" spans="1:25" ht="15.75" customHeight="1"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c r="Y631" s="1"/>
    </row>
    <row r="632" spans="1:25" ht="15.75" customHeight="1"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c r="Y632" s="1"/>
    </row>
    <row r="633" spans="1:25" ht="15.75" customHeight="1"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c r="Y633" s="1"/>
    </row>
    <row r="634" spans="1:25" ht="15.75" customHeight="1"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c r="Y634" s="1"/>
    </row>
    <row r="635" spans="1:25" ht="15.75" customHeight="1"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c r="Y635" s="1"/>
    </row>
    <row r="636" spans="1:25" ht="15.75" customHeight="1"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c r="Y636" s="1"/>
    </row>
    <row r="637" spans="1:25" ht="15.75" customHeight="1"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c r="Y637" s="1"/>
    </row>
    <row r="638" spans="1:25" ht="15.75" customHeight="1"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c r="Y638" s="1"/>
    </row>
    <row r="639" spans="1:25" ht="15.75" customHeight="1"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c r="Y639" s="1"/>
    </row>
    <row r="640" spans="1:25" ht="15.75" customHeight="1"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c r="Y640" s="1"/>
    </row>
    <row r="641" spans="1:25" ht="15.75" customHeight="1"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c r="Y641" s="1"/>
    </row>
    <row r="642" spans="1:25" ht="15.75" customHeight="1"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c r="Y642" s="1"/>
    </row>
    <row r="643" spans="1:25" ht="15.75" customHeight="1"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c r="Y643" s="1"/>
    </row>
    <row r="644" spans="1:25" ht="15.75" customHeight="1"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c r="Y644" s="1"/>
    </row>
    <row r="645" spans="1:25" ht="15.75" customHeight="1"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c r="Y645" s="1"/>
    </row>
    <row r="646" spans="1:25" ht="15.75" customHeight="1"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c r="Y646" s="1"/>
    </row>
    <row r="647" spans="1:25" ht="15.75" customHeight="1"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c r="Y647" s="1"/>
    </row>
    <row r="648" spans="1:25" ht="15.75" customHeight="1"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c r="Y648" s="1"/>
    </row>
    <row r="649" spans="1:25" ht="15.75" customHeight="1"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c r="Y649" s="1"/>
    </row>
    <row r="650" spans="1:25" ht="15.75" customHeight="1"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c r="Y650" s="1"/>
    </row>
    <row r="651" spans="1:25" ht="15.75" customHeight="1"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c r="Y651" s="1"/>
    </row>
    <row r="652" spans="1:25" ht="15.75" customHeight="1"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c r="Y652" s="1"/>
    </row>
    <row r="653" spans="1:25" ht="15.75" customHeight="1"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c r="Y653" s="1"/>
    </row>
    <row r="654" spans="1:25" ht="15.75" customHeight="1"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c r="Y654" s="1"/>
    </row>
    <row r="655" spans="1:25" ht="15.75" customHeight="1"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c r="Y655" s="1"/>
    </row>
    <row r="656" spans="1:25" ht="15.75" customHeight="1"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c r="Y656" s="1"/>
    </row>
    <row r="657" spans="1:25" ht="15.75" customHeight="1"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c r="Y657" s="1"/>
    </row>
    <row r="658" spans="1:25" ht="15.75" customHeight="1"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c r="Y658" s="1"/>
    </row>
    <row r="659" spans="1:25" ht="15.75" customHeight="1"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c r="Y659" s="1"/>
    </row>
    <row r="660" spans="1:25" ht="15.75" customHeight="1"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c r="Y660" s="1"/>
    </row>
    <row r="661" spans="1:25" ht="15.75" customHeight="1"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c r="Y661" s="1"/>
    </row>
    <row r="662" spans="1:25" ht="15.75" customHeight="1"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c r="Y662" s="1"/>
    </row>
    <row r="663" spans="1:25" ht="15.75" customHeight="1"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c r="Y663" s="1"/>
    </row>
    <row r="664" spans="1:25" ht="15.75" customHeight="1"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c r="Y664" s="1"/>
    </row>
    <row r="665" spans="1:25" ht="15.75" customHeight="1"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c r="Y665" s="1"/>
    </row>
    <row r="666" spans="1:25" ht="15.75" customHeight="1"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c r="Y666" s="1"/>
    </row>
    <row r="667" spans="1:25" ht="15.75" customHeight="1"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c r="Y667" s="1"/>
    </row>
    <row r="668" spans="1:25" ht="15.75" customHeight="1"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c r="Y668" s="1"/>
    </row>
    <row r="669" spans="1:25" ht="15.75" customHeight="1"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c r="Y669" s="1"/>
    </row>
    <row r="670" spans="1:25" ht="15.75" customHeight="1"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c r="Y670" s="1"/>
    </row>
    <row r="671" spans="1:25" ht="15.75" customHeight="1"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c r="Y671" s="1"/>
    </row>
    <row r="672" spans="1:25" ht="15.75" customHeight="1"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c r="Y672" s="1"/>
    </row>
    <row r="673" spans="1:25" ht="15.75" customHeight="1"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c r="Y673" s="1"/>
    </row>
    <row r="674" spans="1:25" ht="15.75" customHeight="1"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c r="Y674" s="1"/>
    </row>
    <row r="675" spans="1:25" ht="15.75" customHeight="1"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c r="Y675" s="1"/>
    </row>
    <row r="676" spans="1:25" ht="15.75" customHeight="1"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c r="Y676" s="1"/>
    </row>
    <row r="677" spans="1:25" ht="15.75" customHeight="1"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c r="Y677" s="1"/>
    </row>
    <row r="678" spans="1:25" ht="15.75" customHeight="1"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c r="Y678" s="1"/>
    </row>
    <row r="679" spans="1:25" ht="15.75" customHeight="1"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c r="Y679" s="1"/>
    </row>
    <row r="680" spans="1:25" ht="15.75" customHeight="1"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c r="Y680" s="1"/>
    </row>
    <row r="681" spans="1:25" ht="15.75" customHeight="1"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c r="Y681" s="1"/>
    </row>
    <row r="682" spans="1:25" ht="15.75" customHeight="1"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c r="Y682" s="1"/>
    </row>
    <row r="683" spans="1:25" ht="15.75" customHeight="1"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c r="Y683" s="1"/>
    </row>
    <row r="684" spans="1:25" ht="15.75" customHeight="1"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c r="Y684" s="1"/>
    </row>
    <row r="685" spans="1:25" ht="15.75" customHeight="1"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c r="Y685" s="1"/>
    </row>
    <row r="686" spans="1:25" ht="15.75" customHeight="1"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c r="Y686" s="1"/>
    </row>
    <row r="687" spans="1:25" ht="15.75" customHeight="1"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c r="Y687" s="1"/>
    </row>
    <row r="688" spans="1:25" ht="15.75" customHeight="1"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c r="Y688" s="1"/>
    </row>
    <row r="689" spans="1:25" ht="15.75" customHeight="1"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c r="Y689" s="1"/>
    </row>
    <row r="690" spans="1:25" ht="15.75" customHeight="1"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c r="Y690" s="1"/>
    </row>
    <row r="691" spans="1:25" ht="15.75" customHeight="1"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c r="Y691" s="1"/>
    </row>
    <row r="692" spans="1:25" ht="15.75" customHeight="1"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c r="Y692" s="1"/>
    </row>
    <row r="693" spans="1:25" ht="15.75" customHeight="1"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c r="Y693" s="1"/>
    </row>
    <row r="694" spans="1:25" ht="15.75" customHeight="1"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c r="Y694" s="1"/>
    </row>
    <row r="695" spans="1:25" ht="15.75" customHeight="1"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c r="Y695" s="1"/>
    </row>
    <row r="696" spans="1:25" ht="15.75" customHeight="1"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c r="Y696" s="1"/>
    </row>
    <row r="697" spans="1:25" ht="15.75" customHeight="1"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c r="Y697" s="1"/>
    </row>
    <row r="698" spans="1:25" ht="15.75" customHeight="1"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c r="Y698" s="1"/>
    </row>
    <row r="699" spans="1:25" ht="15.75" customHeight="1"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c r="Y699" s="1"/>
    </row>
    <row r="700" spans="1:25" ht="15.75" customHeight="1"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c r="Y700" s="1"/>
    </row>
    <row r="701" spans="1:25" ht="15.75" customHeight="1"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c r="Y701" s="1"/>
    </row>
    <row r="702" spans="1:25" ht="15.75" customHeight="1"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c r="Y702" s="1"/>
    </row>
    <row r="703" spans="1:25" ht="15.75" customHeight="1"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c r="Y703" s="1"/>
    </row>
    <row r="704" spans="1:25" ht="15.75" customHeight="1"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c r="Y704" s="1"/>
    </row>
    <row r="705" spans="1:25" ht="15.75" customHeight="1"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c r="Y705" s="1"/>
    </row>
    <row r="706" spans="1:25" ht="15.75" customHeight="1"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c r="Y706" s="1"/>
    </row>
    <row r="707" spans="1:25" ht="15.75" customHeight="1"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c r="Y707" s="1"/>
    </row>
    <row r="708" spans="1:25" ht="15.75" customHeight="1"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c r="Y708" s="1"/>
    </row>
    <row r="709" spans="1:25" ht="15.75" customHeight="1"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c r="Y709" s="1"/>
    </row>
    <row r="710" spans="1:25" ht="15.75" customHeight="1"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c r="Y710" s="1"/>
    </row>
    <row r="711" spans="1:25" ht="15.75" customHeight="1"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c r="Y711" s="1"/>
    </row>
    <row r="712" spans="1:25" ht="15.75" customHeight="1"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c r="Y712" s="1"/>
    </row>
    <row r="713" spans="1:25" ht="15.75" customHeight="1"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c r="Y713" s="1"/>
    </row>
    <row r="714" spans="1:25" ht="15.75" customHeight="1"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c r="Y714" s="1"/>
    </row>
    <row r="715" spans="1:25" ht="15.75" customHeight="1"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c r="Y715" s="1"/>
    </row>
    <row r="716" spans="1:25" ht="15.75" customHeight="1"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c r="Y716" s="1"/>
    </row>
    <row r="717" spans="1:25" ht="15.75" customHeight="1"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c r="Y717" s="1"/>
    </row>
    <row r="718" spans="1:25" ht="15.75" customHeight="1"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c r="Y718" s="1"/>
    </row>
    <row r="719" spans="1:25" ht="15.75" customHeight="1"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c r="Y719" s="1"/>
    </row>
    <row r="720" spans="1:25" ht="15.75" customHeight="1"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c r="Y720" s="1"/>
    </row>
    <row r="721" spans="1:25" ht="15.75" customHeight="1"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c r="Y721" s="1"/>
    </row>
    <row r="722" spans="1:25" ht="15.75" customHeight="1"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c r="Y722" s="1"/>
    </row>
    <row r="723" spans="1:25" ht="15.75" customHeight="1"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c r="Y723" s="1"/>
    </row>
    <row r="724" spans="1:25" ht="15.75" customHeight="1"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c r="Y724" s="1"/>
    </row>
    <row r="725" spans="1:25" ht="15.75" customHeight="1"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c r="Y725" s="1"/>
    </row>
    <row r="726" spans="1:25" ht="15.75" customHeight="1"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c r="Y726" s="1"/>
    </row>
    <row r="727" spans="1:25" ht="15.75" customHeight="1"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c r="Y727" s="1"/>
    </row>
    <row r="728" spans="1:25" ht="15.75" customHeight="1"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c r="Y728" s="1"/>
    </row>
    <row r="729" spans="1:25" ht="15.75" customHeight="1"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c r="Y729" s="1"/>
    </row>
    <row r="730" spans="1:25" ht="15.75" customHeight="1"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c r="Y730" s="1"/>
    </row>
    <row r="731" spans="1:25" ht="15.75" customHeight="1"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c r="Y731" s="1"/>
    </row>
    <row r="732" spans="1:25" ht="15.75" customHeight="1"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c r="Y732" s="1"/>
    </row>
    <row r="733" spans="1:25" ht="15.75" customHeight="1"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c r="Y733" s="1"/>
    </row>
    <row r="734" spans="1:25" ht="15.75" customHeight="1"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c r="Y734" s="1"/>
    </row>
    <row r="735" spans="1:25" ht="15.75" customHeight="1"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c r="Y735" s="1"/>
    </row>
    <row r="736" spans="1:25" ht="15.75" customHeight="1"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c r="Y736" s="1"/>
    </row>
    <row r="737" spans="1:25" ht="15.75" customHeight="1"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c r="Y737" s="1"/>
    </row>
    <row r="738" spans="1:25" ht="15.75" customHeight="1"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c r="Y738" s="1"/>
    </row>
    <row r="739" spans="1:25" ht="15.75" customHeight="1"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c r="Y739" s="1"/>
    </row>
    <row r="740" spans="1:25" ht="15.75" customHeight="1"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c r="Y740" s="1"/>
    </row>
    <row r="741" spans="1:25" ht="15.75" customHeight="1"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c r="Y741" s="1"/>
    </row>
    <row r="742" spans="1:25" ht="15.75" customHeight="1"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c r="Y742" s="1"/>
    </row>
    <row r="743" spans="1:25" ht="15.75" customHeight="1"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c r="Y743" s="1"/>
    </row>
    <row r="744" spans="1:25" ht="15.75" customHeight="1"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c r="Y744" s="1"/>
    </row>
    <row r="745" spans="1:25" ht="15.75" customHeight="1"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c r="Y745" s="1"/>
    </row>
    <row r="746" spans="1:25" ht="15.75" customHeight="1"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c r="Y746" s="1"/>
    </row>
    <row r="747" spans="1:25" ht="15.75" customHeight="1"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c r="Y747" s="1"/>
    </row>
    <row r="748" spans="1:25" ht="15.75" customHeight="1"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c r="Y748" s="1"/>
    </row>
    <row r="749" spans="1:25" ht="15.75" customHeight="1"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c r="Y749" s="1"/>
    </row>
    <row r="750" spans="1:25" ht="15.75" customHeight="1"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c r="Y750" s="1"/>
    </row>
    <row r="751" spans="1:25" ht="15.75" customHeight="1"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c r="Y751" s="1"/>
    </row>
    <row r="752" spans="1:25" ht="15.75" customHeight="1"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c r="Y752" s="1"/>
    </row>
    <row r="753" spans="1:25" ht="15.75" customHeight="1"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c r="Y753" s="1"/>
    </row>
    <row r="754" spans="1:25" ht="15.75" customHeight="1"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c r="Y754" s="1"/>
    </row>
    <row r="755" spans="1:25" ht="15.75" customHeight="1"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c r="Y755" s="1"/>
    </row>
    <row r="756" spans="1:25" ht="15.75" customHeight="1"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c r="Y756" s="1"/>
    </row>
    <row r="757" spans="1:25" ht="15.75" customHeight="1"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c r="Y757" s="1"/>
    </row>
    <row r="758" spans="1:25" ht="15.75" customHeight="1"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c r="Y758" s="1"/>
    </row>
    <row r="759" spans="1:25" ht="15.75" customHeight="1"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c r="Y759" s="1"/>
    </row>
    <row r="760" spans="1:25" ht="15.75" customHeight="1"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c r="Y760" s="1"/>
    </row>
    <row r="761" spans="1:25" ht="15.75" customHeight="1"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c r="Y761" s="1"/>
    </row>
    <row r="762" spans="1:25" ht="15.75" customHeight="1"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c r="Y762" s="1"/>
    </row>
    <row r="763" spans="1:25" ht="15.75" customHeight="1"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c r="Y763" s="1"/>
    </row>
    <row r="764" spans="1:25" ht="15.75" customHeight="1"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c r="Y764" s="1"/>
    </row>
    <row r="765" spans="1:25" ht="15.75" customHeight="1"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c r="Y765" s="1"/>
    </row>
    <row r="766" spans="1:25" ht="15.75" customHeight="1"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c r="Y766" s="1"/>
    </row>
    <row r="767" spans="1:25" ht="15.75" customHeight="1"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c r="Y767" s="1"/>
    </row>
    <row r="768" spans="1:25" ht="15.75" customHeight="1"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c r="Y768" s="1"/>
    </row>
    <row r="769" spans="1:25" ht="15.75" customHeight="1"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c r="Y769" s="1"/>
    </row>
    <row r="770" spans="1:25" ht="15.75" customHeight="1"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c r="Y770" s="1"/>
    </row>
    <row r="771" spans="1:25" ht="15.75" customHeight="1"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c r="Y771" s="1"/>
    </row>
    <row r="772" spans="1:25" ht="15.75" customHeight="1"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c r="Y772" s="1"/>
    </row>
    <row r="773" spans="1:25" ht="15.75" customHeight="1"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c r="Y773" s="1"/>
    </row>
    <row r="774" spans="1:25" ht="15.75" customHeight="1"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c r="Y774" s="1"/>
    </row>
    <row r="775" spans="1:25" ht="15.75" customHeight="1"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c r="Y775" s="1"/>
    </row>
    <row r="776" spans="1:25" ht="15.75" customHeight="1"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c r="Y776" s="1"/>
    </row>
    <row r="777" spans="1:25" ht="15.75" customHeight="1"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c r="Y777" s="1"/>
    </row>
    <row r="778" spans="1:25" ht="15.75" customHeight="1"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c r="Y778" s="1"/>
    </row>
    <row r="779" spans="1:25" ht="15.75" customHeight="1"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c r="Y779" s="1"/>
    </row>
    <row r="780" spans="1:25" ht="15.75" customHeight="1"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c r="Y780" s="1"/>
    </row>
    <row r="781" spans="1:25" ht="15.75" customHeight="1"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c r="Y781" s="1"/>
    </row>
    <row r="782" spans="1:25" ht="15.75" customHeight="1"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c r="Y782" s="1"/>
    </row>
    <row r="783" spans="1:25" ht="15.75" customHeight="1"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c r="Y783" s="1"/>
    </row>
    <row r="784" spans="1:25" ht="15.75" customHeight="1"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c r="Y784" s="1"/>
    </row>
    <row r="785" spans="1:25" ht="15.75" customHeight="1"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c r="Y785" s="1"/>
    </row>
    <row r="786" spans="1:25" ht="15.75" customHeight="1"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c r="Y786" s="1"/>
    </row>
    <row r="787" spans="1:25" ht="15.75" customHeight="1"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c r="Y787" s="1"/>
    </row>
    <row r="788" spans="1:25" ht="15.75" customHeight="1"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c r="Y788" s="1"/>
    </row>
    <row r="789" spans="1:25" ht="15.75" customHeight="1"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c r="Y789" s="1"/>
    </row>
    <row r="790" spans="1:25" ht="15.75" customHeight="1"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c r="Y790" s="1"/>
    </row>
    <row r="791" spans="1:25" ht="15.75" customHeight="1"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c r="Y791" s="1"/>
    </row>
    <row r="792" spans="1:25" ht="15.75" customHeight="1"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c r="Y792" s="1"/>
    </row>
    <row r="793" spans="1:25" ht="15.75" customHeight="1"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c r="Y793" s="1"/>
    </row>
    <row r="794" spans="1:25" ht="15.75" customHeight="1"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c r="Y794" s="1"/>
    </row>
    <row r="795" spans="1:25" ht="15.75" customHeight="1"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c r="Y795" s="1"/>
    </row>
    <row r="796" spans="1:25" ht="15.75" customHeight="1"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c r="Y796" s="1"/>
    </row>
    <row r="797" spans="1:25" ht="15.75" customHeight="1"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c r="Y797" s="1"/>
    </row>
    <row r="798" spans="1:25" ht="15.75" customHeight="1"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c r="Y798" s="1"/>
    </row>
    <row r="799" spans="1:25" ht="15.75" customHeight="1"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c r="Y799" s="1"/>
    </row>
    <row r="800" spans="1:25" ht="15.75" customHeight="1"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c r="Y800" s="1"/>
    </row>
    <row r="801" spans="1:25" ht="15.75" customHeight="1"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c r="Y801" s="1"/>
    </row>
    <row r="802" spans="1:25" ht="15.75" customHeight="1"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c r="Y802" s="1"/>
    </row>
    <row r="803" spans="1:25" ht="15.75" customHeight="1"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c r="Y803" s="1"/>
    </row>
    <row r="804" spans="1:25" ht="15.75" customHeight="1"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c r="Y804" s="1"/>
    </row>
    <row r="805" spans="1:25" ht="15.75" customHeight="1"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c r="Y805" s="1"/>
    </row>
    <row r="806" spans="1:25" ht="15.75" customHeight="1"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c r="Y806" s="1"/>
    </row>
    <row r="807" spans="1:25" ht="15.75" customHeight="1"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c r="Y807" s="1"/>
    </row>
    <row r="808" spans="1:25" ht="15.75" customHeight="1"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c r="Y808" s="1"/>
    </row>
    <row r="809" spans="1:25" ht="15.75" customHeight="1"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c r="Y809" s="1"/>
    </row>
    <row r="810" spans="1:25" ht="15.75" customHeight="1"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c r="Y810" s="1"/>
    </row>
    <row r="811" spans="1:25" ht="15.75" customHeight="1"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c r="Y811" s="1"/>
    </row>
    <row r="812" spans="1:25" ht="15.75" customHeight="1"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c r="Y812" s="1"/>
    </row>
    <row r="813" spans="1:25" ht="15.75" customHeight="1"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c r="Y813" s="1"/>
    </row>
    <row r="814" spans="1:25" ht="15.75" customHeight="1"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c r="Y814" s="1"/>
    </row>
    <row r="815" spans="1:25" ht="15.75" customHeight="1"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c r="Y815" s="1"/>
    </row>
    <row r="816" spans="1:25" ht="15.75" customHeight="1"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c r="Y816" s="1"/>
    </row>
    <row r="817" spans="1:25" ht="15.75" customHeight="1"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c r="Y817" s="1"/>
    </row>
    <row r="818" spans="1:25" ht="15.75" customHeight="1"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c r="Y818" s="1"/>
    </row>
    <row r="819" spans="1:25" ht="15.75" customHeight="1"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c r="Y819" s="1"/>
    </row>
    <row r="820" spans="1:25" ht="15.75" customHeight="1"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c r="Y820" s="1"/>
    </row>
    <row r="821" spans="1:25" ht="15.75" customHeight="1"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c r="Y821" s="1"/>
    </row>
    <row r="822" spans="1:25" ht="15.75" customHeight="1"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c r="Y822" s="1"/>
    </row>
    <row r="823" spans="1:25" ht="15.75" customHeight="1"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c r="Y823" s="1"/>
    </row>
    <row r="824" spans="1:25" ht="15.75" customHeight="1"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c r="Y824" s="1"/>
    </row>
    <row r="825" spans="1:25" ht="15.75" customHeight="1"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c r="Y825" s="1"/>
    </row>
    <row r="826" spans="1:25" ht="15.75" customHeight="1"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c r="Y826" s="1"/>
    </row>
    <row r="827" spans="1:25" ht="15.75" customHeight="1"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c r="Y827" s="1"/>
    </row>
    <row r="828" spans="1:25" ht="15.75" customHeight="1"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c r="Y828" s="1"/>
    </row>
    <row r="829" spans="1:25" ht="15.75" customHeight="1"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c r="Y829" s="1"/>
    </row>
    <row r="830" spans="1:25" ht="15.75" customHeight="1"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c r="Y830" s="1"/>
    </row>
    <row r="831" spans="1:25" ht="15.75" customHeight="1"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c r="Y831" s="1"/>
    </row>
    <row r="832" spans="1:25" ht="15.75" customHeight="1"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c r="Y832" s="1"/>
    </row>
    <row r="833" spans="1:25" ht="15.75" customHeight="1"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c r="Y833" s="1"/>
    </row>
    <row r="834" spans="1:25" ht="15.75" customHeight="1"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c r="Y834" s="1"/>
    </row>
    <row r="835" spans="1:25" ht="15.75" customHeight="1"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c r="Y835" s="1"/>
    </row>
    <row r="836" spans="1:25" ht="15.75" customHeight="1"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c r="Y836" s="1"/>
    </row>
    <row r="837" spans="1:25" ht="15.75" customHeight="1"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c r="Y837" s="1"/>
    </row>
    <row r="838" spans="1:25" ht="15.75" customHeight="1"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c r="Y838" s="1"/>
    </row>
    <row r="839" spans="1:25" ht="15.75" customHeight="1"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c r="Y839" s="1"/>
    </row>
    <row r="840" spans="1:25" ht="15.75" customHeight="1"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c r="Y840" s="1"/>
    </row>
    <row r="841" spans="1:25" ht="15.75" customHeight="1"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c r="Y841" s="1"/>
    </row>
    <row r="842" spans="1:25" ht="15.75" customHeight="1"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c r="Y842" s="1"/>
    </row>
    <row r="843" spans="1:25" ht="15.75" customHeight="1"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c r="Y843" s="1"/>
    </row>
    <row r="844" spans="1:25" ht="15.75" customHeight="1"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c r="Y844" s="1"/>
    </row>
    <row r="845" spans="1:25" ht="15.75" customHeight="1"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c r="Y845" s="1"/>
    </row>
    <row r="846" spans="1:25" ht="15.75" customHeight="1"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c r="Y846" s="1"/>
    </row>
    <row r="847" spans="1:25" ht="15.75" customHeight="1"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c r="Y847" s="1"/>
    </row>
    <row r="848" spans="1:25" ht="15.75" customHeight="1"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c r="Y848" s="1"/>
    </row>
    <row r="849" spans="1:25" ht="15.75" customHeight="1"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c r="Y849" s="1"/>
    </row>
    <row r="850" spans="1:25" ht="15.75" customHeight="1"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c r="Y850" s="1"/>
    </row>
    <row r="851" spans="1:25" ht="15.75" customHeight="1"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c r="Y851" s="1"/>
    </row>
    <row r="852" spans="1:25" ht="15.75" customHeight="1"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c r="Y852" s="1"/>
    </row>
    <row r="853" spans="1:25" ht="15.75" customHeight="1"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c r="Y853" s="1"/>
    </row>
    <row r="854" spans="1:25" ht="15.75" customHeight="1"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c r="Y854" s="1"/>
    </row>
    <row r="855" spans="1:25" ht="15.75" customHeight="1"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c r="Y855" s="1"/>
    </row>
    <row r="856" spans="1:25" ht="15.75" customHeight="1"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c r="Y856" s="1"/>
    </row>
    <row r="857" spans="1:25" ht="15.75" customHeight="1"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c r="Y857" s="1"/>
    </row>
    <row r="858" spans="1:25" ht="15.75" customHeight="1"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c r="Y858" s="1"/>
    </row>
    <row r="859" spans="1:25" ht="15.75" customHeight="1"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c r="Y859" s="1"/>
    </row>
    <row r="860" spans="1:25" ht="15.75" customHeight="1"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c r="Y860" s="1"/>
    </row>
    <row r="861" spans="1:25" ht="15.75" customHeight="1"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c r="Y861" s="1"/>
    </row>
    <row r="862" spans="1:25" ht="15.75" customHeight="1"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c r="Y862" s="1"/>
    </row>
    <row r="863" spans="1:25" ht="15.75" customHeight="1"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c r="Y863" s="1"/>
    </row>
    <row r="864" spans="1:25" ht="15.75" customHeight="1"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c r="Y864" s="1"/>
    </row>
    <row r="865" spans="1:25" ht="15.75" customHeight="1"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c r="Y865" s="1"/>
    </row>
    <row r="866" spans="1:25" ht="15.75" customHeight="1"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c r="Y866" s="1"/>
    </row>
    <row r="867" spans="1:25" ht="15.75" customHeight="1"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c r="Y867" s="1"/>
    </row>
    <row r="868" spans="1:25" ht="15.75" customHeight="1"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c r="Y868" s="1"/>
    </row>
    <row r="869" spans="1:25" ht="15.75" customHeight="1"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c r="Y869" s="1"/>
    </row>
    <row r="870" spans="1:25" ht="15.75" customHeight="1"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c r="Y870" s="1"/>
    </row>
    <row r="871" spans="1:25" ht="15.75" customHeight="1"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c r="Y871" s="1"/>
    </row>
    <row r="872" spans="1:25" ht="15.75" customHeight="1"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c r="Y872" s="1"/>
    </row>
    <row r="873" spans="1:25" ht="15.75" customHeight="1"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c r="Y873" s="1"/>
    </row>
    <row r="874" spans="1:25" ht="15.75" customHeight="1"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c r="Y874" s="1"/>
    </row>
    <row r="875" spans="1:25" ht="15.75" customHeight="1"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c r="Y875" s="1"/>
    </row>
    <row r="876" spans="1:25" ht="15.75" customHeight="1"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c r="Y876" s="1"/>
    </row>
    <row r="877" spans="1:25" ht="15.75" customHeight="1"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c r="Y877" s="1"/>
    </row>
    <row r="878" spans="1:25" ht="15.75" customHeight="1"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c r="Y878" s="1"/>
    </row>
    <row r="879" spans="1:25" ht="15.75" customHeight="1"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c r="Y879" s="1"/>
    </row>
    <row r="880" spans="1:25" ht="15.75" customHeight="1"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c r="Y880" s="1"/>
    </row>
    <row r="881" spans="1:25" ht="15.75" customHeight="1"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c r="Y881" s="1"/>
    </row>
    <row r="882" spans="1:25" ht="15.75" customHeight="1"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c r="Y882" s="1"/>
    </row>
    <row r="883" spans="1:25" ht="15.75" customHeight="1"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c r="Y883" s="1"/>
    </row>
    <row r="884" spans="1:25" ht="15.75" customHeight="1"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c r="Y884" s="1"/>
    </row>
    <row r="885" spans="1:25" ht="15.75" customHeight="1"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c r="Y885" s="1"/>
    </row>
    <row r="886" spans="1:25" ht="15.75" customHeight="1"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c r="Y886" s="1"/>
    </row>
    <row r="887" spans="1:25" ht="15.75" customHeight="1"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c r="Y887" s="1"/>
    </row>
    <row r="888" spans="1:25" ht="15.75" customHeight="1"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c r="Y888" s="1"/>
    </row>
    <row r="889" spans="1:25" ht="15.75" customHeight="1"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c r="Y889" s="1"/>
    </row>
    <row r="890" spans="1:25" ht="15.75" customHeight="1"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c r="Y890" s="1"/>
    </row>
    <row r="891" spans="1:25" ht="15.75" customHeight="1"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c r="Y891" s="1"/>
    </row>
    <row r="892" spans="1:25" ht="15.75" customHeight="1"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c r="Y892" s="1"/>
    </row>
    <row r="893" spans="1:25" ht="15.75" customHeight="1"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c r="Y893" s="1"/>
    </row>
    <row r="894" spans="1:25" ht="15.75" customHeight="1"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c r="Y894" s="1"/>
    </row>
    <row r="895" spans="1:25" ht="15.75" customHeight="1"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c r="Y895" s="1"/>
    </row>
    <row r="896" spans="1:25" ht="15.75" customHeight="1"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c r="Y896" s="1"/>
    </row>
    <row r="897" spans="1:25" ht="15.75" customHeight="1"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c r="Y897" s="1"/>
    </row>
    <row r="898" spans="1:25" ht="15.75" customHeight="1"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c r="Y898" s="1"/>
    </row>
    <row r="899" spans="1:25" ht="15.75" customHeight="1"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c r="Y899" s="1"/>
    </row>
    <row r="900" spans="1:25" ht="15.75" customHeight="1"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c r="Y900" s="1"/>
    </row>
    <row r="901" spans="1:25" ht="15.75" customHeight="1"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c r="Y901" s="1"/>
    </row>
    <row r="902" spans="1:25" ht="15.75" customHeight="1"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c r="Y902" s="1"/>
    </row>
    <row r="903" spans="1:25" ht="15.75" customHeight="1"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c r="Y903" s="1"/>
    </row>
    <row r="904" spans="1:25" ht="15.75" customHeight="1"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c r="Y904" s="1"/>
    </row>
    <row r="905" spans="1:25" ht="15.75" customHeight="1"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c r="Y905" s="1"/>
    </row>
    <row r="906" spans="1:25" ht="15.75" customHeight="1"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c r="Y906" s="1"/>
    </row>
    <row r="907" spans="1:25" ht="15.75" customHeight="1"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c r="Y907" s="1"/>
    </row>
    <row r="908" spans="1:25" ht="15.75" customHeight="1"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c r="Y908" s="1"/>
    </row>
    <row r="909" spans="1:25" ht="15.75" customHeight="1"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c r="Y909" s="1"/>
    </row>
    <row r="910" spans="1:25" ht="15.75" customHeight="1"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c r="Y910" s="1"/>
    </row>
    <row r="911" spans="1:25" ht="15.75" customHeight="1"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c r="Y911" s="1"/>
    </row>
    <row r="912" spans="1:25" ht="15.75" customHeight="1"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c r="Y912" s="1"/>
    </row>
    <row r="913" spans="1:25" ht="15.75" customHeight="1"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c r="Y913" s="1"/>
    </row>
    <row r="914" spans="1:25" ht="15.75" customHeight="1"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c r="Y914" s="1"/>
    </row>
    <row r="915" spans="1:25" ht="15.75" customHeight="1"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c r="Y915" s="1"/>
    </row>
    <row r="916" spans="1:25" ht="15.75" customHeight="1"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c r="Y916" s="1"/>
    </row>
    <row r="917" spans="1:25" ht="15.75" customHeight="1"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c r="Y917" s="1"/>
    </row>
    <row r="918" spans="1:25" ht="15.75" customHeight="1"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c r="Y918" s="1"/>
    </row>
    <row r="919" spans="1:25" ht="15.75" customHeight="1"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c r="Y919" s="1"/>
    </row>
    <row r="920" spans="1:25" ht="15.75" customHeight="1"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c r="Y920" s="1"/>
    </row>
    <row r="921" spans="1:25" ht="15.75" customHeight="1"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c r="Y921" s="1"/>
    </row>
    <row r="922" spans="1:25" ht="15.75" customHeight="1"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c r="Y922" s="1"/>
    </row>
    <row r="923" spans="1:25" ht="15.75" customHeight="1"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c r="Y923" s="1"/>
    </row>
    <row r="924" spans="1:25" ht="15.75" customHeight="1"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c r="Y924" s="1"/>
    </row>
    <row r="925" spans="1:25" ht="15.75" customHeight="1"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c r="Y925" s="1"/>
    </row>
    <row r="926" spans="1:25" ht="15.75" customHeight="1"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c r="Y926" s="1"/>
    </row>
    <row r="927" spans="1:25" ht="15.75" customHeight="1"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c r="Y927" s="1"/>
    </row>
    <row r="928" spans="1:25" ht="15.75" customHeight="1"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c r="Y928" s="1"/>
    </row>
    <row r="929" spans="1:25" ht="15.75" customHeight="1"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c r="Y929" s="1"/>
    </row>
    <row r="930" spans="1:25" ht="15.75" customHeight="1"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c r="Y930" s="1"/>
    </row>
    <row r="931" spans="1:25" ht="15.75" customHeight="1"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c r="Y931" s="1"/>
    </row>
    <row r="932" spans="1:25" ht="15.75" customHeight="1"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c r="Y932" s="1"/>
    </row>
    <row r="933" spans="1:25" ht="15.75" customHeight="1"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c r="Y933" s="1"/>
    </row>
    <row r="934" spans="1:25" ht="15.75" customHeight="1"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c r="Y934" s="1"/>
    </row>
    <row r="935" spans="1:25" ht="15.75" customHeight="1"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c r="Y935" s="1"/>
    </row>
    <row r="936" spans="1:25" ht="15.75" customHeight="1"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c r="Y936" s="1"/>
    </row>
    <row r="937" spans="1:25" ht="15.75" customHeight="1"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c r="Y937" s="1"/>
    </row>
    <row r="938" spans="1:25" ht="15.75" customHeight="1"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c r="Y938" s="1"/>
    </row>
    <row r="939" spans="1:25" ht="15.75" customHeight="1"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c r="Y939" s="1"/>
    </row>
    <row r="940" spans="1:25" ht="15.75" customHeight="1"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c r="Y940" s="1"/>
    </row>
    <row r="941" spans="1:25" ht="15.75" customHeight="1"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c r="Y941" s="1"/>
    </row>
    <row r="942" spans="1:25" ht="15.75" customHeight="1"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c r="Y942" s="1"/>
    </row>
    <row r="943" spans="1:25" ht="15.75" customHeight="1"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c r="Y943" s="1"/>
    </row>
    <row r="944" spans="1:25" ht="15.75" customHeight="1"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c r="Y944" s="1"/>
    </row>
    <row r="945" spans="1:25" ht="15.75" customHeight="1"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c r="Y945" s="1"/>
    </row>
    <row r="946" spans="1:25" ht="15.75" customHeight="1"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c r="Y946" s="1"/>
    </row>
    <row r="947" spans="1:25" ht="15.75" customHeight="1"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c r="Y947" s="1"/>
    </row>
    <row r="948" spans="1:25" ht="15.75" customHeight="1"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c r="Y948" s="1"/>
    </row>
    <row r="949" spans="1:25" ht="15.75" customHeight="1"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c r="Y949" s="1"/>
    </row>
    <row r="950" spans="1:25" ht="15.75" customHeight="1"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c r="Y950" s="1"/>
    </row>
    <row r="951" spans="1:25" ht="15.75" customHeight="1"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c r="Y951" s="1"/>
    </row>
    <row r="952" spans="1:25" ht="15.75" customHeight="1"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c r="Y952" s="1"/>
    </row>
    <row r="953" spans="1:25" ht="15.75" customHeight="1"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c r="Y953" s="1"/>
    </row>
    <row r="954" spans="1:25" ht="15.75" customHeight="1"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c r="Y954" s="1"/>
    </row>
    <row r="955" spans="1:25" ht="15.75" customHeight="1"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c r="Y955" s="1"/>
    </row>
    <row r="956" spans="1:25" ht="15.75" customHeight="1"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c r="Y956" s="1"/>
    </row>
    <row r="957" spans="1:25" ht="15.75" customHeight="1"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c r="Y957" s="1"/>
    </row>
    <row r="958" spans="1:25" ht="15.75" customHeight="1"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c r="Y958" s="1"/>
    </row>
    <row r="959" spans="1:25" ht="15.75" customHeight="1"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c r="Y959" s="1"/>
    </row>
    <row r="960" spans="1:25" ht="15.75" customHeight="1"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c r="Y960" s="1"/>
    </row>
    <row r="961" spans="1:25" ht="15.75" customHeight="1"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c r="Y961" s="1"/>
    </row>
    <row r="962" spans="1:25" ht="15.75" customHeight="1"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c r="Y962" s="1"/>
    </row>
    <row r="963" spans="1:25" ht="15.75" customHeight="1"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c r="Y963" s="1"/>
    </row>
    <row r="964" spans="1:25" ht="15.75" customHeight="1"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c r="Y964" s="1"/>
    </row>
    <row r="965" spans="1:25" ht="15.75" customHeight="1"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c r="Y965" s="1"/>
    </row>
    <row r="966" spans="1:25" ht="15.75" customHeight="1"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c r="Y966" s="1"/>
    </row>
    <row r="967" spans="1:25" ht="15.75" customHeight="1"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c r="Y967" s="1"/>
    </row>
    <row r="968" spans="1:25" ht="15.75" customHeight="1"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c r="Y968" s="1"/>
    </row>
    <row r="969" spans="1:25" ht="15.75" customHeight="1"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c r="Y969" s="1"/>
    </row>
    <row r="970" spans="1:25" ht="15.75" customHeight="1"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c r="Y970" s="1"/>
    </row>
    <row r="971" spans="1:25" ht="15.75" customHeight="1"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c r="Y971" s="1"/>
    </row>
    <row r="972" spans="1:25" ht="15.75" customHeight="1"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c r="Y972" s="1"/>
    </row>
    <row r="973" spans="1:25" ht="15.75" customHeight="1"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c r="Y973" s="1"/>
    </row>
    <row r="974" spans="1:25" ht="15.75" customHeight="1"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c r="Y974" s="1"/>
    </row>
    <row r="975" spans="1:25" ht="15.75" customHeight="1"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c r="Y975" s="1"/>
    </row>
    <row r="976" spans="1:25" ht="15.75" customHeight="1"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c r="Y976" s="1"/>
    </row>
    <row r="977" spans="1:25" ht="15.75" customHeight="1"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c r="Y977" s="1"/>
    </row>
    <row r="978" spans="1:25" ht="15.75" customHeight="1"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c r="Y978" s="1"/>
    </row>
    <row r="979" spans="1:25" ht="15.75" customHeight="1"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c r="Y979" s="1"/>
    </row>
    <row r="980" spans="1:25" ht="15.75" customHeight="1"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c r="Y980" s="1"/>
    </row>
    <row r="981" spans="1:25" ht="15.75" customHeight="1"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c r="Y981" s="1"/>
    </row>
    <row r="982" spans="1:25" ht="15.75" customHeight="1"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c r="Y982" s="1"/>
    </row>
    <row r="983" spans="1:25" ht="15.75" customHeight="1"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c r="Y983" s="1"/>
    </row>
    <row r="984" spans="1:25" ht="15.75" customHeight="1"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c r="Y984" s="1"/>
    </row>
    <row r="985" spans="1:25" ht="15.75" customHeight="1"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c r="Y985" s="1"/>
    </row>
    <row r="986" spans="1:25" ht="15.75" customHeight="1"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c r="Y986" s="1"/>
    </row>
    <row r="987" spans="1:25" ht="15.75" customHeight="1"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c r="Y987" s="1"/>
    </row>
    <row r="988" spans="1:25" ht="15.75" customHeight="1"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c r="Y988" s="1"/>
    </row>
    <row r="989" spans="1:25" ht="15.75" customHeight="1"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c r="Y989" s="1"/>
    </row>
    <row r="990" spans="1:25" ht="15.75" customHeight="1"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c r="Y990" s="1"/>
    </row>
    <row r="991" spans="1:25" ht="15.75" customHeight="1"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c r="Y991" s="1"/>
    </row>
    <row r="992" spans="1:25" ht="15.75" customHeight="1"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c r="Y992" s="1"/>
    </row>
    <row r="993" spans="1:25" ht="15.75" customHeight="1"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c r="Y993" s="1"/>
    </row>
    <row r="994" spans="1:25" ht="15.75" customHeight="1"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c r="Y994" s="1"/>
    </row>
    <row r="995" spans="1:25" ht="15.75" customHeight="1"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c r="Y995" s="1"/>
    </row>
  </sheetData>
  <sheetProtection algorithmName="SHA-512" hashValue="3Jv19/B6XqevFHkG6AVEGa6+YUIqiZnQm8+A+Xo4ZRdvkxvgXxfLTQUoT0zE8R4d0dBdS6lLZSSPZM4vzHP5Vg==" saltValue="MnCvukAccdxULb5lz6h/aA==" spinCount="100000" sheet="1" objects="1" scenarios="1"/>
  <mergeCells count="1">
    <mergeCell ref="A1:F1"/>
  </mergeCells>
  <pageMargins left="0.7" right="0.7" top="0.75" bottom="0.75" header="0" footer="0"/>
  <pageSetup paperSize="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workbookViewId="0">
      <pane ySplit="2" topLeftCell="A3" activePane="bottomLeft" state="frozen"/>
      <selection pane="bottomLeft" activeCell="C3" sqref="C3"/>
    </sheetView>
  </sheetViews>
  <sheetFormatPr baseColWidth="10" defaultColWidth="12.6328125" defaultRowHeight="15" customHeight="1" x14ac:dyDescent="0.25"/>
  <cols>
    <col min="1" max="1" width="18.36328125" style="33" customWidth="1"/>
    <col min="2" max="2" width="23.453125" style="33" customWidth="1"/>
    <col min="3" max="3" width="59.6328125" style="33" customWidth="1"/>
    <col min="4" max="5" width="25.08984375" style="33" customWidth="1"/>
    <col min="6" max="6" width="28.36328125" style="33" customWidth="1"/>
    <col min="7" max="9" width="10.7265625" style="33" customWidth="1"/>
    <col min="10" max="25" width="14.453125" style="33" customWidth="1"/>
    <col min="26" max="16384" width="12.6328125" style="33"/>
  </cols>
  <sheetData>
    <row r="1" spans="1:25" ht="15" customHeight="1" x14ac:dyDescent="0.25">
      <c r="A1" s="41" t="s">
        <v>83</v>
      </c>
    </row>
    <row r="2" spans="1:25" ht="13" x14ac:dyDescent="0.25">
      <c r="A2" s="11" t="s">
        <v>0</v>
      </c>
      <c r="B2" s="11" t="s">
        <v>1</v>
      </c>
      <c r="C2" s="12" t="s">
        <v>2</v>
      </c>
      <c r="D2" s="11" t="s">
        <v>3</v>
      </c>
      <c r="E2" s="11" t="s">
        <v>4</v>
      </c>
      <c r="F2" s="11" t="s">
        <v>5</v>
      </c>
      <c r="G2" s="13"/>
      <c r="H2" s="13"/>
      <c r="I2" s="13"/>
      <c r="J2" s="13"/>
      <c r="K2" s="13"/>
      <c r="L2" s="13"/>
      <c r="M2" s="13"/>
      <c r="N2" s="13"/>
      <c r="O2" s="13"/>
      <c r="P2" s="13"/>
      <c r="Q2" s="13"/>
      <c r="R2" s="13"/>
      <c r="S2" s="13"/>
      <c r="T2" s="13"/>
      <c r="U2" s="13"/>
      <c r="V2" s="13"/>
      <c r="W2" s="13"/>
      <c r="X2" s="13"/>
      <c r="Y2" s="13"/>
    </row>
    <row r="3" spans="1:25" ht="39" x14ac:dyDescent="0.25">
      <c r="A3" s="4" t="s">
        <v>19</v>
      </c>
      <c r="B3" s="5" t="s">
        <v>20</v>
      </c>
      <c r="C3" s="6" t="s">
        <v>21</v>
      </c>
      <c r="D3" s="5"/>
      <c r="E3" s="5"/>
      <c r="F3" s="5"/>
      <c r="G3" s="14"/>
      <c r="H3" s="14"/>
      <c r="I3" s="14"/>
      <c r="J3" s="14"/>
      <c r="K3" s="14"/>
      <c r="L3" s="14"/>
      <c r="M3" s="14"/>
      <c r="N3" s="14"/>
      <c r="O3" s="14"/>
      <c r="P3" s="14"/>
      <c r="Q3" s="14"/>
      <c r="R3" s="14"/>
      <c r="S3" s="14"/>
      <c r="T3" s="14"/>
      <c r="U3" s="14"/>
      <c r="V3" s="14"/>
      <c r="W3" s="14"/>
      <c r="X3" s="14"/>
      <c r="Y3" s="14"/>
    </row>
    <row r="4" spans="1:25" ht="13" x14ac:dyDescent="0.25">
      <c r="A4" s="7"/>
      <c r="B4" s="8"/>
      <c r="C4" s="9"/>
      <c r="D4" s="8"/>
      <c r="E4" s="8"/>
      <c r="F4" s="8"/>
      <c r="G4" s="13"/>
      <c r="H4" s="13"/>
      <c r="I4" s="13"/>
      <c r="J4" s="13"/>
      <c r="K4" s="13"/>
      <c r="L4" s="13"/>
      <c r="M4" s="13"/>
      <c r="N4" s="13"/>
      <c r="O4" s="13"/>
      <c r="P4" s="13"/>
      <c r="Q4" s="13"/>
      <c r="R4" s="13"/>
      <c r="S4" s="13"/>
      <c r="T4" s="13"/>
      <c r="U4" s="13"/>
      <c r="V4" s="13"/>
      <c r="W4" s="13"/>
      <c r="X4" s="13"/>
      <c r="Y4" s="13"/>
    </row>
    <row r="5" spans="1:25" ht="13" x14ac:dyDescent="0.25">
      <c r="A5" s="7"/>
      <c r="B5" s="8"/>
      <c r="C5" s="9"/>
      <c r="D5" s="8"/>
      <c r="E5" s="8"/>
      <c r="F5" s="8"/>
      <c r="G5" s="13"/>
      <c r="H5" s="13"/>
      <c r="I5" s="13"/>
      <c r="J5" s="13"/>
      <c r="K5" s="13"/>
      <c r="L5" s="13"/>
      <c r="M5" s="13"/>
      <c r="N5" s="13"/>
      <c r="O5" s="13"/>
      <c r="P5" s="13"/>
      <c r="Q5" s="13"/>
      <c r="R5" s="13"/>
      <c r="S5" s="13"/>
      <c r="T5" s="13"/>
      <c r="U5" s="13"/>
      <c r="V5" s="13"/>
      <c r="W5" s="13"/>
      <c r="X5" s="13"/>
      <c r="Y5" s="13"/>
    </row>
    <row r="6" spans="1:25" ht="13" x14ac:dyDescent="0.25">
      <c r="A6" s="7"/>
      <c r="B6" s="8"/>
      <c r="C6" s="15"/>
      <c r="D6" s="8"/>
      <c r="E6" s="8"/>
      <c r="F6" s="8"/>
      <c r="G6" s="13"/>
      <c r="H6" s="13"/>
      <c r="I6" s="13"/>
      <c r="J6" s="13"/>
      <c r="K6" s="13"/>
      <c r="L6" s="13"/>
      <c r="M6" s="13"/>
      <c r="N6" s="13"/>
      <c r="O6" s="13"/>
      <c r="P6" s="13"/>
      <c r="Q6" s="13"/>
      <c r="R6" s="13"/>
      <c r="S6" s="13"/>
      <c r="T6" s="13"/>
      <c r="U6" s="13"/>
      <c r="V6" s="13"/>
      <c r="W6" s="13"/>
      <c r="X6" s="13"/>
      <c r="Y6" s="13"/>
    </row>
    <row r="7" spans="1:25" ht="13" x14ac:dyDescent="0.25">
      <c r="A7" s="7"/>
      <c r="B7" s="8"/>
      <c r="C7" s="15"/>
      <c r="D7" s="8"/>
      <c r="E7" s="8"/>
      <c r="F7" s="8"/>
      <c r="G7" s="13"/>
      <c r="H7" s="13"/>
      <c r="I7" s="13"/>
      <c r="J7" s="13"/>
      <c r="K7" s="13"/>
      <c r="L7" s="13"/>
      <c r="M7" s="13"/>
      <c r="N7" s="13"/>
      <c r="O7" s="13"/>
      <c r="P7" s="13"/>
      <c r="Q7" s="13"/>
      <c r="R7" s="13"/>
      <c r="S7" s="13"/>
      <c r="T7" s="13"/>
      <c r="U7" s="13"/>
      <c r="V7" s="13"/>
      <c r="W7" s="13"/>
      <c r="X7" s="13"/>
      <c r="Y7" s="13"/>
    </row>
    <row r="8" spans="1:25" ht="13" x14ac:dyDescent="0.25">
      <c r="A8" s="7"/>
      <c r="B8" s="8"/>
      <c r="C8" s="15"/>
      <c r="D8" s="8"/>
      <c r="E8" s="8"/>
      <c r="F8" s="8"/>
      <c r="G8" s="13"/>
      <c r="H8" s="13"/>
      <c r="I8" s="13"/>
      <c r="J8" s="13"/>
      <c r="K8" s="13"/>
      <c r="L8" s="13"/>
      <c r="M8" s="13"/>
      <c r="N8" s="13"/>
      <c r="O8" s="13"/>
      <c r="P8" s="13"/>
      <c r="Q8" s="13"/>
      <c r="R8" s="13"/>
      <c r="S8" s="13"/>
      <c r="T8" s="13"/>
      <c r="U8" s="13"/>
      <c r="V8" s="13"/>
      <c r="W8" s="13"/>
      <c r="X8" s="13"/>
      <c r="Y8" s="13"/>
    </row>
    <row r="9" spans="1:25" ht="13" x14ac:dyDescent="0.25">
      <c r="A9" s="7"/>
      <c r="B9" s="8"/>
      <c r="C9" s="15"/>
      <c r="D9" s="8"/>
      <c r="E9" s="8"/>
      <c r="F9" s="8"/>
      <c r="G9" s="13"/>
      <c r="H9" s="13"/>
      <c r="I9" s="13"/>
      <c r="J9" s="13"/>
      <c r="K9" s="13"/>
      <c r="L9" s="13"/>
      <c r="M9" s="13"/>
      <c r="N9" s="13"/>
      <c r="O9" s="13"/>
      <c r="P9" s="13"/>
      <c r="Q9" s="13"/>
      <c r="R9" s="13"/>
      <c r="S9" s="13"/>
      <c r="T9" s="13"/>
      <c r="U9" s="13"/>
      <c r="V9" s="13"/>
      <c r="W9" s="13"/>
      <c r="X9" s="13"/>
      <c r="Y9" s="13"/>
    </row>
    <row r="10" spans="1:25" ht="13" x14ac:dyDescent="0.25">
      <c r="A10" s="7"/>
      <c r="B10" s="8"/>
      <c r="C10" s="15"/>
      <c r="D10" s="8"/>
      <c r="E10" s="8"/>
      <c r="F10" s="8"/>
      <c r="G10" s="13"/>
      <c r="H10" s="13"/>
      <c r="I10" s="13"/>
      <c r="J10" s="13"/>
      <c r="K10" s="13"/>
      <c r="L10" s="13"/>
      <c r="M10" s="13"/>
      <c r="N10" s="13"/>
      <c r="O10" s="13"/>
      <c r="P10" s="13"/>
      <c r="Q10" s="13"/>
      <c r="R10" s="13"/>
      <c r="S10" s="13"/>
      <c r="T10" s="13"/>
      <c r="U10" s="13"/>
      <c r="V10" s="13"/>
      <c r="W10" s="13"/>
      <c r="X10" s="13"/>
      <c r="Y10" s="13"/>
    </row>
    <row r="11" spans="1:25" ht="13" x14ac:dyDescent="0.25">
      <c r="A11" s="7"/>
      <c r="B11" s="8"/>
      <c r="C11" s="15"/>
      <c r="D11" s="8"/>
      <c r="E11" s="8"/>
      <c r="F11" s="8"/>
      <c r="G11" s="13"/>
      <c r="H11" s="13"/>
      <c r="I11" s="13"/>
      <c r="J11" s="13"/>
      <c r="K11" s="13"/>
      <c r="L11" s="13"/>
      <c r="M11" s="13"/>
      <c r="N11" s="13"/>
      <c r="O11" s="13"/>
      <c r="P11" s="13"/>
      <c r="Q11" s="13"/>
      <c r="R11" s="13"/>
      <c r="S11" s="13"/>
      <c r="T11" s="13"/>
      <c r="U11" s="13"/>
      <c r="V11" s="13"/>
      <c r="W11" s="13"/>
      <c r="X11" s="13"/>
      <c r="Y11" s="13"/>
    </row>
    <row r="12" spans="1:25" ht="45.75" customHeight="1" x14ac:dyDescent="0.25">
      <c r="A12" s="16" t="s">
        <v>22</v>
      </c>
      <c r="B12" s="17" t="s">
        <v>23</v>
      </c>
      <c r="C12" s="18" t="s">
        <v>24</v>
      </c>
      <c r="D12" s="19"/>
      <c r="E12" s="19"/>
      <c r="F12" s="19"/>
      <c r="G12" s="20"/>
      <c r="H12" s="20"/>
      <c r="I12" s="20"/>
      <c r="J12" s="20"/>
      <c r="K12" s="20"/>
      <c r="L12" s="20"/>
      <c r="M12" s="20"/>
      <c r="N12" s="20"/>
      <c r="O12" s="20"/>
      <c r="P12" s="20"/>
      <c r="Q12" s="20"/>
      <c r="R12" s="20"/>
      <c r="S12" s="20"/>
      <c r="T12" s="20"/>
      <c r="U12" s="20"/>
      <c r="V12" s="20"/>
      <c r="W12" s="20"/>
      <c r="X12" s="20"/>
      <c r="Y12" s="20"/>
    </row>
    <row r="13" spans="1:25" ht="14.5" x14ac:dyDescent="0.25">
      <c r="A13" s="21"/>
      <c r="B13" s="22"/>
      <c r="C13" s="23"/>
      <c r="D13" s="24"/>
      <c r="E13" s="24"/>
      <c r="F13" s="24"/>
      <c r="G13" s="13"/>
      <c r="H13" s="13"/>
      <c r="I13" s="13"/>
      <c r="J13" s="13"/>
      <c r="K13" s="13"/>
      <c r="L13" s="13"/>
      <c r="M13" s="13"/>
      <c r="N13" s="13"/>
      <c r="O13" s="13"/>
      <c r="P13" s="13"/>
      <c r="Q13" s="13"/>
      <c r="R13" s="13"/>
      <c r="S13" s="13"/>
      <c r="T13" s="13"/>
      <c r="U13" s="13"/>
      <c r="V13" s="13"/>
      <c r="W13" s="13"/>
      <c r="X13" s="13"/>
      <c r="Y13" s="13"/>
    </row>
    <row r="14" spans="1:25" ht="14.5" x14ac:dyDescent="0.25">
      <c r="A14" s="21"/>
      <c r="B14" s="22"/>
      <c r="C14" s="23"/>
      <c r="D14" s="24"/>
      <c r="E14" s="24"/>
      <c r="F14" s="24"/>
      <c r="G14" s="13"/>
      <c r="H14" s="13"/>
      <c r="I14" s="13"/>
      <c r="J14" s="13"/>
      <c r="K14" s="13"/>
      <c r="L14" s="13"/>
      <c r="M14" s="13"/>
      <c r="N14" s="13"/>
      <c r="O14" s="13"/>
      <c r="P14" s="13"/>
      <c r="Q14" s="13"/>
      <c r="R14" s="13"/>
      <c r="S14" s="13"/>
      <c r="T14" s="13"/>
      <c r="U14" s="13"/>
      <c r="V14" s="13"/>
      <c r="W14" s="13"/>
      <c r="X14" s="13"/>
      <c r="Y14" s="13"/>
    </row>
    <row r="15" spans="1:25" ht="14.5" x14ac:dyDescent="0.25">
      <c r="A15" s="21"/>
      <c r="B15" s="22"/>
      <c r="C15" s="23"/>
      <c r="D15" s="24"/>
      <c r="E15" s="24"/>
      <c r="F15" s="24"/>
      <c r="G15" s="13"/>
      <c r="H15" s="13"/>
      <c r="I15" s="13"/>
      <c r="J15" s="13"/>
      <c r="K15" s="13"/>
      <c r="L15" s="13"/>
      <c r="M15" s="13"/>
      <c r="N15" s="13"/>
      <c r="O15" s="13"/>
      <c r="P15" s="13"/>
      <c r="Q15" s="13"/>
      <c r="R15" s="13"/>
      <c r="S15" s="13"/>
      <c r="T15" s="13"/>
      <c r="U15" s="13"/>
      <c r="V15" s="13"/>
      <c r="W15" s="13"/>
      <c r="X15" s="13"/>
      <c r="Y15" s="13"/>
    </row>
    <row r="16" spans="1:25" ht="14.5" x14ac:dyDescent="0.25">
      <c r="A16" s="21"/>
      <c r="B16" s="22"/>
      <c r="C16" s="23"/>
      <c r="D16" s="24"/>
      <c r="E16" s="24"/>
      <c r="F16" s="24"/>
      <c r="G16" s="13"/>
      <c r="H16" s="13"/>
      <c r="I16" s="13"/>
      <c r="J16" s="13"/>
      <c r="K16" s="13"/>
      <c r="L16" s="13"/>
      <c r="M16" s="13"/>
      <c r="N16" s="13"/>
      <c r="O16" s="13"/>
      <c r="P16" s="13"/>
      <c r="Q16" s="13"/>
      <c r="R16" s="13"/>
      <c r="S16" s="13"/>
      <c r="T16" s="13"/>
      <c r="U16" s="13"/>
      <c r="V16" s="13"/>
      <c r="W16" s="13"/>
      <c r="X16" s="13"/>
      <c r="Y16" s="13"/>
    </row>
    <row r="17" spans="1:25" ht="14.5" x14ac:dyDescent="0.25">
      <c r="A17" s="21"/>
      <c r="B17" s="22"/>
      <c r="C17" s="23"/>
      <c r="D17" s="24"/>
      <c r="E17" s="24"/>
      <c r="F17" s="24"/>
      <c r="G17" s="13"/>
      <c r="H17" s="13"/>
      <c r="I17" s="13"/>
      <c r="J17" s="13"/>
      <c r="K17" s="13"/>
      <c r="L17" s="13"/>
      <c r="M17" s="13"/>
      <c r="N17" s="13"/>
      <c r="O17" s="13"/>
      <c r="P17" s="13"/>
      <c r="Q17" s="13"/>
      <c r="R17" s="13"/>
      <c r="S17" s="13"/>
      <c r="T17" s="13"/>
      <c r="U17" s="13"/>
      <c r="V17" s="13"/>
      <c r="W17" s="13"/>
      <c r="X17" s="13"/>
      <c r="Y17" s="13"/>
    </row>
    <row r="18" spans="1:25" ht="14.5" x14ac:dyDescent="0.25">
      <c r="A18" s="21"/>
      <c r="B18" s="22"/>
      <c r="C18" s="23"/>
      <c r="D18" s="24"/>
      <c r="E18" s="24"/>
      <c r="F18" s="24"/>
      <c r="G18" s="13"/>
      <c r="H18" s="13"/>
      <c r="I18" s="13"/>
      <c r="J18" s="13"/>
      <c r="K18" s="13"/>
      <c r="L18" s="13"/>
      <c r="M18" s="13"/>
      <c r="N18" s="13"/>
      <c r="O18" s="13"/>
      <c r="P18" s="13"/>
      <c r="Q18" s="13"/>
      <c r="R18" s="13"/>
      <c r="S18" s="13"/>
      <c r="T18" s="13"/>
      <c r="U18" s="13"/>
      <c r="V18" s="13"/>
      <c r="W18" s="13"/>
      <c r="X18" s="13"/>
      <c r="Y18" s="13"/>
    </row>
    <row r="19" spans="1:25" ht="14.5" x14ac:dyDescent="0.25">
      <c r="A19" s="21"/>
      <c r="B19" s="22"/>
      <c r="C19" s="23"/>
      <c r="D19" s="24"/>
      <c r="E19" s="24"/>
      <c r="F19" s="24"/>
      <c r="G19" s="13"/>
      <c r="H19" s="13"/>
      <c r="I19" s="13"/>
      <c r="J19" s="13"/>
      <c r="K19" s="13"/>
      <c r="L19" s="13"/>
      <c r="M19" s="13"/>
      <c r="N19" s="13"/>
      <c r="O19" s="13"/>
      <c r="P19" s="13"/>
      <c r="Q19" s="13"/>
      <c r="R19" s="13"/>
      <c r="S19" s="13"/>
      <c r="T19" s="13"/>
      <c r="U19" s="13"/>
      <c r="V19" s="13"/>
      <c r="W19" s="13"/>
      <c r="X19" s="13"/>
      <c r="Y19" s="13"/>
    </row>
    <row r="20" spans="1:25" ht="14.5" x14ac:dyDescent="0.25">
      <c r="A20" s="21"/>
      <c r="B20" s="22"/>
      <c r="C20" s="23"/>
      <c r="D20" s="24"/>
      <c r="E20" s="24"/>
      <c r="F20" s="24"/>
      <c r="G20" s="13"/>
      <c r="H20" s="13"/>
      <c r="I20" s="13"/>
      <c r="J20" s="13"/>
      <c r="K20" s="13"/>
      <c r="L20" s="13"/>
      <c r="M20" s="13"/>
      <c r="N20" s="13"/>
      <c r="O20" s="13"/>
      <c r="P20" s="13"/>
      <c r="Q20" s="13"/>
      <c r="R20" s="13"/>
      <c r="S20" s="13"/>
      <c r="T20" s="13"/>
      <c r="U20" s="13"/>
      <c r="V20" s="13"/>
      <c r="W20" s="13"/>
      <c r="X20" s="13"/>
      <c r="Y20" s="13"/>
    </row>
    <row r="21" spans="1:25" ht="39" x14ac:dyDescent="0.25">
      <c r="A21" s="16" t="s">
        <v>22</v>
      </c>
      <c r="B21" s="19" t="s">
        <v>25</v>
      </c>
      <c r="C21" s="17" t="s">
        <v>26</v>
      </c>
      <c r="D21" s="19"/>
      <c r="E21" s="19"/>
      <c r="F21" s="19"/>
      <c r="G21" s="13"/>
      <c r="H21" s="13"/>
      <c r="I21" s="13"/>
      <c r="J21" s="13"/>
      <c r="K21" s="13"/>
      <c r="L21" s="13"/>
      <c r="M21" s="13"/>
      <c r="N21" s="13"/>
      <c r="O21" s="13"/>
      <c r="P21" s="13"/>
      <c r="Q21" s="13"/>
      <c r="R21" s="13"/>
      <c r="S21" s="13"/>
      <c r="T21" s="13"/>
      <c r="U21" s="13"/>
      <c r="V21" s="13"/>
      <c r="W21" s="13"/>
      <c r="X21" s="13"/>
      <c r="Y21" s="13"/>
    </row>
    <row r="22" spans="1:25" ht="13" x14ac:dyDescent="0.25">
      <c r="A22" s="7"/>
      <c r="B22" s="8"/>
      <c r="C22" s="9"/>
      <c r="D22" s="8"/>
      <c r="E22" s="8"/>
      <c r="F22" s="8"/>
      <c r="G22" s="13"/>
      <c r="H22" s="13"/>
      <c r="I22" s="13"/>
      <c r="J22" s="13"/>
      <c r="K22" s="13"/>
      <c r="L22" s="13"/>
      <c r="M22" s="13"/>
      <c r="N22" s="13"/>
      <c r="O22" s="13"/>
      <c r="P22" s="13"/>
      <c r="Q22" s="13"/>
      <c r="R22" s="13"/>
      <c r="S22" s="13"/>
      <c r="T22" s="13"/>
      <c r="U22" s="13"/>
      <c r="V22" s="13"/>
      <c r="W22" s="13"/>
      <c r="X22" s="13"/>
      <c r="Y22" s="13"/>
    </row>
    <row r="23" spans="1:25" ht="13" x14ac:dyDescent="0.25">
      <c r="A23" s="7"/>
      <c r="B23" s="8"/>
      <c r="C23" s="9"/>
      <c r="D23" s="8"/>
      <c r="E23" s="8"/>
      <c r="F23" s="8"/>
      <c r="G23" s="13"/>
      <c r="H23" s="13"/>
      <c r="I23" s="13"/>
      <c r="J23" s="13"/>
      <c r="K23" s="13"/>
      <c r="L23" s="13"/>
      <c r="M23" s="13"/>
      <c r="N23" s="13"/>
      <c r="O23" s="13"/>
      <c r="P23" s="13"/>
      <c r="Q23" s="13"/>
      <c r="R23" s="13"/>
      <c r="S23" s="13"/>
      <c r="T23" s="13"/>
      <c r="U23" s="13"/>
      <c r="V23" s="13"/>
      <c r="W23" s="13"/>
      <c r="X23" s="13"/>
      <c r="Y23" s="13"/>
    </row>
    <row r="24" spans="1:25" ht="13" x14ac:dyDescent="0.25">
      <c r="A24" s="7"/>
      <c r="B24" s="8"/>
      <c r="C24" s="9"/>
      <c r="D24" s="8"/>
      <c r="E24" s="8"/>
      <c r="F24" s="8"/>
      <c r="G24" s="13"/>
      <c r="H24" s="13"/>
      <c r="I24" s="13"/>
      <c r="J24" s="13"/>
      <c r="K24" s="13"/>
      <c r="L24" s="13"/>
      <c r="M24" s="13"/>
      <c r="N24" s="13"/>
      <c r="O24" s="13"/>
      <c r="P24" s="13"/>
      <c r="Q24" s="13"/>
      <c r="R24" s="13"/>
      <c r="S24" s="13"/>
      <c r="T24" s="13"/>
      <c r="U24" s="13"/>
      <c r="V24" s="13"/>
      <c r="W24" s="13"/>
      <c r="X24" s="13"/>
      <c r="Y24" s="13"/>
    </row>
    <row r="25" spans="1:25" ht="13" x14ac:dyDescent="0.25">
      <c r="A25" s="7"/>
      <c r="B25" s="8"/>
      <c r="C25" s="9"/>
      <c r="D25" s="8"/>
      <c r="E25" s="8"/>
      <c r="F25" s="8"/>
      <c r="G25" s="13"/>
      <c r="H25" s="13"/>
      <c r="I25" s="13"/>
      <c r="J25" s="13"/>
      <c r="K25" s="13"/>
      <c r="L25" s="13"/>
      <c r="M25" s="13"/>
      <c r="N25" s="13"/>
      <c r="O25" s="13"/>
      <c r="P25" s="13"/>
      <c r="Q25" s="13"/>
      <c r="R25" s="13"/>
      <c r="S25" s="13"/>
      <c r="T25" s="13"/>
      <c r="U25" s="13"/>
      <c r="V25" s="13"/>
      <c r="W25" s="13"/>
      <c r="X25" s="13"/>
      <c r="Y25" s="13"/>
    </row>
    <row r="26" spans="1:25" ht="13" x14ac:dyDescent="0.25">
      <c r="A26" s="7"/>
      <c r="B26" s="8"/>
      <c r="C26" s="9"/>
      <c r="D26" s="8"/>
      <c r="E26" s="8"/>
      <c r="F26" s="8"/>
      <c r="G26" s="13"/>
      <c r="H26" s="13"/>
      <c r="I26" s="13"/>
      <c r="J26" s="13"/>
      <c r="K26" s="13"/>
      <c r="L26" s="13"/>
      <c r="M26" s="13"/>
      <c r="N26" s="13"/>
      <c r="O26" s="13"/>
      <c r="P26" s="13"/>
      <c r="Q26" s="13"/>
      <c r="R26" s="13"/>
      <c r="S26" s="13"/>
      <c r="T26" s="13"/>
      <c r="U26" s="13"/>
      <c r="V26" s="13"/>
      <c r="W26" s="13"/>
      <c r="X26" s="13"/>
      <c r="Y26" s="13"/>
    </row>
    <row r="27" spans="1:25" ht="13" x14ac:dyDescent="0.25">
      <c r="A27" s="7"/>
      <c r="B27" s="8"/>
      <c r="C27" s="9"/>
      <c r="D27" s="8"/>
      <c r="E27" s="8"/>
      <c r="F27" s="8"/>
      <c r="G27" s="13"/>
      <c r="H27" s="13"/>
      <c r="I27" s="13"/>
      <c r="J27" s="13"/>
      <c r="K27" s="13"/>
      <c r="L27" s="13"/>
      <c r="M27" s="13"/>
      <c r="N27" s="13"/>
      <c r="O27" s="13"/>
      <c r="P27" s="13"/>
      <c r="Q27" s="13"/>
      <c r="R27" s="13"/>
      <c r="S27" s="13"/>
      <c r="T27" s="13"/>
      <c r="U27" s="13"/>
      <c r="V27" s="13"/>
      <c r="W27" s="13"/>
      <c r="X27" s="13"/>
      <c r="Y27" s="13"/>
    </row>
    <row r="28" spans="1:25" ht="13" x14ac:dyDescent="0.25">
      <c r="A28" s="7"/>
      <c r="B28" s="8"/>
      <c r="C28" s="9"/>
      <c r="D28" s="8"/>
      <c r="E28" s="8"/>
      <c r="F28" s="8"/>
      <c r="G28" s="13"/>
      <c r="H28" s="13"/>
      <c r="I28" s="13"/>
      <c r="J28" s="13"/>
      <c r="K28" s="13"/>
      <c r="L28" s="13"/>
      <c r="M28" s="13"/>
      <c r="N28" s="13"/>
      <c r="O28" s="13"/>
      <c r="P28" s="13"/>
      <c r="Q28" s="13"/>
      <c r="R28" s="13"/>
      <c r="S28" s="13"/>
      <c r="T28" s="13"/>
      <c r="U28" s="13"/>
      <c r="V28" s="13"/>
      <c r="W28" s="13"/>
      <c r="X28" s="13"/>
      <c r="Y28" s="13"/>
    </row>
    <row r="29" spans="1:25" ht="13" x14ac:dyDescent="0.25">
      <c r="A29" s="7"/>
      <c r="B29" s="8"/>
      <c r="C29" s="9"/>
      <c r="D29" s="8"/>
      <c r="E29" s="8"/>
      <c r="F29" s="8"/>
      <c r="G29" s="13"/>
      <c r="H29" s="13"/>
      <c r="I29" s="13"/>
      <c r="J29" s="13"/>
      <c r="K29" s="13"/>
      <c r="L29" s="13"/>
      <c r="M29" s="13"/>
      <c r="N29" s="13"/>
      <c r="O29" s="13"/>
      <c r="P29" s="13"/>
      <c r="Q29" s="13"/>
      <c r="R29" s="13"/>
      <c r="S29" s="13"/>
      <c r="T29" s="13"/>
      <c r="U29" s="13"/>
      <c r="V29" s="13"/>
      <c r="W29" s="13"/>
      <c r="X29" s="13"/>
      <c r="Y29" s="13"/>
    </row>
    <row r="30" spans="1:25" ht="26" x14ac:dyDescent="0.25">
      <c r="A30" s="16" t="s">
        <v>27</v>
      </c>
      <c r="B30" s="19" t="s">
        <v>28</v>
      </c>
      <c r="C30" s="25" t="s">
        <v>29</v>
      </c>
      <c r="D30" s="19"/>
      <c r="E30" s="19"/>
      <c r="F30" s="19"/>
      <c r="G30" s="13"/>
      <c r="H30" s="13"/>
      <c r="I30" s="13"/>
      <c r="J30" s="13"/>
      <c r="K30" s="13"/>
      <c r="L30" s="13"/>
      <c r="M30" s="13"/>
      <c r="N30" s="13"/>
      <c r="O30" s="13"/>
      <c r="P30" s="13"/>
      <c r="Q30" s="13"/>
      <c r="R30" s="13"/>
      <c r="S30" s="13"/>
      <c r="T30" s="13"/>
      <c r="U30" s="13"/>
      <c r="V30" s="13"/>
      <c r="W30" s="13"/>
      <c r="X30" s="13"/>
      <c r="Y30" s="13"/>
    </row>
    <row r="31" spans="1:25" ht="13" x14ac:dyDescent="0.25">
      <c r="A31" s="7"/>
      <c r="B31" s="8"/>
      <c r="C31" s="9"/>
      <c r="D31" s="8"/>
      <c r="E31" s="8"/>
      <c r="F31" s="8"/>
      <c r="G31" s="13"/>
      <c r="H31" s="13"/>
      <c r="I31" s="13"/>
      <c r="J31" s="13"/>
      <c r="K31" s="13"/>
      <c r="L31" s="13"/>
      <c r="M31" s="13"/>
      <c r="N31" s="13"/>
      <c r="O31" s="13"/>
      <c r="P31" s="13"/>
      <c r="Q31" s="13"/>
      <c r="R31" s="13"/>
      <c r="S31" s="13"/>
      <c r="T31" s="13"/>
      <c r="U31" s="13"/>
      <c r="V31" s="13"/>
      <c r="W31" s="13"/>
      <c r="X31" s="13"/>
      <c r="Y31" s="13"/>
    </row>
    <row r="32" spans="1:25" ht="13" x14ac:dyDescent="0.25">
      <c r="A32" s="7"/>
      <c r="B32" s="8"/>
      <c r="C32" s="9"/>
      <c r="D32" s="8"/>
      <c r="E32" s="8"/>
      <c r="F32" s="8"/>
      <c r="G32" s="13"/>
      <c r="H32" s="13"/>
      <c r="I32" s="13"/>
      <c r="J32" s="13"/>
      <c r="K32" s="13"/>
      <c r="L32" s="13"/>
      <c r="M32" s="13"/>
      <c r="N32" s="13"/>
      <c r="O32" s="13"/>
      <c r="P32" s="13"/>
      <c r="Q32" s="13"/>
      <c r="R32" s="13"/>
      <c r="S32" s="13"/>
      <c r="T32" s="13"/>
      <c r="U32" s="13"/>
      <c r="V32" s="13"/>
      <c r="W32" s="13"/>
      <c r="X32" s="13"/>
      <c r="Y32" s="13"/>
    </row>
    <row r="33" spans="1:25" ht="13" x14ac:dyDescent="0.25">
      <c r="A33" s="7"/>
      <c r="B33" s="8"/>
      <c r="C33" s="9"/>
      <c r="D33" s="8"/>
      <c r="E33" s="8"/>
      <c r="F33" s="8"/>
      <c r="G33" s="13"/>
      <c r="H33" s="13"/>
      <c r="I33" s="13"/>
      <c r="J33" s="13"/>
      <c r="K33" s="13"/>
      <c r="L33" s="13"/>
      <c r="M33" s="13"/>
      <c r="N33" s="13"/>
      <c r="O33" s="13"/>
      <c r="P33" s="13"/>
      <c r="Q33" s="13"/>
      <c r="R33" s="13"/>
      <c r="S33" s="13"/>
      <c r="T33" s="13"/>
      <c r="U33" s="13"/>
      <c r="V33" s="13"/>
      <c r="W33" s="13"/>
      <c r="X33" s="13"/>
      <c r="Y33" s="13"/>
    </row>
    <row r="34" spans="1:25" ht="13" x14ac:dyDescent="0.25">
      <c r="A34" s="7"/>
      <c r="B34" s="8"/>
      <c r="C34" s="9"/>
      <c r="D34" s="8"/>
      <c r="E34" s="8"/>
      <c r="F34" s="8"/>
      <c r="G34" s="13"/>
      <c r="H34" s="13"/>
      <c r="I34" s="13"/>
      <c r="J34" s="13"/>
      <c r="K34" s="13"/>
      <c r="L34" s="13"/>
      <c r="M34" s="13"/>
      <c r="N34" s="13"/>
      <c r="O34" s="13"/>
      <c r="P34" s="13"/>
      <c r="Q34" s="13"/>
      <c r="R34" s="13"/>
      <c r="S34" s="13"/>
      <c r="T34" s="13"/>
      <c r="U34" s="13"/>
      <c r="V34" s="13"/>
      <c r="W34" s="13"/>
      <c r="X34" s="13"/>
      <c r="Y34" s="13"/>
    </row>
    <row r="35" spans="1:25" ht="13" x14ac:dyDescent="0.25">
      <c r="A35" s="7"/>
      <c r="B35" s="8"/>
      <c r="C35" s="9"/>
      <c r="D35" s="8"/>
      <c r="E35" s="8"/>
      <c r="F35" s="8"/>
      <c r="G35" s="13"/>
      <c r="H35" s="13"/>
      <c r="I35" s="13"/>
      <c r="J35" s="13"/>
      <c r="K35" s="13"/>
      <c r="L35" s="13"/>
      <c r="M35" s="13"/>
      <c r="N35" s="13"/>
      <c r="O35" s="13"/>
      <c r="P35" s="13"/>
      <c r="Q35" s="13"/>
      <c r="R35" s="13"/>
      <c r="S35" s="13"/>
      <c r="T35" s="13"/>
      <c r="U35" s="13"/>
      <c r="V35" s="13"/>
      <c r="W35" s="13"/>
      <c r="X35" s="13"/>
      <c r="Y35" s="13"/>
    </row>
    <row r="36" spans="1:25" ht="13" x14ac:dyDescent="0.25">
      <c r="A36" s="7"/>
      <c r="B36" s="8"/>
      <c r="C36" s="9"/>
      <c r="D36" s="8"/>
      <c r="E36" s="8"/>
      <c r="F36" s="8"/>
      <c r="G36" s="13"/>
      <c r="H36" s="13"/>
      <c r="I36" s="13"/>
      <c r="J36" s="13"/>
      <c r="K36" s="13"/>
      <c r="L36" s="13"/>
      <c r="M36" s="13"/>
      <c r="N36" s="13"/>
      <c r="O36" s="13"/>
      <c r="P36" s="13"/>
      <c r="Q36" s="13"/>
      <c r="R36" s="13"/>
      <c r="S36" s="13"/>
      <c r="T36" s="13"/>
      <c r="U36" s="13"/>
      <c r="V36" s="13"/>
      <c r="W36" s="13"/>
      <c r="X36" s="13"/>
      <c r="Y36" s="13"/>
    </row>
    <row r="37" spans="1:25" ht="13" x14ac:dyDescent="0.25">
      <c r="A37" s="7"/>
      <c r="B37" s="8"/>
      <c r="C37" s="9"/>
      <c r="D37" s="8"/>
      <c r="E37" s="8"/>
      <c r="F37" s="8"/>
      <c r="G37" s="13"/>
      <c r="H37" s="13"/>
      <c r="I37" s="13"/>
      <c r="J37" s="13"/>
      <c r="K37" s="13"/>
      <c r="L37" s="13"/>
      <c r="M37" s="13"/>
      <c r="N37" s="13"/>
      <c r="O37" s="13"/>
      <c r="P37" s="13"/>
      <c r="Q37" s="13"/>
      <c r="R37" s="13"/>
      <c r="S37" s="13"/>
      <c r="T37" s="13"/>
      <c r="U37" s="13"/>
      <c r="V37" s="13"/>
      <c r="W37" s="13"/>
      <c r="X37" s="13"/>
      <c r="Y37" s="13"/>
    </row>
    <row r="38" spans="1:25" ht="13" x14ac:dyDescent="0.25">
      <c r="A38" s="7"/>
      <c r="B38" s="8"/>
      <c r="C38" s="9"/>
      <c r="D38" s="8"/>
      <c r="E38" s="8"/>
      <c r="F38" s="8"/>
      <c r="G38" s="13"/>
      <c r="H38" s="13"/>
      <c r="I38" s="13"/>
      <c r="J38" s="13"/>
      <c r="K38" s="13"/>
      <c r="L38" s="13"/>
      <c r="M38" s="13"/>
      <c r="N38" s="13"/>
      <c r="O38" s="13"/>
      <c r="P38" s="13"/>
      <c r="Q38" s="13"/>
      <c r="R38" s="13"/>
      <c r="S38" s="13"/>
      <c r="T38" s="13"/>
      <c r="U38" s="13"/>
      <c r="V38" s="13"/>
      <c r="W38" s="13"/>
      <c r="X38" s="13"/>
      <c r="Y38" s="13"/>
    </row>
    <row r="39" spans="1:25" ht="52" x14ac:dyDescent="0.25">
      <c r="A39" s="4" t="s">
        <v>6</v>
      </c>
      <c r="B39" s="5" t="s">
        <v>30</v>
      </c>
      <c r="C39" s="6" t="s">
        <v>31</v>
      </c>
      <c r="D39" s="5"/>
      <c r="E39" s="5"/>
      <c r="F39" s="5"/>
      <c r="G39" s="13"/>
      <c r="H39" s="13"/>
      <c r="I39" s="13"/>
      <c r="J39" s="13"/>
      <c r="K39" s="13"/>
      <c r="L39" s="13"/>
      <c r="M39" s="13"/>
      <c r="N39" s="13"/>
      <c r="O39" s="13"/>
      <c r="P39" s="13"/>
      <c r="Q39" s="13"/>
      <c r="R39" s="13"/>
      <c r="S39" s="13"/>
      <c r="T39" s="13"/>
      <c r="U39" s="13"/>
      <c r="V39" s="13"/>
      <c r="W39" s="13"/>
      <c r="X39" s="13"/>
      <c r="Y39" s="13"/>
    </row>
    <row r="40" spans="1:25" ht="13" x14ac:dyDescent="0.25">
      <c r="A40" s="7"/>
      <c r="B40" s="8"/>
      <c r="C40" s="9"/>
      <c r="D40" s="8"/>
      <c r="E40" s="8"/>
      <c r="F40" s="8"/>
      <c r="G40" s="13"/>
      <c r="H40" s="13"/>
      <c r="I40" s="13"/>
      <c r="J40" s="13"/>
      <c r="K40" s="13"/>
      <c r="L40" s="13"/>
      <c r="M40" s="13"/>
      <c r="N40" s="13"/>
      <c r="O40" s="13"/>
      <c r="P40" s="13"/>
      <c r="Q40" s="13"/>
      <c r="R40" s="13"/>
      <c r="S40" s="13"/>
      <c r="T40" s="13"/>
      <c r="U40" s="13"/>
      <c r="V40" s="13"/>
      <c r="W40" s="13"/>
      <c r="X40" s="13"/>
      <c r="Y40" s="13"/>
    </row>
    <row r="41" spans="1:25" ht="13" x14ac:dyDescent="0.25">
      <c r="A41" s="7"/>
      <c r="B41" s="8"/>
      <c r="C41" s="9"/>
      <c r="D41" s="8"/>
      <c r="E41" s="8"/>
      <c r="F41" s="8"/>
      <c r="G41" s="13"/>
      <c r="H41" s="13"/>
      <c r="I41" s="13"/>
      <c r="J41" s="13"/>
      <c r="K41" s="13"/>
      <c r="L41" s="13"/>
      <c r="M41" s="13"/>
      <c r="N41" s="13"/>
      <c r="O41" s="13"/>
      <c r="P41" s="13"/>
      <c r="Q41" s="13"/>
      <c r="R41" s="13"/>
      <c r="S41" s="13"/>
      <c r="T41" s="13"/>
      <c r="U41" s="13"/>
      <c r="V41" s="13"/>
      <c r="W41" s="13"/>
      <c r="X41" s="13"/>
      <c r="Y41" s="13"/>
    </row>
    <row r="42" spans="1:25" ht="13" x14ac:dyDescent="0.25">
      <c r="A42" s="7"/>
      <c r="B42" s="8"/>
      <c r="C42" s="9"/>
      <c r="D42" s="8"/>
      <c r="E42" s="8"/>
      <c r="F42" s="8"/>
      <c r="G42" s="13"/>
      <c r="H42" s="13"/>
      <c r="I42" s="13"/>
      <c r="J42" s="13"/>
      <c r="K42" s="13"/>
      <c r="L42" s="13"/>
      <c r="M42" s="13"/>
      <c r="N42" s="13"/>
      <c r="O42" s="13"/>
      <c r="P42" s="13"/>
      <c r="Q42" s="13"/>
      <c r="R42" s="13"/>
      <c r="S42" s="13"/>
      <c r="T42" s="13"/>
      <c r="U42" s="13"/>
      <c r="V42" s="13"/>
      <c r="W42" s="13"/>
      <c r="X42" s="13"/>
      <c r="Y42" s="13"/>
    </row>
    <row r="43" spans="1:25" ht="13" x14ac:dyDescent="0.25">
      <c r="A43" s="7"/>
      <c r="B43" s="8"/>
      <c r="C43" s="9"/>
      <c r="D43" s="8"/>
      <c r="E43" s="8"/>
      <c r="F43" s="8"/>
      <c r="G43" s="13"/>
      <c r="H43" s="13"/>
      <c r="I43" s="13"/>
      <c r="J43" s="13"/>
      <c r="K43" s="13"/>
      <c r="L43" s="13"/>
      <c r="M43" s="13"/>
      <c r="N43" s="13"/>
      <c r="O43" s="13"/>
      <c r="P43" s="13"/>
      <c r="Q43" s="13"/>
      <c r="R43" s="13"/>
      <c r="S43" s="13"/>
      <c r="T43" s="13"/>
      <c r="U43" s="13"/>
      <c r="V43" s="13"/>
      <c r="W43" s="13"/>
      <c r="X43" s="13"/>
      <c r="Y43" s="13"/>
    </row>
    <row r="44" spans="1:25" ht="13" x14ac:dyDescent="0.25">
      <c r="A44" s="7"/>
      <c r="B44" s="8"/>
      <c r="C44" s="9"/>
      <c r="D44" s="8"/>
      <c r="E44" s="8"/>
      <c r="F44" s="8"/>
      <c r="G44" s="13"/>
      <c r="H44" s="13"/>
      <c r="I44" s="13"/>
      <c r="J44" s="13"/>
      <c r="K44" s="13"/>
      <c r="L44" s="13"/>
      <c r="M44" s="13"/>
      <c r="N44" s="13"/>
      <c r="O44" s="13"/>
      <c r="P44" s="13"/>
      <c r="Q44" s="13"/>
      <c r="R44" s="13"/>
      <c r="S44" s="13"/>
      <c r="T44" s="13"/>
      <c r="U44" s="13"/>
      <c r="V44" s="13"/>
      <c r="W44" s="13"/>
      <c r="X44" s="13"/>
      <c r="Y44" s="13"/>
    </row>
    <row r="45" spans="1:25" ht="13" x14ac:dyDescent="0.25">
      <c r="A45" s="7"/>
      <c r="B45" s="8"/>
      <c r="C45" s="9"/>
      <c r="D45" s="8"/>
      <c r="E45" s="8"/>
      <c r="F45" s="8"/>
      <c r="G45" s="13"/>
      <c r="H45" s="13"/>
      <c r="I45" s="13"/>
      <c r="J45" s="13"/>
      <c r="K45" s="13"/>
      <c r="L45" s="13"/>
      <c r="M45" s="13"/>
      <c r="N45" s="13"/>
      <c r="O45" s="13"/>
      <c r="P45" s="13"/>
      <c r="Q45" s="13"/>
      <c r="R45" s="13"/>
      <c r="S45" s="13"/>
      <c r="T45" s="13"/>
      <c r="U45" s="13"/>
      <c r="V45" s="13"/>
      <c r="W45" s="13"/>
      <c r="X45" s="13"/>
      <c r="Y45" s="13"/>
    </row>
    <row r="46" spans="1:25" ht="13" x14ac:dyDescent="0.25">
      <c r="A46" s="7"/>
      <c r="B46" s="8"/>
      <c r="C46" s="9"/>
      <c r="D46" s="8"/>
      <c r="E46" s="8"/>
      <c r="F46" s="8"/>
      <c r="G46" s="13"/>
      <c r="H46" s="13"/>
      <c r="I46" s="13"/>
      <c r="J46" s="13"/>
      <c r="K46" s="13"/>
      <c r="L46" s="13"/>
      <c r="M46" s="13"/>
      <c r="N46" s="13"/>
      <c r="O46" s="13"/>
      <c r="P46" s="13"/>
      <c r="Q46" s="13"/>
      <c r="R46" s="13"/>
      <c r="S46" s="13"/>
      <c r="T46" s="13"/>
      <c r="U46" s="13"/>
      <c r="V46" s="13"/>
      <c r="W46" s="13"/>
      <c r="X46" s="13"/>
      <c r="Y46" s="13"/>
    </row>
    <row r="47" spans="1:25" ht="13" x14ac:dyDescent="0.25">
      <c r="A47" s="7"/>
      <c r="B47" s="8"/>
      <c r="C47" s="9"/>
      <c r="D47" s="8"/>
      <c r="E47" s="8"/>
      <c r="F47" s="8"/>
      <c r="G47" s="13"/>
      <c r="H47" s="13"/>
      <c r="I47" s="13"/>
      <c r="J47" s="13"/>
      <c r="K47" s="13"/>
      <c r="L47" s="13"/>
      <c r="M47" s="13"/>
      <c r="N47" s="13"/>
      <c r="O47" s="13"/>
      <c r="P47" s="13"/>
      <c r="Q47" s="13"/>
      <c r="R47" s="13"/>
      <c r="S47" s="13"/>
      <c r="T47" s="13"/>
      <c r="U47" s="13"/>
      <c r="V47" s="13"/>
      <c r="W47" s="13"/>
      <c r="X47" s="13"/>
      <c r="Y47" s="13"/>
    </row>
    <row r="48" spans="1:25" ht="12.75" customHeight="1" x14ac:dyDescent="0.25">
      <c r="A48" s="13"/>
      <c r="B48" s="13"/>
      <c r="C48" s="13"/>
      <c r="D48" s="13"/>
      <c r="E48" s="13"/>
      <c r="F48" s="13"/>
      <c r="G48" s="13"/>
      <c r="H48" s="13"/>
      <c r="I48" s="13"/>
      <c r="J48" s="13"/>
      <c r="K48" s="13"/>
      <c r="L48" s="13"/>
      <c r="M48" s="13"/>
      <c r="N48" s="13"/>
      <c r="O48" s="13"/>
      <c r="P48" s="13"/>
      <c r="Q48" s="13"/>
      <c r="R48" s="13"/>
      <c r="S48" s="13"/>
      <c r="T48" s="13"/>
      <c r="U48" s="13"/>
      <c r="V48" s="13"/>
      <c r="W48" s="13"/>
      <c r="X48" s="13"/>
      <c r="Y48" s="13"/>
    </row>
    <row r="49" spans="1:25" ht="12.75" customHeight="1" x14ac:dyDescent="0.25">
      <c r="A49" s="13"/>
      <c r="B49" s="13"/>
      <c r="C49" s="13"/>
      <c r="D49" s="13"/>
      <c r="E49" s="13"/>
      <c r="F49" s="13"/>
      <c r="G49" s="13"/>
      <c r="H49" s="13"/>
      <c r="I49" s="13"/>
      <c r="J49" s="13"/>
      <c r="K49" s="13"/>
      <c r="L49" s="13"/>
      <c r="M49" s="13"/>
      <c r="N49" s="13"/>
      <c r="O49" s="13"/>
      <c r="P49" s="13"/>
      <c r="Q49" s="13"/>
      <c r="R49" s="13"/>
      <c r="S49" s="13"/>
      <c r="T49" s="13"/>
      <c r="U49" s="13"/>
      <c r="V49" s="13"/>
      <c r="W49" s="13"/>
      <c r="X49" s="13"/>
      <c r="Y49" s="13"/>
    </row>
    <row r="50" spans="1:25" ht="12.75" customHeight="1" x14ac:dyDescent="0.25">
      <c r="A50" s="13"/>
      <c r="B50" s="13"/>
      <c r="C50" s="13"/>
      <c r="D50" s="13"/>
      <c r="E50" s="13"/>
      <c r="F50" s="13"/>
      <c r="G50" s="13"/>
      <c r="H50" s="13"/>
      <c r="I50" s="13"/>
      <c r="J50" s="13"/>
      <c r="K50" s="13"/>
      <c r="L50" s="13"/>
      <c r="M50" s="13"/>
      <c r="N50" s="13"/>
      <c r="O50" s="13"/>
      <c r="P50" s="13"/>
      <c r="Q50" s="13"/>
      <c r="R50" s="13"/>
      <c r="S50" s="13"/>
      <c r="T50" s="13"/>
      <c r="U50" s="13"/>
      <c r="V50" s="13"/>
      <c r="W50" s="13"/>
      <c r="X50" s="13"/>
      <c r="Y50" s="13"/>
    </row>
    <row r="51" spans="1:25" ht="12.75" customHeight="1" x14ac:dyDescent="0.25">
      <c r="A51" s="13"/>
      <c r="B51" s="13"/>
      <c r="C51" s="13"/>
      <c r="D51" s="13"/>
      <c r="E51" s="13"/>
      <c r="F51" s="13"/>
      <c r="G51" s="13"/>
      <c r="H51" s="13"/>
      <c r="I51" s="13"/>
      <c r="J51" s="13"/>
      <c r="K51" s="13"/>
      <c r="L51" s="13"/>
      <c r="M51" s="13"/>
      <c r="N51" s="13"/>
      <c r="O51" s="13"/>
      <c r="P51" s="13"/>
      <c r="Q51" s="13"/>
      <c r="R51" s="13"/>
      <c r="S51" s="13"/>
      <c r="T51" s="13"/>
      <c r="U51" s="13"/>
      <c r="V51" s="13"/>
      <c r="W51" s="13"/>
      <c r="X51" s="13"/>
      <c r="Y51" s="13"/>
    </row>
    <row r="52" spans="1:25" ht="12.75" customHeight="1" x14ac:dyDescent="0.25">
      <c r="A52" s="13"/>
      <c r="B52" s="13"/>
      <c r="C52" s="13"/>
      <c r="D52" s="13"/>
      <c r="E52" s="13"/>
      <c r="F52" s="13"/>
      <c r="G52" s="13"/>
      <c r="H52" s="13"/>
      <c r="I52" s="13"/>
      <c r="J52" s="13"/>
      <c r="K52" s="13"/>
      <c r="L52" s="13"/>
      <c r="M52" s="13"/>
      <c r="N52" s="13"/>
      <c r="O52" s="13"/>
      <c r="P52" s="13"/>
      <c r="Q52" s="13"/>
      <c r="R52" s="13"/>
      <c r="S52" s="13"/>
      <c r="T52" s="13"/>
      <c r="U52" s="13"/>
      <c r="V52" s="13"/>
      <c r="W52" s="13"/>
      <c r="X52" s="13"/>
      <c r="Y52" s="13"/>
    </row>
    <row r="53" spans="1:25" ht="12.75" customHeight="1" x14ac:dyDescent="0.25">
      <c r="A53" s="13"/>
      <c r="B53" s="13"/>
      <c r="C53" s="13"/>
      <c r="D53" s="13"/>
      <c r="E53" s="13"/>
      <c r="F53" s="13"/>
      <c r="G53" s="13"/>
      <c r="H53" s="13"/>
      <c r="I53" s="13"/>
      <c r="J53" s="13"/>
      <c r="K53" s="13"/>
      <c r="L53" s="13"/>
      <c r="M53" s="13"/>
      <c r="N53" s="13"/>
      <c r="O53" s="13"/>
      <c r="P53" s="13"/>
      <c r="Q53" s="13"/>
      <c r="R53" s="13"/>
      <c r="S53" s="13"/>
      <c r="T53" s="13"/>
      <c r="U53" s="13"/>
      <c r="V53" s="13"/>
      <c r="W53" s="13"/>
      <c r="X53" s="13"/>
      <c r="Y53" s="13"/>
    </row>
    <row r="54" spans="1:25" ht="12.75" customHeight="1" x14ac:dyDescent="0.25">
      <c r="A54" s="13"/>
      <c r="B54" s="13"/>
      <c r="C54" s="13"/>
      <c r="D54" s="13"/>
      <c r="E54" s="13"/>
      <c r="F54" s="13"/>
      <c r="G54" s="13"/>
      <c r="H54" s="13"/>
      <c r="I54" s="13"/>
      <c r="J54" s="13"/>
      <c r="K54" s="13"/>
      <c r="L54" s="13"/>
      <c r="M54" s="13"/>
      <c r="N54" s="13"/>
      <c r="O54" s="13"/>
      <c r="P54" s="13"/>
      <c r="Q54" s="13"/>
      <c r="R54" s="13"/>
      <c r="S54" s="13"/>
      <c r="T54" s="13"/>
      <c r="U54" s="13"/>
      <c r="V54" s="13"/>
      <c r="W54" s="13"/>
      <c r="X54" s="13"/>
      <c r="Y54" s="13"/>
    </row>
    <row r="55" spans="1:25" ht="12.75" customHeight="1" x14ac:dyDescent="0.25">
      <c r="A55" s="13"/>
      <c r="B55" s="13"/>
      <c r="C55" s="13"/>
      <c r="D55" s="13"/>
      <c r="E55" s="13"/>
      <c r="F55" s="13"/>
      <c r="G55" s="13"/>
      <c r="H55" s="13"/>
      <c r="I55" s="13"/>
      <c r="J55" s="13"/>
      <c r="K55" s="13"/>
      <c r="L55" s="13"/>
      <c r="M55" s="13"/>
      <c r="N55" s="13"/>
      <c r="O55" s="13"/>
      <c r="P55" s="13"/>
      <c r="Q55" s="13"/>
      <c r="R55" s="13"/>
      <c r="S55" s="13"/>
      <c r="T55" s="13"/>
      <c r="U55" s="13"/>
      <c r="V55" s="13"/>
      <c r="W55" s="13"/>
      <c r="X55" s="13"/>
      <c r="Y55" s="13"/>
    </row>
    <row r="56" spans="1:25" ht="12.75" customHeight="1" x14ac:dyDescent="0.25">
      <c r="A56" s="13"/>
      <c r="B56" s="13"/>
      <c r="C56" s="13"/>
      <c r="D56" s="13"/>
      <c r="E56" s="13"/>
      <c r="F56" s="13"/>
      <c r="G56" s="13"/>
      <c r="H56" s="13"/>
      <c r="I56" s="13"/>
      <c r="J56" s="13"/>
      <c r="K56" s="13"/>
      <c r="L56" s="13"/>
      <c r="M56" s="13"/>
      <c r="N56" s="13"/>
      <c r="O56" s="13"/>
      <c r="P56" s="13"/>
      <c r="Q56" s="13"/>
      <c r="R56" s="13"/>
      <c r="S56" s="13"/>
      <c r="T56" s="13"/>
      <c r="U56" s="13"/>
      <c r="V56" s="13"/>
      <c r="W56" s="13"/>
      <c r="X56" s="13"/>
      <c r="Y56" s="13"/>
    </row>
    <row r="57" spans="1:25" ht="12.75" customHeight="1" x14ac:dyDescent="0.25">
      <c r="A57" s="13"/>
      <c r="B57" s="13"/>
      <c r="C57" s="13"/>
      <c r="D57" s="13"/>
      <c r="E57" s="13"/>
      <c r="F57" s="13"/>
      <c r="G57" s="13"/>
      <c r="H57" s="13"/>
      <c r="I57" s="13"/>
      <c r="J57" s="13"/>
      <c r="K57" s="13"/>
      <c r="L57" s="13"/>
      <c r="M57" s="13"/>
      <c r="N57" s="13"/>
      <c r="O57" s="13"/>
      <c r="P57" s="13"/>
      <c r="Q57" s="13"/>
      <c r="R57" s="13"/>
      <c r="S57" s="13"/>
      <c r="T57" s="13"/>
      <c r="U57" s="13"/>
      <c r="V57" s="13"/>
      <c r="W57" s="13"/>
      <c r="X57" s="13"/>
      <c r="Y57" s="13"/>
    </row>
    <row r="58" spans="1:25" ht="12.75" customHeight="1" x14ac:dyDescent="0.25">
      <c r="A58" s="13"/>
      <c r="B58" s="13"/>
      <c r="C58" s="13"/>
      <c r="D58" s="13"/>
      <c r="E58" s="13"/>
      <c r="F58" s="13"/>
      <c r="G58" s="13"/>
      <c r="H58" s="13"/>
      <c r="I58" s="13"/>
      <c r="J58" s="13"/>
      <c r="K58" s="13"/>
      <c r="L58" s="13"/>
      <c r="M58" s="13"/>
      <c r="N58" s="13"/>
      <c r="O58" s="13"/>
      <c r="P58" s="13"/>
      <c r="Q58" s="13"/>
      <c r="R58" s="13"/>
      <c r="S58" s="13"/>
      <c r="T58" s="13"/>
      <c r="U58" s="13"/>
      <c r="V58" s="13"/>
      <c r="W58" s="13"/>
      <c r="X58" s="13"/>
      <c r="Y58" s="13"/>
    </row>
    <row r="59" spans="1:25" ht="12.75" customHeight="1" x14ac:dyDescent="0.25">
      <c r="A59" s="13"/>
      <c r="B59" s="13"/>
      <c r="C59" s="13"/>
      <c r="D59" s="13"/>
      <c r="E59" s="13"/>
      <c r="F59" s="13"/>
      <c r="G59" s="13"/>
      <c r="H59" s="13"/>
      <c r="I59" s="13"/>
      <c r="J59" s="13"/>
      <c r="K59" s="13"/>
      <c r="L59" s="13"/>
      <c r="M59" s="13"/>
      <c r="N59" s="13"/>
      <c r="O59" s="13"/>
      <c r="P59" s="13"/>
      <c r="Q59" s="13"/>
      <c r="R59" s="13"/>
      <c r="S59" s="13"/>
      <c r="T59" s="13"/>
      <c r="U59" s="13"/>
      <c r="V59" s="13"/>
      <c r="W59" s="13"/>
      <c r="X59" s="13"/>
      <c r="Y59" s="13"/>
    </row>
    <row r="60" spans="1:25" ht="12.75" customHeight="1" x14ac:dyDescent="0.25">
      <c r="A60" s="13"/>
      <c r="B60" s="13"/>
      <c r="C60" s="13"/>
      <c r="D60" s="13"/>
      <c r="E60" s="13"/>
      <c r="F60" s="13"/>
      <c r="G60" s="13"/>
      <c r="H60" s="13"/>
      <c r="I60" s="13"/>
      <c r="J60" s="13"/>
      <c r="K60" s="13"/>
      <c r="L60" s="13"/>
      <c r="M60" s="13"/>
      <c r="N60" s="13"/>
      <c r="O60" s="13"/>
      <c r="P60" s="13"/>
      <c r="Q60" s="13"/>
      <c r="R60" s="13"/>
      <c r="S60" s="13"/>
      <c r="T60" s="13"/>
      <c r="U60" s="13"/>
      <c r="V60" s="13"/>
      <c r="W60" s="13"/>
      <c r="X60" s="13"/>
      <c r="Y60" s="13"/>
    </row>
    <row r="61" spans="1:25" ht="12.75" customHeight="1" x14ac:dyDescent="0.25">
      <c r="A61" s="13"/>
      <c r="B61" s="13"/>
      <c r="C61" s="13"/>
      <c r="D61" s="13"/>
      <c r="E61" s="13"/>
      <c r="F61" s="13"/>
      <c r="G61" s="13"/>
      <c r="H61" s="13"/>
      <c r="I61" s="13"/>
      <c r="J61" s="13"/>
      <c r="K61" s="13"/>
      <c r="L61" s="13"/>
      <c r="M61" s="13"/>
      <c r="N61" s="13"/>
      <c r="O61" s="13"/>
      <c r="P61" s="13"/>
      <c r="Q61" s="13"/>
      <c r="R61" s="13"/>
      <c r="S61" s="13"/>
      <c r="T61" s="13"/>
      <c r="U61" s="13"/>
      <c r="V61" s="13"/>
      <c r="W61" s="13"/>
      <c r="X61" s="13"/>
      <c r="Y61" s="13"/>
    </row>
    <row r="62" spans="1:25" ht="12.75" customHeight="1" x14ac:dyDescent="0.25">
      <c r="A62" s="13"/>
      <c r="B62" s="13"/>
      <c r="C62" s="13"/>
      <c r="D62" s="13"/>
      <c r="E62" s="13"/>
      <c r="F62" s="13"/>
      <c r="G62" s="13"/>
      <c r="H62" s="13"/>
      <c r="I62" s="13"/>
      <c r="J62" s="13"/>
      <c r="K62" s="13"/>
      <c r="L62" s="13"/>
      <c r="M62" s="13"/>
      <c r="N62" s="13"/>
      <c r="O62" s="13"/>
      <c r="P62" s="13"/>
      <c r="Q62" s="13"/>
      <c r="R62" s="13"/>
      <c r="S62" s="13"/>
      <c r="T62" s="13"/>
      <c r="U62" s="13"/>
      <c r="V62" s="13"/>
      <c r="W62" s="13"/>
      <c r="X62" s="13"/>
      <c r="Y62" s="13"/>
    </row>
    <row r="63" spans="1:25" ht="12.75" customHeight="1" x14ac:dyDescent="0.25">
      <c r="A63" s="13"/>
      <c r="B63" s="13"/>
      <c r="C63" s="13"/>
      <c r="D63" s="13"/>
      <c r="E63" s="13"/>
      <c r="F63" s="13"/>
      <c r="G63" s="13"/>
      <c r="H63" s="13"/>
      <c r="I63" s="13"/>
      <c r="J63" s="13"/>
      <c r="K63" s="13"/>
      <c r="L63" s="13"/>
      <c r="M63" s="13"/>
      <c r="N63" s="13"/>
      <c r="O63" s="13"/>
      <c r="P63" s="13"/>
      <c r="Q63" s="13"/>
      <c r="R63" s="13"/>
      <c r="S63" s="13"/>
      <c r="T63" s="13"/>
      <c r="U63" s="13"/>
      <c r="V63" s="13"/>
      <c r="W63" s="13"/>
      <c r="X63" s="13"/>
      <c r="Y63" s="13"/>
    </row>
    <row r="64" spans="1:25" ht="12.75" customHeight="1" x14ac:dyDescent="0.25">
      <c r="A64" s="13"/>
      <c r="B64" s="13"/>
      <c r="C64" s="13"/>
      <c r="D64" s="13"/>
      <c r="E64" s="13"/>
      <c r="F64" s="13"/>
      <c r="G64" s="13"/>
      <c r="H64" s="13"/>
      <c r="I64" s="13"/>
      <c r="J64" s="13"/>
      <c r="K64" s="13"/>
      <c r="L64" s="13"/>
      <c r="M64" s="13"/>
      <c r="N64" s="13"/>
      <c r="O64" s="13"/>
      <c r="P64" s="13"/>
      <c r="Q64" s="13"/>
      <c r="R64" s="13"/>
      <c r="S64" s="13"/>
      <c r="T64" s="13"/>
      <c r="U64" s="13"/>
      <c r="V64" s="13"/>
      <c r="W64" s="13"/>
      <c r="X64" s="13"/>
      <c r="Y64" s="13"/>
    </row>
    <row r="65" spans="1:25" ht="12.75" customHeight="1" x14ac:dyDescent="0.25">
      <c r="A65" s="13"/>
      <c r="B65" s="13"/>
      <c r="C65" s="13"/>
      <c r="D65" s="13"/>
      <c r="E65" s="13"/>
      <c r="F65" s="13"/>
      <c r="G65" s="13"/>
      <c r="H65" s="13"/>
      <c r="I65" s="13"/>
      <c r="J65" s="13"/>
      <c r="K65" s="13"/>
      <c r="L65" s="13"/>
      <c r="M65" s="13"/>
      <c r="N65" s="13"/>
      <c r="O65" s="13"/>
      <c r="P65" s="13"/>
      <c r="Q65" s="13"/>
      <c r="R65" s="13"/>
      <c r="S65" s="13"/>
      <c r="T65" s="13"/>
      <c r="U65" s="13"/>
      <c r="V65" s="13"/>
      <c r="W65" s="13"/>
      <c r="X65" s="13"/>
      <c r="Y65" s="13"/>
    </row>
    <row r="66" spans="1:25" ht="12.75" customHeight="1" x14ac:dyDescent="0.25">
      <c r="A66" s="13"/>
      <c r="B66" s="13"/>
      <c r="C66" s="13"/>
      <c r="D66" s="13"/>
      <c r="E66" s="13"/>
      <c r="F66" s="13"/>
      <c r="G66" s="13"/>
      <c r="H66" s="13"/>
      <c r="I66" s="13"/>
      <c r="J66" s="13"/>
      <c r="K66" s="13"/>
      <c r="L66" s="13"/>
      <c r="M66" s="13"/>
      <c r="N66" s="13"/>
      <c r="O66" s="13"/>
      <c r="P66" s="13"/>
      <c r="Q66" s="13"/>
      <c r="R66" s="13"/>
      <c r="S66" s="13"/>
      <c r="T66" s="13"/>
      <c r="U66" s="13"/>
      <c r="V66" s="13"/>
      <c r="W66" s="13"/>
      <c r="X66" s="13"/>
      <c r="Y66" s="13"/>
    </row>
    <row r="67" spans="1:25" ht="12.75" customHeight="1" x14ac:dyDescent="0.25">
      <c r="A67" s="13"/>
      <c r="B67" s="13"/>
      <c r="C67" s="13"/>
      <c r="D67" s="13"/>
      <c r="E67" s="13"/>
      <c r="F67" s="13"/>
      <c r="G67" s="13"/>
      <c r="H67" s="13"/>
      <c r="I67" s="13"/>
      <c r="J67" s="13"/>
      <c r="K67" s="13"/>
      <c r="L67" s="13"/>
      <c r="M67" s="13"/>
      <c r="N67" s="13"/>
      <c r="O67" s="13"/>
      <c r="P67" s="13"/>
      <c r="Q67" s="13"/>
      <c r="R67" s="13"/>
      <c r="S67" s="13"/>
      <c r="T67" s="13"/>
      <c r="U67" s="13"/>
      <c r="V67" s="13"/>
      <c r="W67" s="13"/>
      <c r="X67" s="13"/>
      <c r="Y67" s="13"/>
    </row>
    <row r="68" spans="1:25" ht="12.75" customHeight="1" x14ac:dyDescent="0.25">
      <c r="A68" s="13"/>
      <c r="B68" s="13"/>
      <c r="C68" s="13"/>
      <c r="D68" s="13"/>
      <c r="E68" s="13"/>
      <c r="F68" s="13"/>
      <c r="G68" s="13"/>
      <c r="H68" s="13"/>
      <c r="I68" s="13"/>
      <c r="J68" s="13"/>
      <c r="K68" s="13"/>
      <c r="L68" s="13"/>
      <c r="M68" s="13"/>
      <c r="N68" s="13"/>
      <c r="O68" s="13"/>
      <c r="P68" s="13"/>
      <c r="Q68" s="13"/>
      <c r="R68" s="13"/>
      <c r="S68" s="13"/>
      <c r="T68" s="13"/>
      <c r="U68" s="13"/>
      <c r="V68" s="13"/>
      <c r="W68" s="13"/>
      <c r="X68" s="13"/>
      <c r="Y68" s="13"/>
    </row>
    <row r="69" spans="1:25" ht="12.75" customHeight="1" x14ac:dyDescent="0.25">
      <c r="A69" s="13"/>
      <c r="B69" s="13"/>
      <c r="C69" s="13"/>
      <c r="D69" s="13"/>
      <c r="E69" s="13"/>
      <c r="F69" s="13"/>
      <c r="G69" s="13"/>
      <c r="H69" s="13"/>
      <c r="I69" s="13"/>
      <c r="J69" s="13"/>
      <c r="K69" s="13"/>
      <c r="L69" s="13"/>
      <c r="M69" s="13"/>
      <c r="N69" s="13"/>
      <c r="O69" s="13"/>
      <c r="P69" s="13"/>
      <c r="Q69" s="13"/>
      <c r="R69" s="13"/>
      <c r="S69" s="13"/>
      <c r="T69" s="13"/>
      <c r="U69" s="13"/>
      <c r="V69" s="13"/>
      <c r="W69" s="13"/>
      <c r="X69" s="13"/>
      <c r="Y69" s="13"/>
    </row>
    <row r="70" spans="1:25" ht="12.75" customHeight="1" x14ac:dyDescent="0.25">
      <c r="A70" s="13"/>
      <c r="B70" s="13"/>
      <c r="C70" s="13"/>
      <c r="D70" s="13"/>
      <c r="E70" s="13"/>
      <c r="F70" s="13"/>
      <c r="G70" s="13"/>
      <c r="H70" s="13"/>
      <c r="I70" s="13"/>
      <c r="J70" s="13"/>
      <c r="K70" s="13"/>
      <c r="L70" s="13"/>
      <c r="M70" s="13"/>
      <c r="N70" s="13"/>
      <c r="O70" s="13"/>
      <c r="P70" s="13"/>
      <c r="Q70" s="13"/>
      <c r="R70" s="13"/>
      <c r="S70" s="13"/>
      <c r="T70" s="13"/>
      <c r="U70" s="13"/>
      <c r="V70" s="13"/>
      <c r="W70" s="13"/>
      <c r="X70" s="13"/>
      <c r="Y70" s="13"/>
    </row>
    <row r="71" spans="1:25" ht="12.75" customHeight="1" x14ac:dyDescent="0.25">
      <c r="A71" s="13"/>
      <c r="B71" s="13"/>
      <c r="C71" s="13"/>
      <c r="D71" s="13"/>
      <c r="E71" s="13"/>
      <c r="F71" s="13"/>
      <c r="G71" s="13"/>
      <c r="H71" s="13"/>
      <c r="I71" s="13"/>
      <c r="J71" s="13"/>
      <c r="K71" s="13"/>
      <c r="L71" s="13"/>
      <c r="M71" s="13"/>
      <c r="N71" s="13"/>
      <c r="O71" s="13"/>
      <c r="P71" s="13"/>
      <c r="Q71" s="13"/>
      <c r="R71" s="13"/>
      <c r="S71" s="13"/>
      <c r="T71" s="13"/>
      <c r="U71" s="13"/>
      <c r="V71" s="13"/>
      <c r="W71" s="13"/>
      <c r="X71" s="13"/>
      <c r="Y71" s="13"/>
    </row>
    <row r="72" spans="1:25" ht="12.75" customHeight="1" x14ac:dyDescent="0.25">
      <c r="A72" s="13"/>
      <c r="B72" s="13"/>
      <c r="C72" s="13"/>
      <c r="D72" s="13"/>
      <c r="E72" s="13"/>
      <c r="F72" s="13"/>
      <c r="G72" s="13"/>
      <c r="H72" s="13"/>
      <c r="I72" s="13"/>
      <c r="J72" s="13"/>
      <c r="K72" s="13"/>
      <c r="L72" s="13"/>
      <c r="M72" s="13"/>
      <c r="N72" s="13"/>
      <c r="O72" s="13"/>
      <c r="P72" s="13"/>
      <c r="Q72" s="13"/>
      <c r="R72" s="13"/>
      <c r="S72" s="13"/>
      <c r="T72" s="13"/>
      <c r="U72" s="13"/>
      <c r="V72" s="13"/>
      <c r="W72" s="13"/>
      <c r="X72" s="13"/>
      <c r="Y72" s="13"/>
    </row>
    <row r="73" spans="1:25" ht="12.75" customHeight="1" x14ac:dyDescent="0.25">
      <c r="A73" s="13"/>
      <c r="B73" s="13"/>
      <c r="C73" s="13"/>
      <c r="D73" s="13"/>
      <c r="E73" s="13"/>
      <c r="F73" s="13"/>
      <c r="G73" s="13"/>
      <c r="H73" s="13"/>
      <c r="I73" s="13"/>
      <c r="J73" s="13"/>
      <c r="K73" s="13"/>
      <c r="L73" s="13"/>
      <c r="M73" s="13"/>
      <c r="N73" s="13"/>
      <c r="O73" s="13"/>
      <c r="P73" s="13"/>
      <c r="Q73" s="13"/>
      <c r="R73" s="13"/>
      <c r="S73" s="13"/>
      <c r="T73" s="13"/>
      <c r="U73" s="13"/>
      <c r="V73" s="13"/>
      <c r="W73" s="13"/>
      <c r="X73" s="13"/>
      <c r="Y73" s="13"/>
    </row>
    <row r="74" spans="1:25" ht="12.75" customHeight="1" x14ac:dyDescent="0.25">
      <c r="A74" s="13"/>
      <c r="B74" s="13"/>
      <c r="C74" s="13"/>
      <c r="D74" s="13"/>
      <c r="E74" s="13"/>
      <c r="F74" s="13"/>
      <c r="G74" s="13"/>
      <c r="H74" s="13"/>
      <c r="I74" s="13"/>
      <c r="J74" s="13"/>
      <c r="K74" s="13"/>
      <c r="L74" s="13"/>
      <c r="M74" s="13"/>
      <c r="N74" s="13"/>
      <c r="O74" s="13"/>
      <c r="P74" s="13"/>
      <c r="Q74" s="13"/>
      <c r="R74" s="13"/>
      <c r="S74" s="13"/>
      <c r="T74" s="13"/>
      <c r="U74" s="13"/>
      <c r="V74" s="13"/>
      <c r="W74" s="13"/>
      <c r="X74" s="13"/>
      <c r="Y74" s="13"/>
    </row>
    <row r="75" spans="1:25" ht="12.75" customHeight="1" x14ac:dyDescent="0.25">
      <c r="A75" s="13"/>
      <c r="B75" s="13"/>
      <c r="C75" s="13"/>
      <c r="D75" s="13"/>
      <c r="E75" s="13"/>
      <c r="F75" s="13"/>
      <c r="G75" s="13"/>
      <c r="H75" s="13"/>
      <c r="I75" s="13"/>
      <c r="J75" s="13"/>
      <c r="K75" s="13"/>
      <c r="L75" s="13"/>
      <c r="M75" s="13"/>
      <c r="N75" s="13"/>
      <c r="O75" s="13"/>
      <c r="P75" s="13"/>
      <c r="Q75" s="13"/>
      <c r="R75" s="13"/>
      <c r="S75" s="13"/>
      <c r="T75" s="13"/>
      <c r="U75" s="13"/>
      <c r="V75" s="13"/>
      <c r="W75" s="13"/>
      <c r="X75" s="13"/>
      <c r="Y75" s="13"/>
    </row>
    <row r="76" spans="1:25" ht="12.75" customHeight="1" x14ac:dyDescent="0.25">
      <c r="A76" s="13"/>
      <c r="B76" s="13"/>
      <c r="C76" s="13"/>
      <c r="D76" s="13"/>
      <c r="E76" s="13"/>
      <c r="F76" s="13"/>
      <c r="G76" s="13"/>
      <c r="H76" s="13"/>
      <c r="I76" s="13"/>
      <c r="J76" s="13"/>
      <c r="K76" s="13"/>
      <c r="L76" s="13"/>
      <c r="M76" s="13"/>
      <c r="N76" s="13"/>
      <c r="O76" s="13"/>
      <c r="P76" s="13"/>
      <c r="Q76" s="13"/>
      <c r="R76" s="13"/>
      <c r="S76" s="13"/>
      <c r="T76" s="13"/>
      <c r="U76" s="13"/>
      <c r="V76" s="13"/>
      <c r="W76" s="13"/>
      <c r="X76" s="13"/>
      <c r="Y76" s="13"/>
    </row>
    <row r="77" spans="1:25" ht="12.75" customHeight="1" x14ac:dyDescent="0.25">
      <c r="A77" s="13"/>
      <c r="B77" s="13"/>
      <c r="C77" s="13"/>
      <c r="D77" s="13"/>
      <c r="E77" s="13"/>
      <c r="F77" s="13"/>
      <c r="G77" s="13"/>
      <c r="H77" s="13"/>
      <c r="I77" s="13"/>
      <c r="J77" s="13"/>
      <c r="K77" s="13"/>
      <c r="L77" s="13"/>
      <c r="M77" s="13"/>
      <c r="N77" s="13"/>
      <c r="O77" s="13"/>
      <c r="P77" s="13"/>
      <c r="Q77" s="13"/>
      <c r="R77" s="13"/>
      <c r="S77" s="13"/>
      <c r="T77" s="13"/>
      <c r="U77" s="13"/>
      <c r="V77" s="13"/>
      <c r="W77" s="13"/>
      <c r="X77" s="13"/>
      <c r="Y77" s="13"/>
    </row>
    <row r="78" spans="1:25" ht="12.75" customHeight="1" x14ac:dyDescent="0.25">
      <c r="A78" s="13"/>
      <c r="B78" s="13"/>
      <c r="C78" s="13"/>
      <c r="D78" s="13"/>
      <c r="E78" s="13"/>
      <c r="F78" s="13"/>
      <c r="G78" s="13"/>
      <c r="H78" s="13"/>
      <c r="I78" s="13"/>
      <c r="J78" s="13"/>
      <c r="K78" s="13"/>
      <c r="L78" s="13"/>
      <c r="M78" s="13"/>
      <c r="N78" s="13"/>
      <c r="O78" s="13"/>
      <c r="P78" s="13"/>
      <c r="Q78" s="13"/>
      <c r="R78" s="13"/>
      <c r="S78" s="13"/>
      <c r="T78" s="13"/>
      <c r="U78" s="13"/>
      <c r="V78" s="13"/>
      <c r="W78" s="13"/>
      <c r="X78" s="13"/>
      <c r="Y78" s="13"/>
    </row>
    <row r="79" spans="1:25" ht="12.75" customHeight="1" x14ac:dyDescent="0.25">
      <c r="A79" s="13"/>
      <c r="B79" s="13"/>
      <c r="C79" s="13"/>
      <c r="D79" s="13"/>
      <c r="E79" s="13"/>
      <c r="F79" s="13"/>
      <c r="G79" s="13"/>
      <c r="H79" s="13"/>
      <c r="I79" s="13"/>
      <c r="J79" s="13"/>
      <c r="K79" s="13"/>
      <c r="L79" s="13"/>
      <c r="M79" s="13"/>
      <c r="N79" s="13"/>
      <c r="O79" s="13"/>
      <c r="P79" s="13"/>
      <c r="Q79" s="13"/>
      <c r="R79" s="13"/>
      <c r="S79" s="13"/>
      <c r="T79" s="13"/>
      <c r="U79" s="13"/>
      <c r="V79" s="13"/>
      <c r="W79" s="13"/>
      <c r="X79" s="13"/>
      <c r="Y79" s="13"/>
    </row>
    <row r="80" spans="1:25" ht="12.75" customHeight="1" x14ac:dyDescent="0.25">
      <c r="A80" s="13"/>
      <c r="B80" s="13"/>
      <c r="C80" s="13"/>
      <c r="D80" s="13"/>
      <c r="E80" s="13"/>
      <c r="F80" s="13"/>
      <c r="G80" s="13"/>
      <c r="H80" s="13"/>
      <c r="I80" s="13"/>
      <c r="J80" s="13"/>
      <c r="K80" s="13"/>
      <c r="L80" s="13"/>
      <c r="M80" s="13"/>
      <c r="N80" s="13"/>
      <c r="O80" s="13"/>
      <c r="P80" s="13"/>
      <c r="Q80" s="13"/>
      <c r="R80" s="13"/>
      <c r="S80" s="13"/>
      <c r="T80" s="13"/>
      <c r="U80" s="13"/>
      <c r="V80" s="13"/>
      <c r="W80" s="13"/>
      <c r="X80" s="13"/>
      <c r="Y80" s="13"/>
    </row>
    <row r="81" spans="1:25" ht="12.75" customHeight="1" x14ac:dyDescent="0.25">
      <c r="A81" s="13"/>
      <c r="B81" s="13"/>
      <c r="C81" s="13"/>
      <c r="D81" s="13"/>
      <c r="E81" s="13"/>
      <c r="F81" s="13"/>
      <c r="G81" s="13"/>
      <c r="H81" s="13"/>
      <c r="I81" s="13"/>
      <c r="J81" s="13"/>
      <c r="K81" s="13"/>
      <c r="L81" s="13"/>
      <c r="M81" s="13"/>
      <c r="N81" s="13"/>
      <c r="O81" s="13"/>
      <c r="P81" s="13"/>
      <c r="Q81" s="13"/>
      <c r="R81" s="13"/>
      <c r="S81" s="13"/>
      <c r="T81" s="13"/>
      <c r="U81" s="13"/>
      <c r="V81" s="13"/>
      <c r="W81" s="13"/>
      <c r="X81" s="13"/>
      <c r="Y81" s="13"/>
    </row>
    <row r="82" spans="1:25" ht="12.75" customHeight="1" x14ac:dyDescent="0.25">
      <c r="A82" s="13"/>
      <c r="B82" s="13"/>
      <c r="C82" s="13"/>
      <c r="D82" s="13"/>
      <c r="E82" s="13"/>
      <c r="F82" s="13"/>
      <c r="G82" s="13"/>
      <c r="H82" s="13"/>
      <c r="I82" s="13"/>
      <c r="J82" s="13"/>
      <c r="K82" s="13"/>
      <c r="L82" s="13"/>
      <c r="M82" s="13"/>
      <c r="N82" s="13"/>
      <c r="O82" s="13"/>
      <c r="P82" s="13"/>
      <c r="Q82" s="13"/>
      <c r="R82" s="13"/>
      <c r="S82" s="13"/>
      <c r="T82" s="13"/>
      <c r="U82" s="13"/>
      <c r="V82" s="13"/>
      <c r="W82" s="13"/>
      <c r="X82" s="13"/>
      <c r="Y82" s="13"/>
    </row>
    <row r="83" spans="1:25" ht="12.75" customHeight="1" x14ac:dyDescent="0.25">
      <c r="A83" s="13"/>
      <c r="B83" s="13"/>
      <c r="C83" s="13"/>
      <c r="D83" s="13"/>
      <c r="E83" s="13"/>
      <c r="F83" s="13"/>
      <c r="G83" s="13"/>
      <c r="H83" s="13"/>
      <c r="I83" s="13"/>
      <c r="J83" s="13"/>
      <c r="K83" s="13"/>
      <c r="L83" s="13"/>
      <c r="M83" s="13"/>
      <c r="N83" s="13"/>
      <c r="O83" s="13"/>
      <c r="P83" s="13"/>
      <c r="Q83" s="13"/>
      <c r="R83" s="13"/>
      <c r="S83" s="13"/>
      <c r="T83" s="13"/>
      <c r="U83" s="13"/>
      <c r="V83" s="13"/>
      <c r="W83" s="13"/>
      <c r="X83" s="13"/>
      <c r="Y83" s="13"/>
    </row>
    <row r="84" spans="1:25" ht="12.75" customHeight="1" x14ac:dyDescent="0.25">
      <c r="A84" s="13"/>
      <c r="B84" s="13"/>
      <c r="C84" s="13"/>
      <c r="D84" s="13"/>
      <c r="E84" s="13"/>
      <c r="F84" s="13"/>
      <c r="G84" s="13"/>
      <c r="H84" s="13"/>
      <c r="I84" s="13"/>
      <c r="J84" s="13"/>
      <c r="K84" s="13"/>
      <c r="L84" s="13"/>
      <c r="M84" s="13"/>
      <c r="N84" s="13"/>
      <c r="O84" s="13"/>
      <c r="P84" s="13"/>
      <c r="Q84" s="13"/>
      <c r="R84" s="13"/>
      <c r="S84" s="13"/>
      <c r="T84" s="13"/>
      <c r="U84" s="13"/>
      <c r="V84" s="13"/>
      <c r="W84" s="13"/>
      <c r="X84" s="13"/>
      <c r="Y84" s="13"/>
    </row>
    <row r="85" spans="1:25" ht="12.75" customHeight="1" x14ac:dyDescent="0.25">
      <c r="A85" s="13"/>
      <c r="B85" s="13"/>
      <c r="C85" s="13"/>
      <c r="D85" s="13"/>
      <c r="E85" s="13"/>
      <c r="F85" s="13"/>
      <c r="G85" s="13"/>
      <c r="H85" s="13"/>
      <c r="I85" s="13"/>
      <c r="J85" s="13"/>
      <c r="K85" s="13"/>
      <c r="L85" s="13"/>
      <c r="M85" s="13"/>
      <c r="N85" s="13"/>
      <c r="O85" s="13"/>
      <c r="P85" s="13"/>
      <c r="Q85" s="13"/>
      <c r="R85" s="13"/>
      <c r="S85" s="13"/>
      <c r="T85" s="13"/>
      <c r="U85" s="13"/>
      <c r="V85" s="13"/>
      <c r="W85" s="13"/>
      <c r="X85" s="13"/>
      <c r="Y85" s="13"/>
    </row>
    <row r="86" spans="1:25" ht="12.75" customHeight="1" x14ac:dyDescent="0.25">
      <c r="A86" s="13"/>
      <c r="B86" s="13"/>
      <c r="C86" s="13"/>
      <c r="D86" s="13"/>
      <c r="E86" s="13"/>
      <c r="F86" s="13"/>
      <c r="G86" s="13"/>
      <c r="H86" s="13"/>
      <c r="I86" s="13"/>
      <c r="J86" s="13"/>
      <c r="K86" s="13"/>
      <c r="L86" s="13"/>
      <c r="M86" s="13"/>
      <c r="N86" s="13"/>
      <c r="O86" s="13"/>
      <c r="P86" s="13"/>
      <c r="Q86" s="13"/>
      <c r="R86" s="13"/>
      <c r="S86" s="13"/>
      <c r="T86" s="13"/>
      <c r="U86" s="13"/>
      <c r="V86" s="13"/>
      <c r="W86" s="13"/>
      <c r="X86" s="13"/>
      <c r="Y86" s="13"/>
    </row>
    <row r="87" spans="1:25" ht="12.75" customHeight="1" x14ac:dyDescent="0.25">
      <c r="A87" s="13"/>
      <c r="B87" s="13"/>
      <c r="C87" s="13"/>
      <c r="D87" s="13"/>
      <c r="E87" s="13"/>
      <c r="F87" s="13"/>
      <c r="G87" s="13"/>
      <c r="H87" s="13"/>
      <c r="I87" s="13"/>
      <c r="J87" s="13"/>
      <c r="K87" s="13"/>
      <c r="L87" s="13"/>
      <c r="M87" s="13"/>
      <c r="N87" s="13"/>
      <c r="O87" s="13"/>
      <c r="P87" s="13"/>
      <c r="Q87" s="13"/>
      <c r="R87" s="13"/>
      <c r="S87" s="13"/>
      <c r="T87" s="13"/>
      <c r="U87" s="13"/>
      <c r="V87" s="13"/>
      <c r="W87" s="13"/>
      <c r="X87" s="13"/>
      <c r="Y87" s="13"/>
    </row>
    <row r="88" spans="1:25" ht="12.75" customHeight="1" x14ac:dyDescent="0.25">
      <c r="A88" s="13"/>
      <c r="B88" s="13"/>
      <c r="C88" s="13"/>
      <c r="D88" s="13"/>
      <c r="E88" s="13"/>
      <c r="F88" s="13"/>
      <c r="G88" s="13"/>
      <c r="H88" s="13"/>
      <c r="I88" s="13"/>
      <c r="J88" s="13"/>
      <c r="K88" s="13"/>
      <c r="L88" s="13"/>
      <c r="M88" s="13"/>
      <c r="N88" s="13"/>
      <c r="O88" s="13"/>
      <c r="P88" s="13"/>
      <c r="Q88" s="13"/>
      <c r="R88" s="13"/>
      <c r="S88" s="13"/>
      <c r="T88" s="13"/>
      <c r="U88" s="13"/>
      <c r="V88" s="13"/>
      <c r="W88" s="13"/>
      <c r="X88" s="13"/>
      <c r="Y88" s="13"/>
    </row>
    <row r="89" spans="1:25" ht="12.75" customHeight="1" x14ac:dyDescent="0.25">
      <c r="A89" s="13"/>
      <c r="B89" s="13"/>
      <c r="C89" s="13"/>
      <c r="D89" s="13"/>
      <c r="E89" s="13"/>
      <c r="F89" s="13"/>
      <c r="G89" s="13"/>
      <c r="H89" s="13"/>
      <c r="I89" s="13"/>
      <c r="J89" s="13"/>
      <c r="K89" s="13"/>
      <c r="L89" s="13"/>
      <c r="M89" s="13"/>
      <c r="N89" s="13"/>
      <c r="O89" s="13"/>
      <c r="P89" s="13"/>
      <c r="Q89" s="13"/>
      <c r="R89" s="13"/>
      <c r="S89" s="13"/>
      <c r="T89" s="13"/>
      <c r="U89" s="13"/>
      <c r="V89" s="13"/>
      <c r="W89" s="13"/>
      <c r="X89" s="13"/>
      <c r="Y89" s="13"/>
    </row>
    <row r="90" spans="1:25" ht="12.75" customHeight="1" x14ac:dyDescent="0.25">
      <c r="A90" s="13"/>
      <c r="B90" s="13"/>
      <c r="C90" s="13"/>
      <c r="D90" s="13"/>
      <c r="E90" s="13"/>
      <c r="F90" s="13"/>
      <c r="G90" s="13"/>
      <c r="H90" s="13"/>
      <c r="I90" s="13"/>
      <c r="J90" s="13"/>
      <c r="K90" s="13"/>
      <c r="L90" s="13"/>
      <c r="M90" s="13"/>
      <c r="N90" s="13"/>
      <c r="O90" s="13"/>
      <c r="P90" s="13"/>
      <c r="Q90" s="13"/>
      <c r="R90" s="13"/>
      <c r="S90" s="13"/>
      <c r="T90" s="13"/>
      <c r="U90" s="13"/>
      <c r="V90" s="13"/>
      <c r="W90" s="13"/>
      <c r="X90" s="13"/>
      <c r="Y90" s="13"/>
    </row>
    <row r="91" spans="1:25" ht="12.75" customHeight="1" x14ac:dyDescent="0.25">
      <c r="A91" s="13"/>
      <c r="B91" s="13"/>
      <c r="C91" s="13"/>
      <c r="D91" s="13"/>
      <c r="E91" s="13"/>
      <c r="F91" s="13"/>
      <c r="G91" s="13"/>
      <c r="H91" s="13"/>
      <c r="I91" s="13"/>
      <c r="J91" s="13"/>
      <c r="K91" s="13"/>
      <c r="L91" s="13"/>
      <c r="M91" s="13"/>
      <c r="N91" s="13"/>
      <c r="O91" s="13"/>
      <c r="P91" s="13"/>
      <c r="Q91" s="13"/>
      <c r="R91" s="13"/>
      <c r="S91" s="13"/>
      <c r="T91" s="13"/>
      <c r="U91" s="13"/>
      <c r="V91" s="13"/>
      <c r="W91" s="13"/>
      <c r="X91" s="13"/>
      <c r="Y91" s="13"/>
    </row>
    <row r="92" spans="1:25" ht="12.75" customHeight="1" x14ac:dyDescent="0.25">
      <c r="A92" s="13"/>
      <c r="B92" s="13"/>
      <c r="C92" s="13"/>
      <c r="D92" s="13"/>
      <c r="E92" s="13"/>
      <c r="F92" s="13"/>
      <c r="G92" s="13"/>
      <c r="H92" s="13"/>
      <c r="I92" s="13"/>
      <c r="J92" s="13"/>
      <c r="K92" s="13"/>
      <c r="L92" s="13"/>
      <c r="M92" s="13"/>
      <c r="N92" s="13"/>
      <c r="O92" s="13"/>
      <c r="P92" s="13"/>
      <c r="Q92" s="13"/>
      <c r="R92" s="13"/>
      <c r="S92" s="13"/>
      <c r="T92" s="13"/>
      <c r="U92" s="13"/>
      <c r="V92" s="13"/>
      <c r="W92" s="13"/>
      <c r="X92" s="13"/>
      <c r="Y92" s="13"/>
    </row>
    <row r="93" spans="1:25" ht="12.75" customHeight="1" x14ac:dyDescent="0.25">
      <c r="A93" s="13"/>
      <c r="B93" s="13"/>
      <c r="C93" s="13"/>
      <c r="D93" s="13"/>
      <c r="E93" s="13"/>
      <c r="F93" s="13"/>
      <c r="G93" s="13"/>
      <c r="H93" s="13"/>
      <c r="I93" s="13"/>
      <c r="J93" s="13"/>
      <c r="K93" s="13"/>
      <c r="L93" s="13"/>
      <c r="M93" s="13"/>
      <c r="N93" s="13"/>
      <c r="O93" s="13"/>
      <c r="P93" s="13"/>
      <c r="Q93" s="13"/>
      <c r="R93" s="13"/>
      <c r="S93" s="13"/>
      <c r="T93" s="13"/>
      <c r="U93" s="13"/>
      <c r="V93" s="13"/>
      <c r="W93" s="13"/>
      <c r="X93" s="13"/>
      <c r="Y93" s="13"/>
    </row>
    <row r="94" spans="1:25" ht="12.75" customHeight="1" x14ac:dyDescent="0.25">
      <c r="A94" s="13"/>
      <c r="B94" s="13"/>
      <c r="C94" s="13"/>
      <c r="D94" s="13"/>
      <c r="E94" s="13"/>
      <c r="F94" s="13"/>
      <c r="G94" s="13"/>
      <c r="H94" s="13"/>
      <c r="I94" s="13"/>
      <c r="J94" s="13"/>
      <c r="K94" s="13"/>
      <c r="L94" s="13"/>
      <c r="M94" s="13"/>
      <c r="N94" s="13"/>
      <c r="O94" s="13"/>
      <c r="P94" s="13"/>
      <c r="Q94" s="13"/>
      <c r="R94" s="13"/>
      <c r="S94" s="13"/>
      <c r="T94" s="13"/>
      <c r="U94" s="13"/>
      <c r="V94" s="13"/>
      <c r="W94" s="13"/>
      <c r="X94" s="13"/>
      <c r="Y94" s="13"/>
    </row>
    <row r="95" spans="1:25" ht="12.75" customHeight="1" x14ac:dyDescent="0.25">
      <c r="A95" s="13"/>
      <c r="B95" s="13"/>
      <c r="C95" s="13"/>
      <c r="D95" s="13"/>
      <c r="E95" s="13"/>
      <c r="F95" s="13"/>
      <c r="G95" s="13"/>
      <c r="H95" s="13"/>
      <c r="I95" s="13"/>
      <c r="J95" s="13"/>
      <c r="K95" s="13"/>
      <c r="L95" s="13"/>
      <c r="M95" s="13"/>
      <c r="N95" s="13"/>
      <c r="O95" s="13"/>
      <c r="P95" s="13"/>
      <c r="Q95" s="13"/>
      <c r="R95" s="13"/>
      <c r="S95" s="13"/>
      <c r="T95" s="13"/>
      <c r="U95" s="13"/>
      <c r="V95" s="13"/>
      <c r="W95" s="13"/>
      <c r="X95" s="13"/>
      <c r="Y95" s="13"/>
    </row>
    <row r="96" spans="1:25" ht="12.75" customHeight="1" x14ac:dyDescent="0.25">
      <c r="A96" s="13"/>
      <c r="B96" s="13"/>
      <c r="C96" s="13"/>
      <c r="D96" s="13"/>
      <c r="E96" s="13"/>
      <c r="F96" s="13"/>
      <c r="G96" s="13"/>
      <c r="H96" s="13"/>
      <c r="I96" s="13"/>
      <c r="J96" s="13"/>
      <c r="K96" s="13"/>
      <c r="L96" s="13"/>
      <c r="M96" s="13"/>
      <c r="N96" s="13"/>
      <c r="O96" s="13"/>
      <c r="P96" s="13"/>
      <c r="Q96" s="13"/>
      <c r="R96" s="13"/>
      <c r="S96" s="13"/>
      <c r="T96" s="13"/>
      <c r="U96" s="13"/>
      <c r="V96" s="13"/>
      <c r="W96" s="13"/>
      <c r="X96" s="13"/>
      <c r="Y96" s="13"/>
    </row>
    <row r="97" spans="1:25" ht="12.75" customHeight="1" x14ac:dyDescent="0.25">
      <c r="A97" s="13"/>
      <c r="B97" s="13"/>
      <c r="C97" s="13"/>
      <c r="D97" s="13"/>
      <c r="E97" s="13"/>
      <c r="F97" s="13"/>
      <c r="G97" s="13"/>
      <c r="H97" s="13"/>
      <c r="I97" s="13"/>
      <c r="J97" s="13"/>
      <c r="K97" s="13"/>
      <c r="L97" s="13"/>
      <c r="M97" s="13"/>
      <c r="N97" s="13"/>
      <c r="O97" s="13"/>
      <c r="P97" s="13"/>
      <c r="Q97" s="13"/>
      <c r="R97" s="13"/>
      <c r="S97" s="13"/>
      <c r="T97" s="13"/>
      <c r="U97" s="13"/>
      <c r="V97" s="13"/>
      <c r="W97" s="13"/>
      <c r="X97" s="13"/>
      <c r="Y97" s="13"/>
    </row>
    <row r="98" spans="1:25" ht="12.75" customHeight="1" x14ac:dyDescent="0.25">
      <c r="A98" s="13"/>
      <c r="B98" s="13"/>
      <c r="C98" s="13"/>
      <c r="D98" s="13"/>
      <c r="E98" s="13"/>
      <c r="F98" s="13"/>
      <c r="G98" s="13"/>
      <c r="H98" s="13"/>
      <c r="I98" s="13"/>
      <c r="J98" s="13"/>
      <c r="K98" s="13"/>
      <c r="L98" s="13"/>
      <c r="M98" s="13"/>
      <c r="N98" s="13"/>
      <c r="O98" s="13"/>
      <c r="P98" s="13"/>
      <c r="Q98" s="13"/>
      <c r="R98" s="13"/>
      <c r="S98" s="13"/>
      <c r="T98" s="13"/>
      <c r="U98" s="13"/>
      <c r="V98" s="13"/>
      <c r="W98" s="13"/>
      <c r="X98" s="13"/>
      <c r="Y98" s="13"/>
    </row>
    <row r="99" spans="1:25" ht="12.75" customHeight="1" x14ac:dyDescent="0.25">
      <c r="A99" s="13"/>
      <c r="B99" s="13"/>
      <c r="C99" s="13"/>
      <c r="D99" s="13"/>
      <c r="E99" s="13"/>
      <c r="F99" s="13"/>
      <c r="G99" s="13"/>
      <c r="H99" s="13"/>
      <c r="I99" s="13"/>
      <c r="J99" s="13"/>
      <c r="K99" s="13"/>
      <c r="L99" s="13"/>
      <c r="M99" s="13"/>
      <c r="N99" s="13"/>
      <c r="O99" s="13"/>
      <c r="P99" s="13"/>
      <c r="Q99" s="13"/>
      <c r="R99" s="13"/>
      <c r="S99" s="13"/>
      <c r="T99" s="13"/>
      <c r="U99" s="13"/>
      <c r="V99" s="13"/>
      <c r="W99" s="13"/>
      <c r="X99" s="13"/>
      <c r="Y99" s="13"/>
    </row>
    <row r="100" spans="1:25" ht="12.75" customHeight="1" x14ac:dyDescent="0.25">
      <c r="A100" s="13"/>
      <c r="B100" s="13"/>
      <c r="C100" s="13"/>
      <c r="D100" s="13"/>
      <c r="E100" s="13"/>
      <c r="F100" s="13"/>
      <c r="G100" s="13"/>
      <c r="H100" s="13"/>
      <c r="I100" s="13"/>
      <c r="J100" s="13"/>
      <c r="K100" s="13"/>
      <c r="L100" s="13"/>
      <c r="M100" s="13"/>
      <c r="N100" s="13"/>
      <c r="O100" s="13"/>
      <c r="P100" s="13"/>
      <c r="Q100" s="13"/>
      <c r="R100" s="13"/>
      <c r="S100" s="13"/>
      <c r="T100" s="13"/>
      <c r="U100" s="13"/>
      <c r="V100" s="13"/>
      <c r="W100" s="13"/>
      <c r="X100" s="13"/>
      <c r="Y100" s="13"/>
    </row>
    <row r="101" spans="1:25" ht="12.75" customHeight="1" x14ac:dyDescent="0.25">
      <c r="A101" s="13"/>
      <c r="B101" s="13"/>
      <c r="C101" s="13"/>
      <c r="D101" s="13"/>
      <c r="E101" s="13"/>
      <c r="F101" s="13"/>
      <c r="G101" s="13"/>
      <c r="H101" s="13"/>
      <c r="I101" s="13"/>
      <c r="J101" s="13"/>
      <c r="K101" s="13"/>
      <c r="L101" s="13"/>
      <c r="M101" s="13"/>
      <c r="N101" s="13"/>
      <c r="O101" s="13"/>
      <c r="P101" s="13"/>
      <c r="Q101" s="13"/>
      <c r="R101" s="13"/>
      <c r="S101" s="13"/>
      <c r="T101" s="13"/>
      <c r="U101" s="13"/>
      <c r="V101" s="13"/>
      <c r="W101" s="13"/>
      <c r="X101" s="13"/>
      <c r="Y101" s="13"/>
    </row>
    <row r="102" spans="1:25" ht="12.75" customHeight="1" x14ac:dyDescent="0.25">
      <c r="A102" s="13"/>
      <c r="B102" s="13"/>
      <c r="C102" s="13"/>
      <c r="D102" s="13"/>
      <c r="E102" s="13"/>
      <c r="F102" s="13"/>
      <c r="G102" s="13"/>
      <c r="H102" s="13"/>
      <c r="I102" s="13"/>
      <c r="J102" s="13"/>
      <c r="K102" s="13"/>
      <c r="L102" s="13"/>
      <c r="M102" s="13"/>
      <c r="N102" s="13"/>
      <c r="O102" s="13"/>
      <c r="P102" s="13"/>
      <c r="Q102" s="13"/>
      <c r="R102" s="13"/>
      <c r="S102" s="13"/>
      <c r="T102" s="13"/>
      <c r="U102" s="13"/>
      <c r="V102" s="13"/>
      <c r="W102" s="13"/>
      <c r="X102" s="13"/>
      <c r="Y102" s="13"/>
    </row>
    <row r="103" spans="1:25" ht="12.75" customHeight="1" x14ac:dyDescent="0.25">
      <c r="A103" s="13"/>
      <c r="B103" s="13"/>
      <c r="C103" s="13"/>
      <c r="D103" s="13"/>
      <c r="E103" s="13"/>
      <c r="F103" s="13"/>
      <c r="G103" s="13"/>
      <c r="H103" s="13"/>
      <c r="I103" s="13"/>
      <c r="J103" s="13"/>
      <c r="K103" s="13"/>
      <c r="L103" s="13"/>
      <c r="M103" s="13"/>
      <c r="N103" s="13"/>
      <c r="O103" s="13"/>
      <c r="P103" s="13"/>
      <c r="Q103" s="13"/>
      <c r="R103" s="13"/>
      <c r="S103" s="13"/>
      <c r="T103" s="13"/>
      <c r="U103" s="13"/>
      <c r="V103" s="13"/>
      <c r="W103" s="13"/>
      <c r="X103" s="13"/>
      <c r="Y103" s="13"/>
    </row>
    <row r="104" spans="1:25" ht="12.75" customHeight="1" x14ac:dyDescent="0.25">
      <c r="A104" s="13"/>
      <c r="B104" s="13"/>
      <c r="C104" s="13"/>
      <c r="D104" s="13"/>
      <c r="E104" s="13"/>
      <c r="F104" s="13"/>
      <c r="G104" s="13"/>
      <c r="H104" s="13"/>
      <c r="I104" s="13"/>
      <c r="J104" s="13"/>
      <c r="K104" s="13"/>
      <c r="L104" s="13"/>
      <c r="M104" s="13"/>
      <c r="N104" s="13"/>
      <c r="O104" s="13"/>
      <c r="P104" s="13"/>
      <c r="Q104" s="13"/>
      <c r="R104" s="13"/>
      <c r="S104" s="13"/>
      <c r="T104" s="13"/>
      <c r="U104" s="13"/>
      <c r="V104" s="13"/>
      <c r="W104" s="13"/>
      <c r="X104" s="13"/>
      <c r="Y104" s="13"/>
    </row>
    <row r="105" spans="1:25" ht="12.75" customHeight="1" x14ac:dyDescent="0.25">
      <c r="A105" s="13"/>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row>
    <row r="106" spans="1:25" ht="12.75" customHeight="1" x14ac:dyDescent="0.25">
      <c r="A106" s="13"/>
      <c r="B106" s="13"/>
      <c r="C106" s="13"/>
      <c r="D106" s="13"/>
      <c r="E106" s="13"/>
      <c r="F106" s="13"/>
      <c r="G106" s="13"/>
      <c r="H106" s="13"/>
      <c r="I106" s="13"/>
      <c r="J106" s="13"/>
      <c r="K106" s="13"/>
      <c r="L106" s="13"/>
      <c r="M106" s="13"/>
      <c r="N106" s="13"/>
      <c r="O106" s="13"/>
      <c r="P106" s="13"/>
      <c r="Q106" s="13"/>
      <c r="R106" s="13"/>
      <c r="S106" s="13"/>
      <c r="T106" s="13"/>
      <c r="U106" s="13"/>
      <c r="V106" s="13"/>
      <c r="W106" s="13"/>
      <c r="X106" s="13"/>
      <c r="Y106" s="13"/>
    </row>
    <row r="107" spans="1:25" ht="12.75" customHeight="1" x14ac:dyDescent="0.25">
      <c r="A107" s="13"/>
      <c r="B107" s="13"/>
      <c r="C107" s="13"/>
      <c r="D107" s="13"/>
      <c r="E107" s="13"/>
      <c r="F107" s="13"/>
      <c r="G107" s="13"/>
      <c r="H107" s="13"/>
      <c r="I107" s="13"/>
      <c r="J107" s="13"/>
      <c r="K107" s="13"/>
      <c r="L107" s="13"/>
      <c r="M107" s="13"/>
      <c r="N107" s="13"/>
      <c r="O107" s="13"/>
      <c r="P107" s="13"/>
      <c r="Q107" s="13"/>
      <c r="R107" s="13"/>
      <c r="S107" s="13"/>
      <c r="T107" s="13"/>
      <c r="U107" s="13"/>
      <c r="V107" s="13"/>
      <c r="W107" s="13"/>
      <c r="X107" s="13"/>
      <c r="Y107" s="13"/>
    </row>
    <row r="108" spans="1:25" ht="12.75" customHeight="1" x14ac:dyDescent="0.25">
      <c r="A108" s="13"/>
      <c r="B108" s="13"/>
      <c r="C108" s="13"/>
      <c r="D108" s="13"/>
      <c r="E108" s="13"/>
      <c r="F108" s="13"/>
      <c r="G108" s="13"/>
      <c r="H108" s="13"/>
      <c r="I108" s="13"/>
      <c r="J108" s="13"/>
      <c r="K108" s="13"/>
      <c r="L108" s="13"/>
      <c r="M108" s="13"/>
      <c r="N108" s="13"/>
      <c r="O108" s="13"/>
      <c r="P108" s="13"/>
      <c r="Q108" s="13"/>
      <c r="R108" s="13"/>
      <c r="S108" s="13"/>
      <c r="T108" s="13"/>
      <c r="U108" s="13"/>
      <c r="V108" s="13"/>
      <c r="W108" s="13"/>
      <c r="X108" s="13"/>
      <c r="Y108" s="13"/>
    </row>
    <row r="109" spans="1:25" ht="12.75" customHeight="1" x14ac:dyDescent="0.25">
      <c r="A109" s="13"/>
      <c r="B109" s="13"/>
      <c r="C109" s="13"/>
      <c r="D109" s="13"/>
      <c r="E109" s="13"/>
      <c r="F109" s="13"/>
      <c r="G109" s="13"/>
      <c r="H109" s="13"/>
      <c r="I109" s="13"/>
      <c r="J109" s="13"/>
      <c r="K109" s="13"/>
      <c r="L109" s="13"/>
      <c r="M109" s="13"/>
      <c r="N109" s="13"/>
      <c r="O109" s="13"/>
      <c r="P109" s="13"/>
      <c r="Q109" s="13"/>
      <c r="R109" s="13"/>
      <c r="S109" s="13"/>
      <c r="T109" s="13"/>
      <c r="U109" s="13"/>
      <c r="V109" s="13"/>
      <c r="W109" s="13"/>
      <c r="X109" s="13"/>
      <c r="Y109" s="13"/>
    </row>
    <row r="110" spans="1:25" ht="12.75" customHeight="1" x14ac:dyDescent="0.25">
      <c r="A110" s="13"/>
      <c r="B110" s="13"/>
      <c r="C110" s="13"/>
      <c r="D110" s="13"/>
      <c r="E110" s="13"/>
      <c r="F110" s="13"/>
      <c r="G110" s="13"/>
      <c r="H110" s="13"/>
      <c r="I110" s="13"/>
      <c r="J110" s="13"/>
      <c r="K110" s="13"/>
      <c r="L110" s="13"/>
      <c r="M110" s="13"/>
      <c r="N110" s="13"/>
      <c r="O110" s="13"/>
      <c r="P110" s="13"/>
      <c r="Q110" s="13"/>
      <c r="R110" s="13"/>
      <c r="S110" s="13"/>
      <c r="T110" s="13"/>
      <c r="U110" s="13"/>
      <c r="V110" s="13"/>
      <c r="W110" s="13"/>
      <c r="X110" s="13"/>
      <c r="Y110" s="13"/>
    </row>
    <row r="111" spans="1:25" ht="12.75" customHeight="1" x14ac:dyDescent="0.25">
      <c r="A111" s="13"/>
      <c r="B111" s="13"/>
      <c r="C111" s="13"/>
      <c r="D111" s="13"/>
      <c r="E111" s="13"/>
      <c r="F111" s="13"/>
      <c r="G111" s="13"/>
      <c r="H111" s="13"/>
      <c r="I111" s="13"/>
      <c r="J111" s="13"/>
      <c r="K111" s="13"/>
      <c r="L111" s="13"/>
      <c r="M111" s="13"/>
      <c r="N111" s="13"/>
      <c r="O111" s="13"/>
      <c r="P111" s="13"/>
      <c r="Q111" s="13"/>
      <c r="R111" s="13"/>
      <c r="S111" s="13"/>
      <c r="T111" s="13"/>
      <c r="U111" s="13"/>
      <c r="V111" s="13"/>
      <c r="W111" s="13"/>
      <c r="X111" s="13"/>
      <c r="Y111" s="13"/>
    </row>
    <row r="112" spans="1:25" ht="12.75" customHeight="1" x14ac:dyDescent="0.25">
      <c r="A112" s="13"/>
      <c r="B112" s="13"/>
      <c r="C112" s="13"/>
      <c r="D112" s="13"/>
      <c r="E112" s="13"/>
      <c r="F112" s="13"/>
      <c r="G112" s="13"/>
      <c r="H112" s="13"/>
      <c r="I112" s="13"/>
      <c r="J112" s="13"/>
      <c r="K112" s="13"/>
      <c r="L112" s="13"/>
      <c r="M112" s="13"/>
      <c r="N112" s="13"/>
      <c r="O112" s="13"/>
      <c r="P112" s="13"/>
      <c r="Q112" s="13"/>
      <c r="R112" s="13"/>
      <c r="S112" s="13"/>
      <c r="T112" s="13"/>
      <c r="U112" s="13"/>
      <c r="V112" s="13"/>
      <c r="W112" s="13"/>
      <c r="X112" s="13"/>
      <c r="Y112" s="13"/>
    </row>
    <row r="113" spans="1:25" ht="12.75" customHeight="1" x14ac:dyDescent="0.25">
      <c r="A113" s="13"/>
      <c r="B113" s="13"/>
      <c r="C113" s="13"/>
      <c r="D113" s="13"/>
      <c r="E113" s="13"/>
      <c r="F113" s="13"/>
      <c r="G113" s="13"/>
      <c r="H113" s="13"/>
      <c r="I113" s="13"/>
      <c r="J113" s="13"/>
      <c r="K113" s="13"/>
      <c r="L113" s="13"/>
      <c r="M113" s="13"/>
      <c r="N113" s="13"/>
      <c r="O113" s="13"/>
      <c r="P113" s="13"/>
      <c r="Q113" s="13"/>
      <c r="R113" s="13"/>
      <c r="S113" s="13"/>
      <c r="T113" s="13"/>
      <c r="U113" s="13"/>
      <c r="V113" s="13"/>
      <c r="W113" s="13"/>
      <c r="X113" s="13"/>
      <c r="Y113" s="13"/>
    </row>
    <row r="114" spans="1:25" ht="12.75" customHeight="1" x14ac:dyDescent="0.25">
      <c r="A114" s="13"/>
      <c r="B114" s="13"/>
      <c r="C114" s="13"/>
      <c r="D114" s="13"/>
      <c r="E114" s="13"/>
      <c r="F114" s="13"/>
      <c r="G114" s="13"/>
      <c r="H114" s="13"/>
      <c r="I114" s="13"/>
      <c r="J114" s="13"/>
      <c r="K114" s="13"/>
      <c r="L114" s="13"/>
      <c r="M114" s="13"/>
      <c r="N114" s="13"/>
      <c r="O114" s="13"/>
      <c r="P114" s="13"/>
      <c r="Q114" s="13"/>
      <c r="R114" s="13"/>
      <c r="S114" s="13"/>
      <c r="T114" s="13"/>
      <c r="U114" s="13"/>
      <c r="V114" s="13"/>
      <c r="W114" s="13"/>
      <c r="X114" s="13"/>
      <c r="Y114" s="13"/>
    </row>
    <row r="115" spans="1:25" ht="12.75" customHeight="1" x14ac:dyDescent="0.25">
      <c r="A115" s="13"/>
      <c r="B115" s="13"/>
      <c r="C115" s="13"/>
      <c r="D115" s="13"/>
      <c r="E115" s="13"/>
      <c r="F115" s="13"/>
      <c r="G115" s="13"/>
      <c r="H115" s="13"/>
      <c r="I115" s="13"/>
      <c r="J115" s="13"/>
      <c r="K115" s="13"/>
      <c r="L115" s="13"/>
      <c r="M115" s="13"/>
      <c r="N115" s="13"/>
      <c r="O115" s="13"/>
      <c r="P115" s="13"/>
      <c r="Q115" s="13"/>
      <c r="R115" s="13"/>
      <c r="S115" s="13"/>
      <c r="T115" s="13"/>
      <c r="U115" s="13"/>
      <c r="V115" s="13"/>
      <c r="W115" s="13"/>
      <c r="X115" s="13"/>
      <c r="Y115" s="13"/>
    </row>
    <row r="116" spans="1:25" ht="12.75" customHeight="1" x14ac:dyDescent="0.25">
      <c r="A116" s="13"/>
      <c r="B116" s="13"/>
      <c r="C116" s="13"/>
      <c r="D116" s="13"/>
      <c r="E116" s="13"/>
      <c r="F116" s="13"/>
      <c r="G116" s="13"/>
      <c r="H116" s="13"/>
      <c r="I116" s="13"/>
      <c r="J116" s="13"/>
      <c r="K116" s="13"/>
      <c r="L116" s="13"/>
      <c r="M116" s="13"/>
      <c r="N116" s="13"/>
      <c r="O116" s="13"/>
      <c r="P116" s="13"/>
      <c r="Q116" s="13"/>
      <c r="R116" s="13"/>
      <c r="S116" s="13"/>
      <c r="T116" s="13"/>
      <c r="U116" s="13"/>
      <c r="V116" s="13"/>
      <c r="W116" s="13"/>
      <c r="X116" s="13"/>
      <c r="Y116" s="13"/>
    </row>
    <row r="117" spans="1:25" ht="12.75" customHeight="1" x14ac:dyDescent="0.25">
      <c r="A117" s="13"/>
      <c r="B117" s="13"/>
      <c r="C117" s="13"/>
      <c r="D117" s="13"/>
      <c r="E117" s="13"/>
      <c r="F117" s="13"/>
      <c r="G117" s="13"/>
      <c r="H117" s="13"/>
      <c r="I117" s="13"/>
      <c r="J117" s="13"/>
      <c r="K117" s="13"/>
      <c r="L117" s="13"/>
      <c r="M117" s="13"/>
      <c r="N117" s="13"/>
      <c r="O117" s="13"/>
      <c r="P117" s="13"/>
      <c r="Q117" s="13"/>
      <c r="R117" s="13"/>
      <c r="S117" s="13"/>
      <c r="T117" s="13"/>
      <c r="U117" s="13"/>
      <c r="V117" s="13"/>
      <c r="W117" s="13"/>
      <c r="X117" s="13"/>
      <c r="Y117" s="13"/>
    </row>
    <row r="118" spans="1:25" ht="12.75" customHeight="1" x14ac:dyDescent="0.25">
      <c r="A118" s="13"/>
      <c r="B118" s="13"/>
      <c r="C118" s="13"/>
      <c r="D118" s="13"/>
      <c r="E118" s="13"/>
      <c r="F118" s="13"/>
      <c r="G118" s="13"/>
      <c r="H118" s="13"/>
      <c r="I118" s="13"/>
      <c r="J118" s="13"/>
      <c r="K118" s="13"/>
      <c r="L118" s="13"/>
      <c r="M118" s="13"/>
      <c r="N118" s="13"/>
      <c r="O118" s="13"/>
      <c r="P118" s="13"/>
      <c r="Q118" s="13"/>
      <c r="R118" s="13"/>
      <c r="S118" s="13"/>
      <c r="T118" s="13"/>
      <c r="U118" s="13"/>
      <c r="V118" s="13"/>
      <c r="W118" s="13"/>
      <c r="X118" s="13"/>
      <c r="Y118" s="13"/>
    </row>
    <row r="119" spans="1:25" ht="12.75" customHeight="1" x14ac:dyDescent="0.25">
      <c r="A119" s="13"/>
      <c r="B119" s="13"/>
      <c r="C119" s="13"/>
      <c r="D119" s="13"/>
      <c r="E119" s="13"/>
      <c r="F119" s="13"/>
      <c r="G119" s="13"/>
      <c r="H119" s="13"/>
      <c r="I119" s="13"/>
      <c r="J119" s="13"/>
      <c r="K119" s="13"/>
      <c r="L119" s="13"/>
      <c r="M119" s="13"/>
      <c r="N119" s="13"/>
      <c r="O119" s="13"/>
      <c r="P119" s="13"/>
      <c r="Q119" s="13"/>
      <c r="R119" s="13"/>
      <c r="S119" s="13"/>
      <c r="T119" s="13"/>
      <c r="U119" s="13"/>
      <c r="V119" s="13"/>
      <c r="W119" s="13"/>
      <c r="X119" s="13"/>
      <c r="Y119" s="13"/>
    </row>
    <row r="120" spans="1:25" ht="12.75" customHeight="1" x14ac:dyDescent="0.25">
      <c r="A120" s="13"/>
      <c r="B120" s="13"/>
      <c r="C120" s="13"/>
      <c r="D120" s="13"/>
      <c r="E120" s="13"/>
      <c r="F120" s="13"/>
      <c r="G120" s="13"/>
      <c r="H120" s="13"/>
      <c r="I120" s="13"/>
      <c r="J120" s="13"/>
      <c r="K120" s="13"/>
      <c r="L120" s="13"/>
      <c r="M120" s="13"/>
      <c r="N120" s="13"/>
      <c r="O120" s="13"/>
      <c r="P120" s="13"/>
      <c r="Q120" s="13"/>
      <c r="R120" s="13"/>
      <c r="S120" s="13"/>
      <c r="T120" s="13"/>
      <c r="U120" s="13"/>
      <c r="V120" s="13"/>
      <c r="W120" s="13"/>
      <c r="X120" s="13"/>
      <c r="Y120" s="13"/>
    </row>
    <row r="121" spans="1:25" ht="12.75" customHeight="1" x14ac:dyDescent="0.25">
      <c r="A121" s="13"/>
      <c r="B121" s="13"/>
      <c r="C121" s="13"/>
      <c r="D121" s="13"/>
      <c r="E121" s="13"/>
      <c r="F121" s="13"/>
      <c r="G121" s="13"/>
      <c r="H121" s="13"/>
      <c r="I121" s="13"/>
      <c r="J121" s="13"/>
      <c r="K121" s="13"/>
      <c r="L121" s="13"/>
      <c r="M121" s="13"/>
      <c r="N121" s="13"/>
      <c r="O121" s="13"/>
      <c r="P121" s="13"/>
      <c r="Q121" s="13"/>
      <c r="R121" s="13"/>
      <c r="S121" s="13"/>
      <c r="T121" s="13"/>
      <c r="U121" s="13"/>
      <c r="V121" s="13"/>
      <c r="W121" s="13"/>
      <c r="X121" s="13"/>
      <c r="Y121" s="13"/>
    </row>
    <row r="122" spans="1:25" ht="12.75" customHeight="1" x14ac:dyDescent="0.25">
      <c r="A122" s="13"/>
      <c r="B122" s="13"/>
      <c r="C122" s="13"/>
      <c r="D122" s="13"/>
      <c r="E122" s="13"/>
      <c r="F122" s="13"/>
      <c r="G122" s="13"/>
      <c r="H122" s="13"/>
      <c r="I122" s="13"/>
      <c r="J122" s="13"/>
      <c r="K122" s="13"/>
      <c r="L122" s="13"/>
      <c r="M122" s="13"/>
      <c r="N122" s="13"/>
      <c r="O122" s="13"/>
      <c r="P122" s="13"/>
      <c r="Q122" s="13"/>
      <c r="R122" s="13"/>
      <c r="S122" s="13"/>
      <c r="T122" s="13"/>
      <c r="U122" s="13"/>
      <c r="V122" s="13"/>
      <c r="W122" s="13"/>
      <c r="X122" s="13"/>
      <c r="Y122" s="13"/>
    </row>
    <row r="123" spans="1:25" ht="12.75" customHeight="1" x14ac:dyDescent="0.25">
      <c r="A123" s="13"/>
      <c r="B123" s="13"/>
      <c r="C123" s="13"/>
      <c r="D123" s="13"/>
      <c r="E123" s="13"/>
      <c r="F123" s="13"/>
      <c r="G123" s="13"/>
      <c r="H123" s="13"/>
      <c r="I123" s="13"/>
      <c r="J123" s="13"/>
      <c r="K123" s="13"/>
      <c r="L123" s="13"/>
      <c r="M123" s="13"/>
      <c r="N123" s="13"/>
      <c r="O123" s="13"/>
      <c r="P123" s="13"/>
      <c r="Q123" s="13"/>
      <c r="R123" s="13"/>
      <c r="S123" s="13"/>
      <c r="T123" s="13"/>
      <c r="U123" s="13"/>
      <c r="V123" s="13"/>
      <c r="W123" s="13"/>
      <c r="X123" s="13"/>
      <c r="Y123" s="13"/>
    </row>
    <row r="124" spans="1:25" ht="12.75" customHeight="1" x14ac:dyDescent="0.25">
      <c r="A124" s="13"/>
      <c r="B124" s="13"/>
      <c r="C124" s="13"/>
      <c r="D124" s="13"/>
      <c r="E124" s="13"/>
      <c r="F124" s="13"/>
      <c r="G124" s="13"/>
      <c r="H124" s="13"/>
      <c r="I124" s="13"/>
      <c r="J124" s="13"/>
      <c r="K124" s="13"/>
      <c r="L124" s="13"/>
      <c r="M124" s="13"/>
      <c r="N124" s="13"/>
      <c r="O124" s="13"/>
      <c r="P124" s="13"/>
      <c r="Q124" s="13"/>
      <c r="R124" s="13"/>
      <c r="S124" s="13"/>
      <c r="T124" s="13"/>
      <c r="U124" s="13"/>
      <c r="V124" s="13"/>
      <c r="W124" s="13"/>
      <c r="X124" s="13"/>
      <c r="Y124" s="13"/>
    </row>
    <row r="125" spans="1:25" ht="12.75" customHeight="1" x14ac:dyDescent="0.25">
      <c r="A125" s="13"/>
      <c r="B125" s="13"/>
      <c r="C125" s="13"/>
      <c r="D125" s="13"/>
      <c r="E125" s="13"/>
      <c r="F125" s="13"/>
      <c r="G125" s="13"/>
      <c r="H125" s="13"/>
      <c r="I125" s="13"/>
      <c r="J125" s="13"/>
      <c r="K125" s="13"/>
      <c r="L125" s="13"/>
      <c r="M125" s="13"/>
      <c r="N125" s="13"/>
      <c r="O125" s="13"/>
      <c r="P125" s="13"/>
      <c r="Q125" s="13"/>
      <c r="R125" s="13"/>
      <c r="S125" s="13"/>
      <c r="T125" s="13"/>
      <c r="U125" s="13"/>
      <c r="V125" s="13"/>
      <c r="W125" s="13"/>
      <c r="X125" s="13"/>
      <c r="Y125" s="13"/>
    </row>
    <row r="126" spans="1:25" ht="12.75" customHeight="1" x14ac:dyDescent="0.25">
      <c r="A126" s="13"/>
      <c r="B126" s="13"/>
      <c r="C126" s="13"/>
      <c r="D126" s="13"/>
      <c r="E126" s="13"/>
      <c r="F126" s="13"/>
      <c r="G126" s="13"/>
      <c r="H126" s="13"/>
      <c r="I126" s="13"/>
      <c r="J126" s="13"/>
      <c r="K126" s="13"/>
      <c r="L126" s="13"/>
      <c r="M126" s="13"/>
      <c r="N126" s="13"/>
      <c r="O126" s="13"/>
      <c r="P126" s="13"/>
      <c r="Q126" s="13"/>
      <c r="R126" s="13"/>
      <c r="S126" s="13"/>
      <c r="T126" s="13"/>
      <c r="U126" s="13"/>
      <c r="V126" s="13"/>
      <c r="W126" s="13"/>
      <c r="X126" s="13"/>
      <c r="Y126" s="13"/>
    </row>
    <row r="127" spans="1:25" ht="12.75" customHeight="1" x14ac:dyDescent="0.25">
      <c r="A127" s="13"/>
      <c r="B127" s="13"/>
      <c r="C127" s="13"/>
      <c r="D127" s="13"/>
      <c r="E127" s="13"/>
      <c r="F127" s="13"/>
      <c r="G127" s="13"/>
      <c r="H127" s="13"/>
      <c r="I127" s="13"/>
      <c r="J127" s="13"/>
      <c r="K127" s="13"/>
      <c r="L127" s="13"/>
      <c r="M127" s="13"/>
      <c r="N127" s="13"/>
      <c r="O127" s="13"/>
      <c r="P127" s="13"/>
      <c r="Q127" s="13"/>
      <c r="R127" s="13"/>
      <c r="S127" s="13"/>
      <c r="T127" s="13"/>
      <c r="U127" s="13"/>
      <c r="V127" s="13"/>
      <c r="W127" s="13"/>
      <c r="X127" s="13"/>
      <c r="Y127" s="13"/>
    </row>
    <row r="128" spans="1:25" ht="12.75" customHeight="1" x14ac:dyDescent="0.25">
      <c r="A128" s="13"/>
      <c r="B128" s="13"/>
      <c r="C128" s="13"/>
      <c r="D128" s="13"/>
      <c r="E128" s="13"/>
      <c r="F128" s="13"/>
      <c r="G128" s="13"/>
      <c r="H128" s="13"/>
      <c r="I128" s="13"/>
      <c r="J128" s="13"/>
      <c r="K128" s="13"/>
      <c r="L128" s="13"/>
      <c r="M128" s="13"/>
      <c r="N128" s="13"/>
      <c r="O128" s="13"/>
      <c r="P128" s="13"/>
      <c r="Q128" s="13"/>
      <c r="R128" s="13"/>
      <c r="S128" s="13"/>
      <c r="T128" s="13"/>
      <c r="U128" s="13"/>
      <c r="V128" s="13"/>
      <c r="W128" s="13"/>
      <c r="X128" s="13"/>
      <c r="Y128" s="13"/>
    </row>
    <row r="129" spans="1:25" ht="12.75" customHeight="1" x14ac:dyDescent="0.25">
      <c r="A129" s="13"/>
      <c r="B129" s="13"/>
      <c r="C129" s="13"/>
      <c r="D129" s="13"/>
      <c r="E129" s="13"/>
      <c r="F129" s="13"/>
      <c r="G129" s="13"/>
      <c r="H129" s="13"/>
      <c r="I129" s="13"/>
      <c r="J129" s="13"/>
      <c r="K129" s="13"/>
      <c r="L129" s="13"/>
      <c r="M129" s="13"/>
      <c r="N129" s="13"/>
      <c r="O129" s="13"/>
      <c r="P129" s="13"/>
      <c r="Q129" s="13"/>
      <c r="R129" s="13"/>
      <c r="S129" s="13"/>
      <c r="T129" s="13"/>
      <c r="U129" s="13"/>
      <c r="V129" s="13"/>
      <c r="W129" s="13"/>
      <c r="X129" s="13"/>
      <c r="Y129" s="13"/>
    </row>
    <row r="130" spans="1:25" ht="12.75" customHeight="1" x14ac:dyDescent="0.25">
      <c r="A130" s="13"/>
      <c r="B130" s="13"/>
      <c r="C130" s="13"/>
      <c r="D130" s="13"/>
      <c r="E130" s="13"/>
      <c r="F130" s="13"/>
      <c r="G130" s="13"/>
      <c r="H130" s="13"/>
      <c r="I130" s="13"/>
      <c r="J130" s="13"/>
      <c r="K130" s="13"/>
      <c r="L130" s="13"/>
      <c r="M130" s="13"/>
      <c r="N130" s="13"/>
      <c r="O130" s="13"/>
      <c r="P130" s="13"/>
      <c r="Q130" s="13"/>
      <c r="R130" s="13"/>
      <c r="S130" s="13"/>
      <c r="T130" s="13"/>
      <c r="U130" s="13"/>
      <c r="V130" s="13"/>
      <c r="W130" s="13"/>
      <c r="X130" s="13"/>
      <c r="Y130" s="13"/>
    </row>
    <row r="131" spans="1:25" ht="12.75" customHeight="1" x14ac:dyDescent="0.25">
      <c r="A131" s="13"/>
      <c r="B131" s="13"/>
      <c r="C131" s="13"/>
      <c r="D131" s="13"/>
      <c r="E131" s="13"/>
      <c r="F131" s="13"/>
      <c r="G131" s="13"/>
      <c r="H131" s="13"/>
      <c r="I131" s="13"/>
      <c r="J131" s="13"/>
      <c r="K131" s="13"/>
      <c r="L131" s="13"/>
      <c r="M131" s="13"/>
      <c r="N131" s="13"/>
      <c r="O131" s="13"/>
      <c r="P131" s="13"/>
      <c r="Q131" s="13"/>
      <c r="R131" s="13"/>
      <c r="S131" s="13"/>
      <c r="T131" s="13"/>
      <c r="U131" s="13"/>
      <c r="V131" s="13"/>
      <c r="W131" s="13"/>
      <c r="X131" s="13"/>
      <c r="Y131" s="13"/>
    </row>
    <row r="132" spans="1:25" ht="12.75" customHeight="1" x14ac:dyDescent="0.25">
      <c r="A132" s="13"/>
      <c r="B132" s="13"/>
      <c r="C132" s="13"/>
      <c r="D132" s="13"/>
      <c r="E132" s="13"/>
      <c r="F132" s="13"/>
      <c r="G132" s="13"/>
      <c r="H132" s="13"/>
      <c r="I132" s="13"/>
      <c r="J132" s="13"/>
      <c r="K132" s="13"/>
      <c r="L132" s="13"/>
      <c r="M132" s="13"/>
      <c r="N132" s="13"/>
      <c r="O132" s="13"/>
      <c r="P132" s="13"/>
      <c r="Q132" s="13"/>
      <c r="R132" s="13"/>
      <c r="S132" s="13"/>
      <c r="T132" s="13"/>
      <c r="U132" s="13"/>
      <c r="V132" s="13"/>
      <c r="W132" s="13"/>
      <c r="X132" s="13"/>
      <c r="Y132" s="13"/>
    </row>
    <row r="133" spans="1:25" ht="12.75" customHeight="1" x14ac:dyDescent="0.25">
      <c r="A133" s="13"/>
      <c r="B133" s="13"/>
      <c r="C133" s="13"/>
      <c r="D133" s="13"/>
      <c r="E133" s="13"/>
      <c r="F133" s="13"/>
      <c r="G133" s="13"/>
      <c r="H133" s="13"/>
      <c r="I133" s="13"/>
      <c r="J133" s="13"/>
      <c r="K133" s="13"/>
      <c r="L133" s="13"/>
      <c r="M133" s="13"/>
      <c r="N133" s="13"/>
      <c r="O133" s="13"/>
      <c r="P133" s="13"/>
      <c r="Q133" s="13"/>
      <c r="R133" s="13"/>
      <c r="S133" s="13"/>
      <c r="T133" s="13"/>
      <c r="U133" s="13"/>
      <c r="V133" s="13"/>
      <c r="W133" s="13"/>
      <c r="X133" s="13"/>
      <c r="Y133" s="13"/>
    </row>
    <row r="134" spans="1:25" ht="12.75" customHeight="1" x14ac:dyDescent="0.25">
      <c r="A134" s="13"/>
      <c r="B134" s="13"/>
      <c r="C134" s="13"/>
      <c r="D134" s="13"/>
      <c r="E134" s="13"/>
      <c r="F134" s="13"/>
      <c r="G134" s="13"/>
      <c r="H134" s="13"/>
      <c r="I134" s="13"/>
      <c r="J134" s="13"/>
      <c r="K134" s="13"/>
      <c r="L134" s="13"/>
      <c r="M134" s="13"/>
      <c r="N134" s="13"/>
      <c r="O134" s="13"/>
      <c r="P134" s="13"/>
      <c r="Q134" s="13"/>
      <c r="R134" s="13"/>
      <c r="S134" s="13"/>
      <c r="T134" s="13"/>
      <c r="U134" s="13"/>
      <c r="V134" s="13"/>
      <c r="W134" s="13"/>
      <c r="X134" s="13"/>
      <c r="Y134" s="13"/>
    </row>
    <row r="135" spans="1:25" ht="12.75" customHeight="1" x14ac:dyDescent="0.25">
      <c r="A135" s="13"/>
      <c r="B135" s="13"/>
      <c r="C135" s="13"/>
      <c r="D135" s="13"/>
      <c r="E135" s="13"/>
      <c r="F135" s="13"/>
      <c r="G135" s="13"/>
      <c r="H135" s="13"/>
      <c r="I135" s="13"/>
      <c r="J135" s="13"/>
      <c r="K135" s="13"/>
      <c r="L135" s="13"/>
      <c r="M135" s="13"/>
      <c r="N135" s="13"/>
      <c r="O135" s="13"/>
      <c r="P135" s="13"/>
      <c r="Q135" s="13"/>
      <c r="R135" s="13"/>
      <c r="S135" s="13"/>
      <c r="T135" s="13"/>
      <c r="U135" s="13"/>
      <c r="V135" s="13"/>
      <c r="W135" s="13"/>
      <c r="X135" s="13"/>
      <c r="Y135" s="13"/>
    </row>
    <row r="136" spans="1:25" ht="12.75" customHeight="1" x14ac:dyDescent="0.25">
      <c r="A136" s="13"/>
      <c r="B136" s="13"/>
      <c r="C136" s="13"/>
      <c r="D136" s="13"/>
      <c r="E136" s="13"/>
      <c r="F136" s="13"/>
      <c r="G136" s="13"/>
      <c r="H136" s="13"/>
      <c r="I136" s="13"/>
      <c r="J136" s="13"/>
      <c r="K136" s="13"/>
      <c r="L136" s="13"/>
      <c r="M136" s="13"/>
      <c r="N136" s="13"/>
      <c r="O136" s="13"/>
      <c r="P136" s="13"/>
      <c r="Q136" s="13"/>
      <c r="R136" s="13"/>
      <c r="S136" s="13"/>
      <c r="T136" s="13"/>
      <c r="U136" s="13"/>
      <c r="V136" s="13"/>
      <c r="W136" s="13"/>
      <c r="X136" s="13"/>
      <c r="Y136" s="13"/>
    </row>
    <row r="137" spans="1:25" ht="12.75" customHeight="1" x14ac:dyDescent="0.25">
      <c r="A137" s="13"/>
      <c r="B137" s="13"/>
      <c r="C137" s="13"/>
      <c r="D137" s="13"/>
      <c r="E137" s="13"/>
      <c r="F137" s="13"/>
      <c r="G137" s="13"/>
      <c r="H137" s="13"/>
      <c r="I137" s="13"/>
      <c r="J137" s="13"/>
      <c r="K137" s="13"/>
      <c r="L137" s="13"/>
      <c r="M137" s="13"/>
      <c r="N137" s="13"/>
      <c r="O137" s="13"/>
      <c r="P137" s="13"/>
      <c r="Q137" s="13"/>
      <c r="R137" s="13"/>
      <c r="S137" s="13"/>
      <c r="T137" s="13"/>
      <c r="U137" s="13"/>
      <c r="V137" s="13"/>
      <c r="W137" s="13"/>
      <c r="X137" s="13"/>
      <c r="Y137" s="13"/>
    </row>
    <row r="138" spans="1:25" ht="12.75" customHeight="1" x14ac:dyDescent="0.25">
      <c r="A138" s="13"/>
      <c r="B138" s="13"/>
      <c r="C138" s="13"/>
      <c r="D138" s="13"/>
      <c r="E138" s="13"/>
      <c r="F138" s="13"/>
      <c r="G138" s="13"/>
      <c r="H138" s="13"/>
      <c r="I138" s="13"/>
      <c r="J138" s="13"/>
      <c r="K138" s="13"/>
      <c r="L138" s="13"/>
      <c r="M138" s="13"/>
      <c r="N138" s="13"/>
      <c r="O138" s="13"/>
      <c r="P138" s="13"/>
      <c r="Q138" s="13"/>
      <c r="R138" s="13"/>
      <c r="S138" s="13"/>
      <c r="T138" s="13"/>
      <c r="U138" s="13"/>
      <c r="V138" s="13"/>
      <c r="W138" s="13"/>
      <c r="X138" s="13"/>
      <c r="Y138" s="13"/>
    </row>
    <row r="139" spans="1:25" ht="12.75" customHeight="1" x14ac:dyDescent="0.25">
      <c r="A139" s="13"/>
      <c r="B139" s="13"/>
      <c r="C139" s="13"/>
      <c r="D139" s="13"/>
      <c r="E139" s="13"/>
      <c r="F139" s="13"/>
      <c r="G139" s="13"/>
      <c r="H139" s="13"/>
      <c r="I139" s="13"/>
      <c r="J139" s="13"/>
      <c r="K139" s="13"/>
      <c r="L139" s="13"/>
      <c r="M139" s="13"/>
      <c r="N139" s="13"/>
      <c r="O139" s="13"/>
      <c r="P139" s="13"/>
      <c r="Q139" s="13"/>
      <c r="R139" s="13"/>
      <c r="S139" s="13"/>
      <c r="T139" s="13"/>
      <c r="U139" s="13"/>
      <c r="V139" s="13"/>
      <c r="W139" s="13"/>
      <c r="X139" s="13"/>
      <c r="Y139" s="13"/>
    </row>
    <row r="140" spans="1:25" ht="12.75" customHeight="1" x14ac:dyDescent="0.25">
      <c r="A140" s="13"/>
      <c r="B140" s="13"/>
      <c r="C140" s="13"/>
      <c r="D140" s="13"/>
      <c r="E140" s="13"/>
      <c r="F140" s="13"/>
      <c r="G140" s="13"/>
      <c r="H140" s="13"/>
      <c r="I140" s="13"/>
      <c r="J140" s="13"/>
      <c r="K140" s="13"/>
      <c r="L140" s="13"/>
      <c r="M140" s="13"/>
      <c r="N140" s="13"/>
      <c r="O140" s="13"/>
      <c r="P140" s="13"/>
      <c r="Q140" s="13"/>
      <c r="R140" s="13"/>
      <c r="S140" s="13"/>
      <c r="T140" s="13"/>
      <c r="U140" s="13"/>
      <c r="V140" s="13"/>
      <c r="W140" s="13"/>
      <c r="X140" s="13"/>
      <c r="Y140" s="13"/>
    </row>
    <row r="141" spans="1:25" ht="12.75" customHeight="1" x14ac:dyDescent="0.25">
      <c r="A141" s="13"/>
      <c r="B141" s="13"/>
      <c r="C141" s="13"/>
      <c r="D141" s="13"/>
      <c r="E141" s="13"/>
      <c r="F141" s="13"/>
      <c r="G141" s="13"/>
      <c r="H141" s="13"/>
      <c r="I141" s="13"/>
      <c r="J141" s="13"/>
      <c r="K141" s="13"/>
      <c r="L141" s="13"/>
      <c r="M141" s="13"/>
      <c r="N141" s="13"/>
      <c r="O141" s="13"/>
      <c r="P141" s="13"/>
      <c r="Q141" s="13"/>
      <c r="R141" s="13"/>
      <c r="S141" s="13"/>
      <c r="T141" s="13"/>
      <c r="U141" s="13"/>
      <c r="V141" s="13"/>
      <c r="W141" s="13"/>
      <c r="X141" s="13"/>
      <c r="Y141" s="13"/>
    </row>
    <row r="142" spans="1:25" ht="12.75" customHeight="1" x14ac:dyDescent="0.25">
      <c r="A142" s="13"/>
      <c r="B142" s="13"/>
      <c r="C142" s="13"/>
      <c r="D142" s="13"/>
      <c r="E142" s="13"/>
      <c r="F142" s="13"/>
      <c r="G142" s="13"/>
      <c r="H142" s="13"/>
      <c r="I142" s="13"/>
      <c r="J142" s="13"/>
      <c r="K142" s="13"/>
      <c r="L142" s="13"/>
      <c r="M142" s="13"/>
      <c r="N142" s="13"/>
      <c r="O142" s="13"/>
      <c r="P142" s="13"/>
      <c r="Q142" s="13"/>
      <c r="R142" s="13"/>
      <c r="S142" s="13"/>
      <c r="T142" s="13"/>
      <c r="U142" s="13"/>
      <c r="V142" s="13"/>
      <c r="W142" s="13"/>
      <c r="X142" s="13"/>
      <c r="Y142" s="13"/>
    </row>
    <row r="143" spans="1:25" ht="12.75" customHeight="1" x14ac:dyDescent="0.25">
      <c r="A143" s="13"/>
      <c r="B143" s="13"/>
      <c r="C143" s="13"/>
      <c r="D143" s="13"/>
      <c r="E143" s="13"/>
      <c r="F143" s="13"/>
      <c r="G143" s="13"/>
      <c r="H143" s="13"/>
      <c r="I143" s="13"/>
      <c r="J143" s="13"/>
      <c r="K143" s="13"/>
      <c r="L143" s="13"/>
      <c r="M143" s="13"/>
      <c r="N143" s="13"/>
      <c r="O143" s="13"/>
      <c r="P143" s="13"/>
      <c r="Q143" s="13"/>
      <c r="R143" s="13"/>
      <c r="S143" s="13"/>
      <c r="T143" s="13"/>
      <c r="U143" s="13"/>
      <c r="V143" s="13"/>
      <c r="W143" s="13"/>
      <c r="X143" s="13"/>
      <c r="Y143" s="13"/>
    </row>
    <row r="144" spans="1:25" ht="12.75" customHeight="1" x14ac:dyDescent="0.25">
      <c r="A144" s="13"/>
      <c r="B144" s="13"/>
      <c r="C144" s="13"/>
      <c r="D144" s="13"/>
      <c r="E144" s="13"/>
      <c r="F144" s="13"/>
      <c r="G144" s="13"/>
      <c r="H144" s="13"/>
      <c r="I144" s="13"/>
      <c r="J144" s="13"/>
      <c r="K144" s="13"/>
      <c r="L144" s="13"/>
      <c r="M144" s="13"/>
      <c r="N144" s="13"/>
      <c r="O144" s="13"/>
      <c r="P144" s="13"/>
      <c r="Q144" s="13"/>
      <c r="R144" s="13"/>
      <c r="S144" s="13"/>
      <c r="T144" s="13"/>
      <c r="U144" s="13"/>
      <c r="V144" s="13"/>
      <c r="W144" s="13"/>
      <c r="X144" s="13"/>
      <c r="Y144" s="13"/>
    </row>
    <row r="145" spans="1:25" ht="12.75" customHeight="1" x14ac:dyDescent="0.25">
      <c r="A145" s="13"/>
      <c r="B145" s="13"/>
      <c r="C145" s="13"/>
      <c r="D145" s="13"/>
      <c r="E145" s="13"/>
      <c r="F145" s="13"/>
      <c r="G145" s="13"/>
      <c r="H145" s="13"/>
      <c r="I145" s="13"/>
      <c r="J145" s="13"/>
      <c r="K145" s="13"/>
      <c r="L145" s="13"/>
      <c r="M145" s="13"/>
      <c r="N145" s="13"/>
      <c r="O145" s="13"/>
      <c r="P145" s="13"/>
      <c r="Q145" s="13"/>
      <c r="R145" s="13"/>
      <c r="S145" s="13"/>
      <c r="T145" s="13"/>
      <c r="U145" s="13"/>
      <c r="V145" s="13"/>
      <c r="W145" s="13"/>
      <c r="X145" s="13"/>
      <c r="Y145" s="13"/>
    </row>
    <row r="146" spans="1:25" ht="12.75" customHeight="1" x14ac:dyDescent="0.25">
      <c r="A146" s="13"/>
      <c r="B146" s="13"/>
      <c r="C146" s="13"/>
      <c r="D146" s="13"/>
      <c r="E146" s="13"/>
      <c r="F146" s="13"/>
      <c r="G146" s="13"/>
      <c r="H146" s="13"/>
      <c r="I146" s="13"/>
      <c r="J146" s="13"/>
      <c r="K146" s="13"/>
      <c r="L146" s="13"/>
      <c r="M146" s="13"/>
      <c r="N146" s="13"/>
      <c r="O146" s="13"/>
      <c r="P146" s="13"/>
      <c r="Q146" s="13"/>
      <c r="R146" s="13"/>
      <c r="S146" s="13"/>
      <c r="T146" s="13"/>
      <c r="U146" s="13"/>
      <c r="V146" s="13"/>
      <c r="W146" s="13"/>
      <c r="X146" s="13"/>
      <c r="Y146" s="13"/>
    </row>
    <row r="147" spans="1:25" ht="12.75" customHeight="1" x14ac:dyDescent="0.25">
      <c r="A147" s="13"/>
      <c r="B147" s="13"/>
      <c r="C147" s="13"/>
      <c r="D147" s="13"/>
      <c r="E147" s="13"/>
      <c r="F147" s="13"/>
      <c r="G147" s="13"/>
      <c r="H147" s="13"/>
      <c r="I147" s="13"/>
      <c r="J147" s="13"/>
      <c r="K147" s="13"/>
      <c r="L147" s="13"/>
      <c r="M147" s="13"/>
      <c r="N147" s="13"/>
      <c r="O147" s="13"/>
      <c r="P147" s="13"/>
      <c r="Q147" s="13"/>
      <c r="R147" s="13"/>
      <c r="S147" s="13"/>
      <c r="T147" s="13"/>
      <c r="U147" s="13"/>
      <c r="V147" s="13"/>
      <c r="W147" s="13"/>
      <c r="X147" s="13"/>
      <c r="Y147" s="13"/>
    </row>
    <row r="148" spans="1:25" ht="12.75" customHeight="1" x14ac:dyDescent="0.25">
      <c r="A148" s="13"/>
      <c r="B148" s="13"/>
      <c r="C148" s="13"/>
      <c r="D148" s="13"/>
      <c r="E148" s="13"/>
      <c r="F148" s="13"/>
      <c r="G148" s="13"/>
      <c r="H148" s="13"/>
      <c r="I148" s="13"/>
      <c r="J148" s="13"/>
      <c r="K148" s="13"/>
      <c r="L148" s="13"/>
      <c r="M148" s="13"/>
      <c r="N148" s="13"/>
      <c r="O148" s="13"/>
      <c r="P148" s="13"/>
      <c r="Q148" s="13"/>
      <c r="R148" s="13"/>
      <c r="S148" s="13"/>
      <c r="T148" s="13"/>
      <c r="U148" s="13"/>
      <c r="V148" s="13"/>
      <c r="W148" s="13"/>
      <c r="X148" s="13"/>
      <c r="Y148" s="13"/>
    </row>
    <row r="149" spans="1:25" ht="12.75" customHeight="1" x14ac:dyDescent="0.25">
      <c r="A149" s="13"/>
      <c r="B149" s="13"/>
      <c r="C149" s="13"/>
      <c r="D149" s="13"/>
      <c r="E149" s="13"/>
      <c r="F149" s="13"/>
      <c r="G149" s="13"/>
      <c r="H149" s="13"/>
      <c r="I149" s="13"/>
      <c r="J149" s="13"/>
      <c r="K149" s="13"/>
      <c r="L149" s="13"/>
      <c r="M149" s="13"/>
      <c r="N149" s="13"/>
      <c r="O149" s="13"/>
      <c r="P149" s="13"/>
      <c r="Q149" s="13"/>
      <c r="R149" s="13"/>
      <c r="S149" s="13"/>
      <c r="T149" s="13"/>
      <c r="U149" s="13"/>
      <c r="V149" s="13"/>
      <c r="W149" s="13"/>
      <c r="X149" s="13"/>
      <c r="Y149" s="13"/>
    </row>
    <row r="150" spans="1:25" ht="12.75" customHeight="1" x14ac:dyDescent="0.25">
      <c r="A150" s="13"/>
      <c r="B150" s="13"/>
      <c r="C150" s="13"/>
      <c r="D150" s="13"/>
      <c r="E150" s="13"/>
      <c r="F150" s="13"/>
      <c r="G150" s="13"/>
      <c r="H150" s="13"/>
      <c r="I150" s="13"/>
      <c r="J150" s="13"/>
      <c r="K150" s="13"/>
      <c r="L150" s="13"/>
      <c r="M150" s="13"/>
      <c r="N150" s="13"/>
      <c r="O150" s="13"/>
      <c r="P150" s="13"/>
      <c r="Q150" s="13"/>
      <c r="R150" s="13"/>
      <c r="S150" s="13"/>
      <c r="T150" s="13"/>
      <c r="U150" s="13"/>
      <c r="V150" s="13"/>
      <c r="W150" s="13"/>
      <c r="X150" s="13"/>
      <c r="Y150" s="13"/>
    </row>
    <row r="151" spans="1:25" ht="12.75" customHeight="1" x14ac:dyDescent="0.25">
      <c r="A151" s="13"/>
      <c r="B151" s="13"/>
      <c r="C151" s="13"/>
      <c r="D151" s="13"/>
      <c r="E151" s="13"/>
      <c r="F151" s="13"/>
      <c r="G151" s="13"/>
      <c r="H151" s="13"/>
      <c r="I151" s="13"/>
      <c r="J151" s="13"/>
      <c r="K151" s="13"/>
      <c r="L151" s="13"/>
      <c r="M151" s="13"/>
      <c r="N151" s="13"/>
      <c r="O151" s="13"/>
      <c r="P151" s="13"/>
      <c r="Q151" s="13"/>
      <c r="R151" s="13"/>
      <c r="S151" s="13"/>
      <c r="T151" s="13"/>
      <c r="U151" s="13"/>
      <c r="V151" s="13"/>
      <c r="W151" s="13"/>
      <c r="X151" s="13"/>
      <c r="Y151" s="13"/>
    </row>
    <row r="152" spans="1:25" ht="12.75" customHeight="1" x14ac:dyDescent="0.25">
      <c r="A152" s="13"/>
      <c r="B152" s="13"/>
      <c r="C152" s="13"/>
      <c r="D152" s="13"/>
      <c r="E152" s="13"/>
      <c r="F152" s="13"/>
      <c r="G152" s="13"/>
      <c r="H152" s="13"/>
      <c r="I152" s="13"/>
      <c r="J152" s="13"/>
      <c r="K152" s="13"/>
      <c r="L152" s="13"/>
      <c r="M152" s="13"/>
      <c r="N152" s="13"/>
      <c r="O152" s="13"/>
      <c r="P152" s="13"/>
      <c r="Q152" s="13"/>
      <c r="R152" s="13"/>
      <c r="S152" s="13"/>
      <c r="T152" s="13"/>
      <c r="U152" s="13"/>
      <c r="V152" s="13"/>
      <c r="W152" s="13"/>
      <c r="X152" s="13"/>
      <c r="Y152" s="13"/>
    </row>
    <row r="153" spans="1:25" ht="12.75" customHeight="1" x14ac:dyDescent="0.25">
      <c r="A153" s="13"/>
      <c r="B153" s="13"/>
      <c r="C153" s="13"/>
      <c r="D153" s="13"/>
      <c r="E153" s="13"/>
      <c r="F153" s="13"/>
      <c r="G153" s="13"/>
      <c r="H153" s="13"/>
      <c r="I153" s="13"/>
      <c r="J153" s="13"/>
      <c r="K153" s="13"/>
      <c r="L153" s="13"/>
      <c r="M153" s="13"/>
      <c r="N153" s="13"/>
      <c r="O153" s="13"/>
      <c r="P153" s="13"/>
      <c r="Q153" s="13"/>
      <c r="R153" s="13"/>
      <c r="S153" s="13"/>
      <c r="T153" s="13"/>
      <c r="U153" s="13"/>
      <c r="V153" s="13"/>
      <c r="W153" s="13"/>
      <c r="X153" s="13"/>
      <c r="Y153" s="13"/>
    </row>
    <row r="154" spans="1:25" ht="12.75" customHeight="1" x14ac:dyDescent="0.25">
      <c r="A154" s="13"/>
      <c r="B154" s="13"/>
      <c r="C154" s="13"/>
      <c r="D154" s="13"/>
      <c r="E154" s="13"/>
      <c r="F154" s="13"/>
      <c r="G154" s="13"/>
      <c r="H154" s="13"/>
      <c r="I154" s="13"/>
      <c r="J154" s="13"/>
      <c r="K154" s="13"/>
      <c r="L154" s="13"/>
      <c r="M154" s="13"/>
      <c r="N154" s="13"/>
      <c r="O154" s="13"/>
      <c r="P154" s="13"/>
      <c r="Q154" s="13"/>
      <c r="R154" s="13"/>
      <c r="S154" s="13"/>
      <c r="T154" s="13"/>
      <c r="U154" s="13"/>
      <c r="V154" s="13"/>
      <c r="W154" s="13"/>
      <c r="X154" s="13"/>
      <c r="Y154" s="13"/>
    </row>
    <row r="155" spans="1:25" ht="12.75" customHeight="1" x14ac:dyDescent="0.25">
      <c r="A155" s="13"/>
      <c r="B155" s="13"/>
      <c r="C155" s="13"/>
      <c r="D155" s="13"/>
      <c r="E155" s="13"/>
      <c r="F155" s="13"/>
      <c r="G155" s="13"/>
      <c r="H155" s="13"/>
      <c r="I155" s="13"/>
      <c r="J155" s="13"/>
      <c r="K155" s="13"/>
      <c r="L155" s="13"/>
      <c r="M155" s="13"/>
      <c r="N155" s="13"/>
      <c r="O155" s="13"/>
      <c r="P155" s="13"/>
      <c r="Q155" s="13"/>
      <c r="R155" s="13"/>
      <c r="S155" s="13"/>
      <c r="T155" s="13"/>
      <c r="U155" s="13"/>
      <c r="V155" s="13"/>
      <c r="W155" s="13"/>
      <c r="X155" s="13"/>
      <c r="Y155" s="13"/>
    </row>
    <row r="156" spans="1:25" ht="12.75" customHeight="1" x14ac:dyDescent="0.25">
      <c r="A156" s="13"/>
      <c r="B156" s="13"/>
      <c r="C156" s="13"/>
      <c r="D156" s="13"/>
      <c r="E156" s="13"/>
      <c r="F156" s="13"/>
      <c r="G156" s="13"/>
      <c r="H156" s="13"/>
      <c r="I156" s="13"/>
      <c r="J156" s="13"/>
      <c r="K156" s="13"/>
      <c r="L156" s="13"/>
      <c r="M156" s="13"/>
      <c r="N156" s="13"/>
      <c r="O156" s="13"/>
      <c r="P156" s="13"/>
      <c r="Q156" s="13"/>
      <c r="R156" s="13"/>
      <c r="S156" s="13"/>
      <c r="T156" s="13"/>
      <c r="U156" s="13"/>
      <c r="V156" s="13"/>
      <c r="W156" s="13"/>
      <c r="X156" s="13"/>
      <c r="Y156" s="13"/>
    </row>
    <row r="157" spans="1:25" ht="12.75" customHeight="1" x14ac:dyDescent="0.25">
      <c r="A157" s="13"/>
      <c r="B157" s="13"/>
      <c r="C157" s="13"/>
      <c r="D157" s="13"/>
      <c r="E157" s="13"/>
      <c r="F157" s="13"/>
      <c r="G157" s="13"/>
      <c r="H157" s="13"/>
      <c r="I157" s="13"/>
      <c r="J157" s="13"/>
      <c r="K157" s="13"/>
      <c r="L157" s="13"/>
      <c r="M157" s="13"/>
      <c r="N157" s="13"/>
      <c r="O157" s="13"/>
      <c r="P157" s="13"/>
      <c r="Q157" s="13"/>
      <c r="R157" s="13"/>
      <c r="S157" s="13"/>
      <c r="T157" s="13"/>
      <c r="U157" s="13"/>
      <c r="V157" s="13"/>
      <c r="W157" s="13"/>
      <c r="X157" s="13"/>
      <c r="Y157" s="13"/>
    </row>
    <row r="158" spans="1:25" ht="12.75" customHeight="1" x14ac:dyDescent="0.25">
      <c r="A158" s="13"/>
      <c r="B158" s="13"/>
      <c r="C158" s="13"/>
      <c r="D158" s="13"/>
      <c r="E158" s="13"/>
      <c r="F158" s="13"/>
      <c r="G158" s="13"/>
      <c r="H158" s="13"/>
      <c r="I158" s="13"/>
      <c r="J158" s="13"/>
      <c r="K158" s="13"/>
      <c r="L158" s="13"/>
      <c r="M158" s="13"/>
      <c r="N158" s="13"/>
      <c r="O158" s="13"/>
      <c r="P158" s="13"/>
      <c r="Q158" s="13"/>
      <c r="R158" s="13"/>
      <c r="S158" s="13"/>
      <c r="T158" s="13"/>
      <c r="U158" s="13"/>
      <c r="V158" s="13"/>
      <c r="W158" s="13"/>
      <c r="X158" s="13"/>
      <c r="Y158" s="13"/>
    </row>
    <row r="159" spans="1:25" ht="12.75" customHeight="1" x14ac:dyDescent="0.25">
      <c r="A159" s="13"/>
      <c r="B159" s="13"/>
      <c r="C159" s="13"/>
      <c r="D159" s="13"/>
      <c r="E159" s="13"/>
      <c r="F159" s="13"/>
      <c r="G159" s="13"/>
      <c r="H159" s="13"/>
      <c r="I159" s="13"/>
      <c r="J159" s="13"/>
      <c r="K159" s="13"/>
      <c r="L159" s="13"/>
      <c r="M159" s="13"/>
      <c r="N159" s="13"/>
      <c r="O159" s="13"/>
      <c r="P159" s="13"/>
      <c r="Q159" s="13"/>
      <c r="R159" s="13"/>
      <c r="S159" s="13"/>
      <c r="T159" s="13"/>
      <c r="U159" s="13"/>
      <c r="V159" s="13"/>
      <c r="W159" s="13"/>
      <c r="X159" s="13"/>
      <c r="Y159" s="13"/>
    </row>
    <row r="160" spans="1:25" ht="12.75" customHeight="1" x14ac:dyDescent="0.25">
      <c r="A160" s="13"/>
      <c r="B160" s="13"/>
      <c r="C160" s="13"/>
      <c r="D160" s="13"/>
      <c r="E160" s="13"/>
      <c r="F160" s="13"/>
      <c r="G160" s="13"/>
      <c r="H160" s="13"/>
      <c r="I160" s="13"/>
      <c r="J160" s="13"/>
      <c r="K160" s="13"/>
      <c r="L160" s="13"/>
      <c r="M160" s="13"/>
      <c r="N160" s="13"/>
      <c r="O160" s="13"/>
      <c r="P160" s="13"/>
      <c r="Q160" s="13"/>
      <c r="R160" s="13"/>
      <c r="S160" s="13"/>
      <c r="T160" s="13"/>
      <c r="U160" s="13"/>
      <c r="V160" s="13"/>
      <c r="W160" s="13"/>
      <c r="X160" s="13"/>
      <c r="Y160" s="13"/>
    </row>
    <row r="161" spans="1:25" ht="12.75" customHeight="1" x14ac:dyDescent="0.25">
      <c r="A161" s="13"/>
      <c r="B161" s="13"/>
      <c r="C161" s="13"/>
      <c r="D161" s="13"/>
      <c r="E161" s="13"/>
      <c r="F161" s="13"/>
      <c r="G161" s="13"/>
      <c r="H161" s="13"/>
      <c r="I161" s="13"/>
      <c r="J161" s="13"/>
      <c r="K161" s="13"/>
      <c r="L161" s="13"/>
      <c r="M161" s="13"/>
      <c r="N161" s="13"/>
      <c r="O161" s="13"/>
      <c r="P161" s="13"/>
      <c r="Q161" s="13"/>
      <c r="R161" s="13"/>
      <c r="S161" s="13"/>
      <c r="T161" s="13"/>
      <c r="U161" s="13"/>
      <c r="V161" s="13"/>
      <c r="W161" s="13"/>
      <c r="X161" s="13"/>
      <c r="Y161" s="13"/>
    </row>
    <row r="162" spans="1:25" ht="12.75" customHeight="1" x14ac:dyDescent="0.25">
      <c r="A162" s="13"/>
      <c r="B162" s="13"/>
      <c r="C162" s="13"/>
      <c r="D162" s="13"/>
      <c r="E162" s="13"/>
      <c r="F162" s="13"/>
      <c r="G162" s="13"/>
      <c r="H162" s="13"/>
      <c r="I162" s="13"/>
      <c r="J162" s="13"/>
      <c r="K162" s="13"/>
      <c r="L162" s="13"/>
      <c r="M162" s="13"/>
      <c r="N162" s="13"/>
      <c r="O162" s="13"/>
      <c r="P162" s="13"/>
      <c r="Q162" s="13"/>
      <c r="R162" s="13"/>
      <c r="S162" s="13"/>
      <c r="T162" s="13"/>
      <c r="U162" s="13"/>
      <c r="V162" s="13"/>
      <c r="W162" s="13"/>
      <c r="X162" s="13"/>
      <c r="Y162" s="13"/>
    </row>
    <row r="163" spans="1:25" ht="12.75" customHeight="1" x14ac:dyDescent="0.25">
      <c r="A163" s="13"/>
      <c r="B163" s="13"/>
      <c r="C163" s="13"/>
      <c r="D163" s="13"/>
      <c r="E163" s="13"/>
      <c r="F163" s="13"/>
      <c r="G163" s="13"/>
      <c r="H163" s="13"/>
      <c r="I163" s="13"/>
      <c r="J163" s="13"/>
      <c r="K163" s="13"/>
      <c r="L163" s="13"/>
      <c r="M163" s="13"/>
      <c r="N163" s="13"/>
      <c r="O163" s="13"/>
      <c r="P163" s="13"/>
      <c r="Q163" s="13"/>
      <c r="R163" s="13"/>
      <c r="S163" s="13"/>
      <c r="T163" s="13"/>
      <c r="U163" s="13"/>
      <c r="V163" s="13"/>
      <c r="W163" s="13"/>
      <c r="X163" s="13"/>
      <c r="Y163" s="13"/>
    </row>
    <row r="164" spans="1:25" ht="12.75" customHeight="1" x14ac:dyDescent="0.25">
      <c r="A164" s="13"/>
      <c r="B164" s="13"/>
      <c r="C164" s="13"/>
      <c r="D164" s="13"/>
      <c r="E164" s="13"/>
      <c r="F164" s="13"/>
      <c r="G164" s="13"/>
      <c r="H164" s="13"/>
      <c r="I164" s="13"/>
      <c r="J164" s="13"/>
      <c r="K164" s="13"/>
      <c r="L164" s="13"/>
      <c r="M164" s="13"/>
      <c r="N164" s="13"/>
      <c r="O164" s="13"/>
      <c r="P164" s="13"/>
      <c r="Q164" s="13"/>
      <c r="R164" s="13"/>
      <c r="S164" s="13"/>
      <c r="T164" s="13"/>
      <c r="U164" s="13"/>
      <c r="V164" s="13"/>
      <c r="W164" s="13"/>
      <c r="X164" s="13"/>
      <c r="Y164" s="13"/>
    </row>
    <row r="165" spans="1:25" ht="12.75" customHeight="1" x14ac:dyDescent="0.25">
      <c r="A165" s="13"/>
      <c r="B165" s="13"/>
      <c r="C165" s="13"/>
      <c r="D165" s="13"/>
      <c r="E165" s="13"/>
      <c r="F165" s="13"/>
      <c r="G165" s="13"/>
      <c r="H165" s="13"/>
      <c r="I165" s="13"/>
      <c r="J165" s="13"/>
      <c r="K165" s="13"/>
      <c r="L165" s="13"/>
      <c r="M165" s="13"/>
      <c r="N165" s="13"/>
      <c r="O165" s="13"/>
      <c r="P165" s="13"/>
      <c r="Q165" s="13"/>
      <c r="R165" s="13"/>
      <c r="S165" s="13"/>
      <c r="T165" s="13"/>
      <c r="U165" s="13"/>
      <c r="V165" s="13"/>
      <c r="W165" s="13"/>
      <c r="X165" s="13"/>
      <c r="Y165" s="13"/>
    </row>
    <row r="166" spans="1:25" ht="12.75" customHeight="1" x14ac:dyDescent="0.25">
      <c r="A166" s="13"/>
      <c r="B166" s="13"/>
      <c r="C166" s="13"/>
      <c r="D166" s="13"/>
      <c r="E166" s="13"/>
      <c r="F166" s="13"/>
      <c r="G166" s="13"/>
      <c r="H166" s="13"/>
      <c r="I166" s="13"/>
      <c r="J166" s="13"/>
      <c r="K166" s="13"/>
      <c r="L166" s="13"/>
      <c r="M166" s="13"/>
      <c r="N166" s="13"/>
      <c r="O166" s="13"/>
      <c r="P166" s="13"/>
      <c r="Q166" s="13"/>
      <c r="R166" s="13"/>
      <c r="S166" s="13"/>
      <c r="T166" s="13"/>
      <c r="U166" s="13"/>
      <c r="V166" s="13"/>
      <c r="W166" s="13"/>
      <c r="X166" s="13"/>
      <c r="Y166" s="13"/>
    </row>
    <row r="167" spans="1:25" ht="12.75" customHeight="1" x14ac:dyDescent="0.25">
      <c r="A167" s="13"/>
      <c r="B167" s="13"/>
      <c r="C167" s="13"/>
      <c r="D167" s="13"/>
      <c r="E167" s="13"/>
      <c r="F167" s="13"/>
      <c r="G167" s="13"/>
      <c r="H167" s="13"/>
      <c r="I167" s="13"/>
      <c r="J167" s="13"/>
      <c r="K167" s="13"/>
      <c r="L167" s="13"/>
      <c r="M167" s="13"/>
      <c r="N167" s="13"/>
      <c r="O167" s="13"/>
      <c r="P167" s="13"/>
      <c r="Q167" s="13"/>
      <c r="R167" s="13"/>
      <c r="S167" s="13"/>
      <c r="T167" s="13"/>
      <c r="U167" s="13"/>
      <c r="V167" s="13"/>
      <c r="W167" s="13"/>
      <c r="X167" s="13"/>
      <c r="Y167" s="13"/>
    </row>
    <row r="168" spans="1:25" ht="12.75" customHeight="1" x14ac:dyDescent="0.25">
      <c r="A168" s="13"/>
      <c r="B168" s="13"/>
      <c r="C168" s="13"/>
      <c r="D168" s="13"/>
      <c r="E168" s="13"/>
      <c r="F168" s="13"/>
      <c r="G168" s="13"/>
      <c r="H168" s="13"/>
      <c r="I168" s="13"/>
      <c r="J168" s="13"/>
      <c r="K168" s="13"/>
      <c r="L168" s="13"/>
      <c r="M168" s="13"/>
      <c r="N168" s="13"/>
      <c r="O168" s="13"/>
      <c r="P168" s="13"/>
      <c r="Q168" s="13"/>
      <c r="R168" s="13"/>
      <c r="S168" s="13"/>
      <c r="T168" s="13"/>
      <c r="U168" s="13"/>
      <c r="V168" s="13"/>
      <c r="W168" s="13"/>
      <c r="X168" s="13"/>
      <c r="Y168" s="13"/>
    </row>
    <row r="169" spans="1:25" ht="12.75" customHeight="1" x14ac:dyDescent="0.25">
      <c r="A169" s="13"/>
      <c r="B169" s="13"/>
      <c r="C169" s="13"/>
      <c r="D169" s="13"/>
      <c r="E169" s="13"/>
      <c r="F169" s="13"/>
      <c r="G169" s="13"/>
      <c r="H169" s="13"/>
      <c r="I169" s="13"/>
      <c r="J169" s="13"/>
      <c r="K169" s="13"/>
      <c r="L169" s="13"/>
      <c r="M169" s="13"/>
      <c r="N169" s="13"/>
      <c r="O169" s="13"/>
      <c r="P169" s="13"/>
      <c r="Q169" s="13"/>
      <c r="R169" s="13"/>
      <c r="S169" s="13"/>
      <c r="T169" s="13"/>
      <c r="U169" s="13"/>
      <c r="V169" s="13"/>
      <c r="W169" s="13"/>
      <c r="X169" s="13"/>
      <c r="Y169" s="13"/>
    </row>
    <row r="170" spans="1:25" ht="12.75" customHeight="1" x14ac:dyDescent="0.25">
      <c r="A170" s="13"/>
      <c r="B170" s="13"/>
      <c r="C170" s="13"/>
      <c r="D170" s="13"/>
      <c r="E170" s="13"/>
      <c r="F170" s="13"/>
      <c r="G170" s="13"/>
      <c r="H170" s="13"/>
      <c r="I170" s="13"/>
      <c r="J170" s="13"/>
      <c r="K170" s="13"/>
      <c r="L170" s="13"/>
      <c r="M170" s="13"/>
      <c r="N170" s="13"/>
      <c r="O170" s="13"/>
      <c r="P170" s="13"/>
      <c r="Q170" s="13"/>
      <c r="R170" s="13"/>
      <c r="S170" s="13"/>
      <c r="T170" s="13"/>
      <c r="U170" s="13"/>
      <c r="V170" s="13"/>
      <c r="W170" s="13"/>
      <c r="X170" s="13"/>
      <c r="Y170" s="13"/>
    </row>
    <row r="171" spans="1:25" ht="12.75" customHeight="1" x14ac:dyDescent="0.25">
      <c r="A171" s="13"/>
      <c r="B171" s="13"/>
      <c r="C171" s="13"/>
      <c r="D171" s="13"/>
      <c r="E171" s="13"/>
      <c r="F171" s="13"/>
      <c r="G171" s="13"/>
      <c r="H171" s="13"/>
      <c r="I171" s="13"/>
      <c r="J171" s="13"/>
      <c r="K171" s="13"/>
      <c r="L171" s="13"/>
      <c r="M171" s="13"/>
      <c r="N171" s="13"/>
      <c r="O171" s="13"/>
      <c r="P171" s="13"/>
      <c r="Q171" s="13"/>
      <c r="R171" s="13"/>
      <c r="S171" s="13"/>
      <c r="T171" s="13"/>
      <c r="U171" s="13"/>
      <c r="V171" s="13"/>
      <c r="W171" s="13"/>
      <c r="X171" s="13"/>
      <c r="Y171" s="13"/>
    </row>
    <row r="172" spans="1:25" ht="12.75" customHeight="1" x14ac:dyDescent="0.25">
      <c r="A172" s="13"/>
      <c r="B172" s="13"/>
      <c r="C172" s="13"/>
      <c r="D172" s="13"/>
      <c r="E172" s="13"/>
      <c r="F172" s="13"/>
      <c r="G172" s="13"/>
      <c r="H172" s="13"/>
      <c r="I172" s="13"/>
      <c r="J172" s="13"/>
      <c r="K172" s="13"/>
      <c r="L172" s="13"/>
      <c r="M172" s="13"/>
      <c r="N172" s="13"/>
      <c r="O172" s="13"/>
      <c r="P172" s="13"/>
      <c r="Q172" s="13"/>
      <c r="R172" s="13"/>
      <c r="S172" s="13"/>
      <c r="T172" s="13"/>
      <c r="U172" s="13"/>
      <c r="V172" s="13"/>
      <c r="W172" s="13"/>
      <c r="X172" s="13"/>
      <c r="Y172" s="13"/>
    </row>
    <row r="173" spans="1:25" ht="12.75" customHeight="1" x14ac:dyDescent="0.25">
      <c r="A173" s="13"/>
      <c r="B173" s="13"/>
      <c r="C173" s="13"/>
      <c r="D173" s="13"/>
      <c r="E173" s="13"/>
      <c r="F173" s="13"/>
      <c r="G173" s="13"/>
      <c r="H173" s="13"/>
      <c r="I173" s="13"/>
      <c r="J173" s="13"/>
      <c r="K173" s="13"/>
      <c r="L173" s="13"/>
      <c r="M173" s="13"/>
      <c r="N173" s="13"/>
      <c r="O173" s="13"/>
      <c r="P173" s="13"/>
      <c r="Q173" s="13"/>
      <c r="R173" s="13"/>
      <c r="S173" s="13"/>
      <c r="T173" s="13"/>
      <c r="U173" s="13"/>
      <c r="V173" s="13"/>
      <c r="W173" s="13"/>
      <c r="X173" s="13"/>
      <c r="Y173" s="13"/>
    </row>
    <row r="174" spans="1:25" ht="12.75" customHeight="1" x14ac:dyDescent="0.25">
      <c r="A174" s="13"/>
      <c r="B174" s="13"/>
      <c r="C174" s="13"/>
      <c r="D174" s="13"/>
      <c r="E174" s="13"/>
      <c r="F174" s="13"/>
      <c r="G174" s="13"/>
      <c r="H174" s="13"/>
      <c r="I174" s="13"/>
      <c r="J174" s="13"/>
      <c r="K174" s="13"/>
      <c r="L174" s="13"/>
      <c r="M174" s="13"/>
      <c r="N174" s="13"/>
      <c r="O174" s="13"/>
      <c r="P174" s="13"/>
      <c r="Q174" s="13"/>
      <c r="R174" s="13"/>
      <c r="S174" s="13"/>
      <c r="T174" s="13"/>
      <c r="U174" s="13"/>
      <c r="V174" s="13"/>
      <c r="W174" s="13"/>
      <c r="X174" s="13"/>
      <c r="Y174" s="13"/>
    </row>
    <row r="175" spans="1:25" ht="12.75" customHeight="1" x14ac:dyDescent="0.25">
      <c r="A175" s="13"/>
      <c r="B175" s="13"/>
      <c r="C175" s="13"/>
      <c r="D175" s="13"/>
      <c r="E175" s="13"/>
      <c r="F175" s="13"/>
      <c r="G175" s="13"/>
      <c r="H175" s="13"/>
      <c r="I175" s="13"/>
      <c r="J175" s="13"/>
      <c r="K175" s="13"/>
      <c r="L175" s="13"/>
      <c r="M175" s="13"/>
      <c r="N175" s="13"/>
      <c r="O175" s="13"/>
      <c r="P175" s="13"/>
      <c r="Q175" s="13"/>
      <c r="R175" s="13"/>
      <c r="S175" s="13"/>
      <c r="T175" s="13"/>
      <c r="U175" s="13"/>
      <c r="V175" s="13"/>
      <c r="W175" s="13"/>
      <c r="X175" s="13"/>
      <c r="Y175" s="13"/>
    </row>
    <row r="176" spans="1:25" ht="12.75" customHeight="1" x14ac:dyDescent="0.25">
      <c r="A176" s="13"/>
      <c r="B176" s="13"/>
      <c r="C176" s="13"/>
      <c r="D176" s="13"/>
      <c r="E176" s="13"/>
      <c r="F176" s="13"/>
      <c r="G176" s="13"/>
      <c r="H176" s="13"/>
      <c r="I176" s="13"/>
      <c r="J176" s="13"/>
      <c r="K176" s="13"/>
      <c r="L176" s="13"/>
      <c r="M176" s="13"/>
      <c r="N176" s="13"/>
      <c r="O176" s="13"/>
      <c r="P176" s="13"/>
      <c r="Q176" s="13"/>
      <c r="R176" s="13"/>
      <c r="S176" s="13"/>
      <c r="T176" s="13"/>
      <c r="U176" s="13"/>
      <c r="V176" s="13"/>
      <c r="W176" s="13"/>
      <c r="X176" s="13"/>
      <c r="Y176" s="13"/>
    </row>
    <row r="177" spans="1:25" ht="12.75" customHeight="1" x14ac:dyDescent="0.25">
      <c r="A177" s="13"/>
      <c r="B177" s="13"/>
      <c r="C177" s="13"/>
      <c r="D177" s="13"/>
      <c r="E177" s="13"/>
      <c r="F177" s="13"/>
      <c r="G177" s="13"/>
      <c r="H177" s="13"/>
      <c r="I177" s="13"/>
      <c r="J177" s="13"/>
      <c r="K177" s="13"/>
      <c r="L177" s="13"/>
      <c r="M177" s="13"/>
      <c r="N177" s="13"/>
      <c r="O177" s="13"/>
      <c r="P177" s="13"/>
      <c r="Q177" s="13"/>
      <c r="R177" s="13"/>
      <c r="S177" s="13"/>
      <c r="T177" s="13"/>
      <c r="U177" s="13"/>
      <c r="V177" s="13"/>
      <c r="W177" s="13"/>
      <c r="X177" s="13"/>
      <c r="Y177" s="13"/>
    </row>
    <row r="178" spans="1:25" ht="12.75" customHeight="1" x14ac:dyDescent="0.25">
      <c r="A178" s="13"/>
      <c r="B178" s="13"/>
      <c r="C178" s="13"/>
      <c r="D178" s="13"/>
      <c r="E178" s="13"/>
      <c r="F178" s="13"/>
      <c r="G178" s="13"/>
      <c r="H178" s="13"/>
      <c r="I178" s="13"/>
      <c r="J178" s="13"/>
      <c r="K178" s="13"/>
      <c r="L178" s="13"/>
      <c r="M178" s="13"/>
      <c r="N178" s="13"/>
      <c r="O178" s="13"/>
      <c r="P178" s="13"/>
      <c r="Q178" s="13"/>
      <c r="R178" s="13"/>
      <c r="S178" s="13"/>
      <c r="T178" s="13"/>
      <c r="U178" s="13"/>
      <c r="V178" s="13"/>
      <c r="W178" s="13"/>
      <c r="X178" s="13"/>
      <c r="Y178" s="13"/>
    </row>
    <row r="179" spans="1:25" ht="12.75" customHeight="1" x14ac:dyDescent="0.25">
      <c r="A179" s="13"/>
      <c r="B179" s="13"/>
      <c r="C179" s="13"/>
      <c r="D179" s="13"/>
      <c r="E179" s="13"/>
      <c r="F179" s="13"/>
      <c r="G179" s="13"/>
      <c r="H179" s="13"/>
      <c r="I179" s="13"/>
      <c r="J179" s="13"/>
      <c r="K179" s="13"/>
      <c r="L179" s="13"/>
      <c r="M179" s="13"/>
      <c r="N179" s="13"/>
      <c r="O179" s="13"/>
      <c r="P179" s="13"/>
      <c r="Q179" s="13"/>
      <c r="R179" s="13"/>
      <c r="S179" s="13"/>
      <c r="T179" s="13"/>
      <c r="U179" s="13"/>
      <c r="V179" s="13"/>
      <c r="W179" s="13"/>
      <c r="X179" s="13"/>
      <c r="Y179" s="13"/>
    </row>
    <row r="180" spans="1:25" ht="12.75" customHeight="1" x14ac:dyDescent="0.25">
      <c r="A180" s="13"/>
      <c r="B180" s="13"/>
      <c r="C180" s="13"/>
      <c r="D180" s="13"/>
      <c r="E180" s="13"/>
      <c r="F180" s="13"/>
      <c r="G180" s="13"/>
      <c r="H180" s="13"/>
      <c r="I180" s="13"/>
      <c r="J180" s="13"/>
      <c r="K180" s="13"/>
      <c r="L180" s="13"/>
      <c r="M180" s="13"/>
      <c r="N180" s="13"/>
      <c r="O180" s="13"/>
      <c r="P180" s="13"/>
      <c r="Q180" s="13"/>
      <c r="R180" s="13"/>
      <c r="S180" s="13"/>
      <c r="T180" s="13"/>
      <c r="U180" s="13"/>
      <c r="V180" s="13"/>
      <c r="W180" s="13"/>
      <c r="X180" s="13"/>
      <c r="Y180" s="13"/>
    </row>
    <row r="181" spans="1:25" ht="12.75" customHeight="1" x14ac:dyDescent="0.25">
      <c r="A181" s="13"/>
      <c r="B181" s="13"/>
      <c r="C181" s="13"/>
      <c r="D181" s="13"/>
      <c r="E181" s="13"/>
      <c r="F181" s="13"/>
      <c r="G181" s="13"/>
      <c r="H181" s="13"/>
      <c r="I181" s="13"/>
      <c r="J181" s="13"/>
      <c r="K181" s="13"/>
      <c r="L181" s="13"/>
      <c r="M181" s="13"/>
      <c r="N181" s="13"/>
      <c r="O181" s="13"/>
      <c r="P181" s="13"/>
      <c r="Q181" s="13"/>
      <c r="R181" s="13"/>
      <c r="S181" s="13"/>
      <c r="T181" s="13"/>
      <c r="U181" s="13"/>
      <c r="V181" s="13"/>
      <c r="W181" s="13"/>
      <c r="X181" s="13"/>
      <c r="Y181" s="13"/>
    </row>
    <row r="182" spans="1:25" ht="12.75" customHeight="1" x14ac:dyDescent="0.25">
      <c r="A182" s="13"/>
      <c r="B182" s="13"/>
      <c r="C182" s="13"/>
      <c r="D182" s="13"/>
      <c r="E182" s="13"/>
      <c r="F182" s="13"/>
      <c r="G182" s="13"/>
      <c r="H182" s="13"/>
      <c r="I182" s="13"/>
      <c r="J182" s="13"/>
      <c r="K182" s="13"/>
      <c r="L182" s="13"/>
      <c r="M182" s="13"/>
      <c r="N182" s="13"/>
      <c r="O182" s="13"/>
      <c r="P182" s="13"/>
      <c r="Q182" s="13"/>
      <c r="R182" s="13"/>
      <c r="S182" s="13"/>
      <c r="T182" s="13"/>
      <c r="U182" s="13"/>
      <c r="V182" s="13"/>
      <c r="W182" s="13"/>
      <c r="X182" s="13"/>
      <c r="Y182" s="13"/>
    </row>
    <row r="183" spans="1:25" ht="12.75" customHeight="1" x14ac:dyDescent="0.25">
      <c r="A183" s="13"/>
      <c r="B183" s="13"/>
      <c r="C183" s="13"/>
      <c r="D183" s="13"/>
      <c r="E183" s="13"/>
      <c r="F183" s="13"/>
      <c r="G183" s="13"/>
      <c r="H183" s="13"/>
      <c r="I183" s="13"/>
      <c r="J183" s="13"/>
      <c r="K183" s="13"/>
      <c r="L183" s="13"/>
      <c r="M183" s="13"/>
      <c r="N183" s="13"/>
      <c r="O183" s="13"/>
      <c r="P183" s="13"/>
      <c r="Q183" s="13"/>
      <c r="R183" s="13"/>
      <c r="S183" s="13"/>
      <c r="T183" s="13"/>
      <c r="U183" s="13"/>
      <c r="V183" s="13"/>
      <c r="W183" s="13"/>
      <c r="X183" s="13"/>
      <c r="Y183" s="13"/>
    </row>
    <row r="184" spans="1:25" ht="12.75" customHeight="1" x14ac:dyDescent="0.25">
      <c r="A184" s="13"/>
      <c r="B184" s="13"/>
      <c r="C184" s="13"/>
      <c r="D184" s="13"/>
      <c r="E184" s="13"/>
      <c r="F184" s="13"/>
      <c r="G184" s="13"/>
      <c r="H184" s="13"/>
      <c r="I184" s="13"/>
      <c r="J184" s="13"/>
      <c r="K184" s="13"/>
      <c r="L184" s="13"/>
      <c r="M184" s="13"/>
      <c r="N184" s="13"/>
      <c r="O184" s="13"/>
      <c r="P184" s="13"/>
      <c r="Q184" s="13"/>
      <c r="R184" s="13"/>
      <c r="S184" s="13"/>
      <c r="T184" s="13"/>
      <c r="U184" s="13"/>
      <c r="V184" s="13"/>
      <c r="W184" s="13"/>
      <c r="X184" s="13"/>
      <c r="Y184" s="13"/>
    </row>
    <row r="185" spans="1:25" ht="12.75" customHeight="1" x14ac:dyDescent="0.25">
      <c r="A185" s="13"/>
      <c r="B185" s="13"/>
      <c r="C185" s="13"/>
      <c r="D185" s="13"/>
      <c r="E185" s="13"/>
      <c r="F185" s="13"/>
      <c r="G185" s="13"/>
      <c r="H185" s="13"/>
      <c r="I185" s="13"/>
      <c r="J185" s="13"/>
      <c r="K185" s="13"/>
      <c r="L185" s="13"/>
      <c r="M185" s="13"/>
      <c r="N185" s="13"/>
      <c r="O185" s="13"/>
      <c r="P185" s="13"/>
      <c r="Q185" s="13"/>
      <c r="R185" s="13"/>
      <c r="S185" s="13"/>
      <c r="T185" s="13"/>
      <c r="U185" s="13"/>
      <c r="V185" s="13"/>
      <c r="W185" s="13"/>
      <c r="X185" s="13"/>
      <c r="Y185" s="13"/>
    </row>
    <row r="186" spans="1:25" ht="12.75" customHeight="1" x14ac:dyDescent="0.25">
      <c r="A186" s="13"/>
      <c r="B186" s="13"/>
      <c r="C186" s="13"/>
      <c r="D186" s="13"/>
      <c r="E186" s="13"/>
      <c r="F186" s="13"/>
      <c r="G186" s="13"/>
      <c r="H186" s="13"/>
      <c r="I186" s="13"/>
      <c r="J186" s="13"/>
      <c r="K186" s="13"/>
      <c r="L186" s="13"/>
      <c r="M186" s="13"/>
      <c r="N186" s="13"/>
      <c r="O186" s="13"/>
      <c r="P186" s="13"/>
      <c r="Q186" s="13"/>
      <c r="R186" s="13"/>
      <c r="S186" s="13"/>
      <c r="T186" s="13"/>
      <c r="U186" s="13"/>
      <c r="V186" s="13"/>
      <c r="W186" s="13"/>
      <c r="X186" s="13"/>
      <c r="Y186" s="13"/>
    </row>
    <row r="187" spans="1:25" ht="12.75" customHeight="1" x14ac:dyDescent="0.25">
      <c r="A187" s="13"/>
      <c r="B187" s="13"/>
      <c r="C187" s="13"/>
      <c r="D187" s="13"/>
      <c r="E187" s="13"/>
      <c r="F187" s="13"/>
      <c r="G187" s="13"/>
      <c r="H187" s="13"/>
      <c r="I187" s="13"/>
      <c r="J187" s="13"/>
      <c r="K187" s="13"/>
      <c r="L187" s="13"/>
      <c r="M187" s="13"/>
      <c r="N187" s="13"/>
      <c r="O187" s="13"/>
      <c r="P187" s="13"/>
      <c r="Q187" s="13"/>
      <c r="R187" s="13"/>
      <c r="S187" s="13"/>
      <c r="T187" s="13"/>
      <c r="U187" s="13"/>
      <c r="V187" s="13"/>
      <c r="W187" s="13"/>
      <c r="X187" s="13"/>
      <c r="Y187" s="13"/>
    </row>
    <row r="188" spans="1:25" ht="12.75" customHeight="1" x14ac:dyDescent="0.25">
      <c r="A188" s="13"/>
      <c r="B188" s="13"/>
      <c r="C188" s="13"/>
      <c r="D188" s="13"/>
      <c r="E188" s="13"/>
      <c r="F188" s="13"/>
      <c r="G188" s="13"/>
      <c r="H188" s="13"/>
      <c r="I188" s="13"/>
      <c r="J188" s="13"/>
      <c r="K188" s="13"/>
      <c r="L188" s="13"/>
      <c r="M188" s="13"/>
      <c r="N188" s="13"/>
      <c r="O188" s="13"/>
      <c r="P188" s="13"/>
      <c r="Q188" s="13"/>
      <c r="R188" s="13"/>
      <c r="S188" s="13"/>
      <c r="T188" s="13"/>
      <c r="U188" s="13"/>
      <c r="V188" s="13"/>
      <c r="W188" s="13"/>
      <c r="X188" s="13"/>
      <c r="Y188" s="13"/>
    </row>
    <row r="189" spans="1:25" ht="12.75" customHeight="1" x14ac:dyDescent="0.25">
      <c r="A189" s="13"/>
      <c r="B189" s="13"/>
      <c r="C189" s="13"/>
      <c r="D189" s="13"/>
      <c r="E189" s="13"/>
      <c r="F189" s="13"/>
      <c r="G189" s="13"/>
      <c r="H189" s="13"/>
      <c r="I189" s="13"/>
      <c r="J189" s="13"/>
      <c r="K189" s="13"/>
      <c r="L189" s="13"/>
      <c r="M189" s="13"/>
      <c r="N189" s="13"/>
      <c r="O189" s="13"/>
      <c r="P189" s="13"/>
      <c r="Q189" s="13"/>
      <c r="R189" s="13"/>
      <c r="S189" s="13"/>
      <c r="T189" s="13"/>
      <c r="U189" s="13"/>
      <c r="V189" s="13"/>
      <c r="W189" s="13"/>
      <c r="X189" s="13"/>
      <c r="Y189" s="13"/>
    </row>
    <row r="190" spans="1:25" ht="12.75" customHeight="1" x14ac:dyDescent="0.25">
      <c r="A190" s="13"/>
      <c r="B190" s="13"/>
      <c r="C190" s="13"/>
      <c r="D190" s="13"/>
      <c r="E190" s="13"/>
      <c r="F190" s="13"/>
      <c r="G190" s="13"/>
      <c r="H190" s="13"/>
      <c r="I190" s="13"/>
      <c r="J190" s="13"/>
      <c r="K190" s="13"/>
      <c r="L190" s="13"/>
      <c r="M190" s="13"/>
      <c r="N190" s="13"/>
      <c r="O190" s="13"/>
      <c r="P190" s="13"/>
      <c r="Q190" s="13"/>
      <c r="R190" s="13"/>
      <c r="S190" s="13"/>
      <c r="T190" s="13"/>
      <c r="U190" s="13"/>
      <c r="V190" s="13"/>
      <c r="W190" s="13"/>
      <c r="X190" s="13"/>
      <c r="Y190" s="13"/>
    </row>
    <row r="191" spans="1:25" ht="12.75" customHeight="1" x14ac:dyDescent="0.25">
      <c r="A191" s="13"/>
      <c r="B191" s="13"/>
      <c r="C191" s="13"/>
      <c r="D191" s="13"/>
      <c r="E191" s="13"/>
      <c r="F191" s="13"/>
      <c r="G191" s="13"/>
      <c r="H191" s="13"/>
      <c r="I191" s="13"/>
      <c r="J191" s="13"/>
      <c r="K191" s="13"/>
      <c r="L191" s="13"/>
      <c r="M191" s="13"/>
      <c r="N191" s="13"/>
      <c r="O191" s="13"/>
      <c r="P191" s="13"/>
      <c r="Q191" s="13"/>
      <c r="R191" s="13"/>
      <c r="S191" s="13"/>
      <c r="T191" s="13"/>
      <c r="U191" s="13"/>
      <c r="V191" s="13"/>
      <c r="W191" s="13"/>
      <c r="X191" s="13"/>
      <c r="Y191" s="13"/>
    </row>
    <row r="192" spans="1:25" ht="12.75" customHeight="1" x14ac:dyDescent="0.25">
      <c r="A192" s="13"/>
      <c r="B192" s="13"/>
      <c r="C192" s="13"/>
      <c r="D192" s="13"/>
      <c r="E192" s="13"/>
      <c r="F192" s="13"/>
      <c r="G192" s="13"/>
      <c r="H192" s="13"/>
      <c r="I192" s="13"/>
      <c r="J192" s="13"/>
      <c r="K192" s="13"/>
      <c r="L192" s="13"/>
      <c r="M192" s="13"/>
      <c r="N192" s="13"/>
      <c r="O192" s="13"/>
      <c r="P192" s="13"/>
      <c r="Q192" s="13"/>
      <c r="R192" s="13"/>
      <c r="S192" s="13"/>
      <c r="T192" s="13"/>
      <c r="U192" s="13"/>
      <c r="V192" s="13"/>
      <c r="W192" s="13"/>
      <c r="X192" s="13"/>
      <c r="Y192" s="13"/>
    </row>
    <row r="193" spans="1:25" ht="12.75" customHeight="1" x14ac:dyDescent="0.25">
      <c r="A193" s="13"/>
      <c r="B193" s="13"/>
      <c r="C193" s="13"/>
      <c r="D193" s="13"/>
      <c r="E193" s="13"/>
      <c r="F193" s="13"/>
      <c r="G193" s="13"/>
      <c r="H193" s="13"/>
      <c r="I193" s="13"/>
      <c r="J193" s="13"/>
      <c r="K193" s="13"/>
      <c r="L193" s="13"/>
      <c r="M193" s="13"/>
      <c r="N193" s="13"/>
      <c r="O193" s="13"/>
      <c r="P193" s="13"/>
      <c r="Q193" s="13"/>
      <c r="R193" s="13"/>
      <c r="S193" s="13"/>
      <c r="T193" s="13"/>
      <c r="U193" s="13"/>
      <c r="V193" s="13"/>
      <c r="W193" s="13"/>
      <c r="X193" s="13"/>
      <c r="Y193" s="13"/>
    </row>
    <row r="194" spans="1:25" ht="12.75" customHeight="1" x14ac:dyDescent="0.25">
      <c r="A194" s="13"/>
      <c r="B194" s="13"/>
      <c r="C194" s="13"/>
      <c r="D194" s="13"/>
      <c r="E194" s="13"/>
      <c r="F194" s="13"/>
      <c r="G194" s="13"/>
      <c r="H194" s="13"/>
      <c r="I194" s="13"/>
      <c r="J194" s="13"/>
      <c r="K194" s="13"/>
      <c r="L194" s="13"/>
      <c r="M194" s="13"/>
      <c r="N194" s="13"/>
      <c r="O194" s="13"/>
      <c r="P194" s="13"/>
      <c r="Q194" s="13"/>
      <c r="R194" s="13"/>
      <c r="S194" s="13"/>
      <c r="T194" s="13"/>
      <c r="U194" s="13"/>
      <c r="V194" s="13"/>
      <c r="W194" s="13"/>
      <c r="X194" s="13"/>
      <c r="Y194" s="13"/>
    </row>
    <row r="195" spans="1:25" ht="12.75" customHeight="1" x14ac:dyDescent="0.25">
      <c r="A195" s="13"/>
      <c r="B195" s="13"/>
      <c r="C195" s="13"/>
      <c r="D195" s="13"/>
      <c r="E195" s="13"/>
      <c r="F195" s="13"/>
      <c r="G195" s="13"/>
      <c r="H195" s="13"/>
      <c r="I195" s="13"/>
      <c r="J195" s="13"/>
      <c r="K195" s="13"/>
      <c r="L195" s="13"/>
      <c r="M195" s="13"/>
      <c r="N195" s="13"/>
      <c r="O195" s="13"/>
      <c r="P195" s="13"/>
      <c r="Q195" s="13"/>
      <c r="R195" s="13"/>
      <c r="S195" s="13"/>
      <c r="T195" s="13"/>
      <c r="U195" s="13"/>
      <c r="V195" s="13"/>
      <c r="W195" s="13"/>
      <c r="X195" s="13"/>
      <c r="Y195" s="13"/>
    </row>
    <row r="196" spans="1:25" ht="12.75" customHeight="1" x14ac:dyDescent="0.25">
      <c r="A196" s="13"/>
      <c r="B196" s="13"/>
      <c r="C196" s="13"/>
      <c r="D196" s="13"/>
      <c r="E196" s="13"/>
      <c r="F196" s="13"/>
      <c r="G196" s="13"/>
      <c r="H196" s="13"/>
      <c r="I196" s="13"/>
      <c r="J196" s="13"/>
      <c r="K196" s="13"/>
      <c r="L196" s="13"/>
      <c r="M196" s="13"/>
      <c r="N196" s="13"/>
      <c r="O196" s="13"/>
      <c r="P196" s="13"/>
      <c r="Q196" s="13"/>
      <c r="R196" s="13"/>
      <c r="S196" s="13"/>
      <c r="T196" s="13"/>
      <c r="U196" s="13"/>
      <c r="V196" s="13"/>
      <c r="W196" s="13"/>
      <c r="X196" s="13"/>
      <c r="Y196" s="13"/>
    </row>
    <row r="197" spans="1:25" ht="12.75" customHeight="1" x14ac:dyDescent="0.25">
      <c r="A197" s="13"/>
      <c r="B197" s="13"/>
      <c r="C197" s="13"/>
      <c r="D197" s="13"/>
      <c r="E197" s="13"/>
      <c r="F197" s="13"/>
      <c r="G197" s="13"/>
      <c r="H197" s="13"/>
      <c r="I197" s="13"/>
      <c r="J197" s="13"/>
      <c r="K197" s="13"/>
      <c r="L197" s="13"/>
      <c r="M197" s="13"/>
      <c r="N197" s="13"/>
      <c r="O197" s="13"/>
      <c r="P197" s="13"/>
      <c r="Q197" s="13"/>
      <c r="R197" s="13"/>
      <c r="S197" s="13"/>
      <c r="T197" s="13"/>
      <c r="U197" s="13"/>
      <c r="V197" s="13"/>
      <c r="W197" s="13"/>
      <c r="X197" s="13"/>
      <c r="Y197" s="13"/>
    </row>
    <row r="198" spans="1:25" ht="12.75" customHeight="1" x14ac:dyDescent="0.25">
      <c r="A198" s="13"/>
      <c r="B198" s="13"/>
      <c r="C198" s="13"/>
      <c r="D198" s="13"/>
      <c r="E198" s="13"/>
      <c r="F198" s="13"/>
      <c r="G198" s="13"/>
      <c r="H198" s="13"/>
      <c r="I198" s="13"/>
      <c r="J198" s="13"/>
      <c r="K198" s="13"/>
      <c r="L198" s="13"/>
      <c r="M198" s="13"/>
      <c r="N198" s="13"/>
      <c r="O198" s="13"/>
      <c r="P198" s="13"/>
      <c r="Q198" s="13"/>
      <c r="R198" s="13"/>
      <c r="S198" s="13"/>
      <c r="T198" s="13"/>
      <c r="U198" s="13"/>
      <c r="V198" s="13"/>
      <c r="W198" s="13"/>
      <c r="X198" s="13"/>
      <c r="Y198" s="13"/>
    </row>
    <row r="199" spans="1:25" ht="12.75" customHeight="1" x14ac:dyDescent="0.25">
      <c r="A199" s="13"/>
      <c r="B199" s="13"/>
      <c r="C199" s="13"/>
      <c r="D199" s="13"/>
      <c r="E199" s="13"/>
      <c r="F199" s="13"/>
      <c r="G199" s="13"/>
      <c r="H199" s="13"/>
      <c r="I199" s="13"/>
      <c r="J199" s="13"/>
      <c r="K199" s="13"/>
      <c r="L199" s="13"/>
      <c r="M199" s="13"/>
      <c r="N199" s="13"/>
      <c r="O199" s="13"/>
      <c r="P199" s="13"/>
      <c r="Q199" s="13"/>
      <c r="R199" s="13"/>
      <c r="S199" s="13"/>
      <c r="T199" s="13"/>
      <c r="U199" s="13"/>
      <c r="V199" s="13"/>
      <c r="W199" s="13"/>
      <c r="X199" s="13"/>
      <c r="Y199" s="13"/>
    </row>
    <row r="200" spans="1:25" ht="12.75" customHeight="1" x14ac:dyDescent="0.25">
      <c r="A200" s="13"/>
      <c r="B200" s="13"/>
      <c r="C200" s="13"/>
      <c r="D200" s="13"/>
      <c r="E200" s="13"/>
      <c r="F200" s="13"/>
      <c r="G200" s="13"/>
      <c r="H200" s="13"/>
      <c r="I200" s="13"/>
      <c r="J200" s="13"/>
      <c r="K200" s="13"/>
      <c r="L200" s="13"/>
      <c r="M200" s="13"/>
      <c r="N200" s="13"/>
      <c r="O200" s="13"/>
      <c r="P200" s="13"/>
      <c r="Q200" s="13"/>
      <c r="R200" s="13"/>
      <c r="S200" s="13"/>
      <c r="T200" s="13"/>
      <c r="U200" s="13"/>
      <c r="V200" s="13"/>
      <c r="W200" s="13"/>
      <c r="X200" s="13"/>
      <c r="Y200" s="13"/>
    </row>
    <row r="201" spans="1:25" ht="12.75" customHeight="1" x14ac:dyDescent="0.25">
      <c r="A201" s="13"/>
      <c r="B201" s="13"/>
      <c r="C201" s="13"/>
      <c r="D201" s="13"/>
      <c r="E201" s="13"/>
      <c r="F201" s="13"/>
      <c r="G201" s="13"/>
      <c r="H201" s="13"/>
      <c r="I201" s="13"/>
      <c r="J201" s="13"/>
      <c r="K201" s="13"/>
      <c r="L201" s="13"/>
      <c r="M201" s="13"/>
      <c r="N201" s="13"/>
      <c r="O201" s="13"/>
      <c r="P201" s="13"/>
      <c r="Q201" s="13"/>
      <c r="R201" s="13"/>
      <c r="S201" s="13"/>
      <c r="T201" s="13"/>
      <c r="U201" s="13"/>
      <c r="V201" s="13"/>
      <c r="W201" s="13"/>
      <c r="X201" s="13"/>
      <c r="Y201" s="13"/>
    </row>
    <row r="202" spans="1:25" ht="12.75" customHeight="1" x14ac:dyDescent="0.25">
      <c r="A202" s="13"/>
      <c r="B202" s="13"/>
      <c r="C202" s="13"/>
      <c r="D202" s="13"/>
      <c r="E202" s="13"/>
      <c r="F202" s="13"/>
      <c r="G202" s="13"/>
      <c r="H202" s="13"/>
      <c r="I202" s="13"/>
      <c r="J202" s="13"/>
      <c r="K202" s="13"/>
      <c r="L202" s="13"/>
      <c r="M202" s="13"/>
      <c r="N202" s="13"/>
      <c r="O202" s="13"/>
      <c r="P202" s="13"/>
      <c r="Q202" s="13"/>
      <c r="R202" s="13"/>
      <c r="S202" s="13"/>
      <c r="T202" s="13"/>
      <c r="U202" s="13"/>
      <c r="V202" s="13"/>
      <c r="W202" s="13"/>
      <c r="X202" s="13"/>
      <c r="Y202" s="13"/>
    </row>
    <row r="203" spans="1:25" ht="12.75" customHeight="1" x14ac:dyDescent="0.25">
      <c r="A203" s="13"/>
      <c r="B203" s="13"/>
      <c r="C203" s="13"/>
      <c r="D203" s="13"/>
      <c r="E203" s="13"/>
      <c r="F203" s="13"/>
      <c r="G203" s="13"/>
      <c r="H203" s="13"/>
      <c r="I203" s="13"/>
      <c r="J203" s="13"/>
      <c r="K203" s="13"/>
      <c r="L203" s="13"/>
      <c r="M203" s="13"/>
      <c r="N203" s="13"/>
      <c r="O203" s="13"/>
      <c r="P203" s="13"/>
      <c r="Q203" s="13"/>
      <c r="R203" s="13"/>
      <c r="S203" s="13"/>
      <c r="T203" s="13"/>
      <c r="U203" s="13"/>
      <c r="V203" s="13"/>
      <c r="W203" s="13"/>
      <c r="X203" s="13"/>
      <c r="Y203" s="13"/>
    </row>
    <row r="204" spans="1:25" ht="12.75" customHeight="1" x14ac:dyDescent="0.25">
      <c r="A204" s="13"/>
      <c r="B204" s="13"/>
      <c r="C204" s="13"/>
      <c r="D204" s="13"/>
      <c r="E204" s="13"/>
      <c r="F204" s="13"/>
      <c r="G204" s="13"/>
      <c r="H204" s="13"/>
      <c r="I204" s="13"/>
      <c r="J204" s="13"/>
      <c r="K204" s="13"/>
      <c r="L204" s="13"/>
      <c r="M204" s="13"/>
      <c r="N204" s="13"/>
      <c r="O204" s="13"/>
      <c r="P204" s="13"/>
      <c r="Q204" s="13"/>
      <c r="R204" s="13"/>
      <c r="S204" s="13"/>
      <c r="T204" s="13"/>
      <c r="U204" s="13"/>
      <c r="V204" s="13"/>
      <c r="W204" s="13"/>
      <c r="X204" s="13"/>
      <c r="Y204" s="13"/>
    </row>
    <row r="205" spans="1:25" ht="12.75" customHeight="1" x14ac:dyDescent="0.25">
      <c r="A205" s="13"/>
      <c r="B205" s="13"/>
      <c r="C205" s="13"/>
      <c r="D205" s="13"/>
      <c r="E205" s="13"/>
      <c r="F205" s="13"/>
      <c r="G205" s="13"/>
      <c r="H205" s="13"/>
      <c r="I205" s="13"/>
      <c r="J205" s="13"/>
      <c r="K205" s="13"/>
      <c r="L205" s="13"/>
      <c r="M205" s="13"/>
      <c r="N205" s="13"/>
      <c r="O205" s="13"/>
      <c r="P205" s="13"/>
      <c r="Q205" s="13"/>
      <c r="R205" s="13"/>
      <c r="S205" s="13"/>
      <c r="T205" s="13"/>
      <c r="U205" s="13"/>
      <c r="V205" s="13"/>
      <c r="W205" s="13"/>
      <c r="X205" s="13"/>
      <c r="Y205" s="13"/>
    </row>
    <row r="206" spans="1:25" ht="12.75" customHeight="1" x14ac:dyDescent="0.25">
      <c r="A206" s="13"/>
      <c r="B206" s="13"/>
      <c r="C206" s="13"/>
      <c r="D206" s="13"/>
      <c r="E206" s="13"/>
      <c r="F206" s="13"/>
      <c r="G206" s="13"/>
      <c r="H206" s="13"/>
      <c r="I206" s="13"/>
      <c r="J206" s="13"/>
      <c r="K206" s="13"/>
      <c r="L206" s="13"/>
      <c r="M206" s="13"/>
      <c r="N206" s="13"/>
      <c r="O206" s="13"/>
      <c r="P206" s="13"/>
      <c r="Q206" s="13"/>
      <c r="R206" s="13"/>
      <c r="S206" s="13"/>
      <c r="T206" s="13"/>
      <c r="U206" s="13"/>
      <c r="V206" s="13"/>
      <c r="W206" s="13"/>
      <c r="X206" s="13"/>
      <c r="Y206" s="13"/>
    </row>
    <row r="207" spans="1:25" ht="12.75" customHeight="1" x14ac:dyDescent="0.25">
      <c r="A207" s="13"/>
      <c r="B207" s="13"/>
      <c r="C207" s="13"/>
      <c r="D207" s="13"/>
      <c r="E207" s="13"/>
      <c r="F207" s="13"/>
      <c r="G207" s="13"/>
      <c r="H207" s="13"/>
      <c r="I207" s="13"/>
      <c r="J207" s="13"/>
      <c r="K207" s="13"/>
      <c r="L207" s="13"/>
      <c r="M207" s="13"/>
      <c r="N207" s="13"/>
      <c r="O207" s="13"/>
      <c r="P207" s="13"/>
      <c r="Q207" s="13"/>
      <c r="R207" s="13"/>
      <c r="S207" s="13"/>
      <c r="T207" s="13"/>
      <c r="U207" s="13"/>
      <c r="V207" s="13"/>
      <c r="W207" s="13"/>
      <c r="X207" s="13"/>
      <c r="Y207" s="13"/>
    </row>
    <row r="208" spans="1:25" ht="12.75" customHeight="1" x14ac:dyDescent="0.25">
      <c r="A208" s="13"/>
      <c r="B208" s="13"/>
      <c r="C208" s="13"/>
      <c r="D208" s="13"/>
      <c r="E208" s="13"/>
      <c r="F208" s="13"/>
      <c r="G208" s="13"/>
      <c r="H208" s="13"/>
      <c r="I208" s="13"/>
      <c r="J208" s="13"/>
      <c r="K208" s="13"/>
      <c r="L208" s="13"/>
      <c r="M208" s="13"/>
      <c r="N208" s="13"/>
      <c r="O208" s="13"/>
      <c r="P208" s="13"/>
      <c r="Q208" s="13"/>
      <c r="R208" s="13"/>
      <c r="S208" s="13"/>
      <c r="T208" s="13"/>
      <c r="U208" s="13"/>
      <c r="V208" s="13"/>
      <c r="W208" s="13"/>
      <c r="X208" s="13"/>
      <c r="Y208" s="13"/>
    </row>
    <row r="209" spans="1:25" ht="12.75" customHeight="1" x14ac:dyDescent="0.25">
      <c r="A209" s="13"/>
      <c r="B209" s="13"/>
      <c r="C209" s="13"/>
      <c r="D209" s="13"/>
      <c r="E209" s="13"/>
      <c r="F209" s="13"/>
      <c r="G209" s="13"/>
      <c r="H209" s="13"/>
      <c r="I209" s="13"/>
      <c r="J209" s="13"/>
      <c r="K209" s="13"/>
      <c r="L209" s="13"/>
      <c r="M209" s="13"/>
      <c r="N209" s="13"/>
      <c r="O209" s="13"/>
      <c r="P209" s="13"/>
      <c r="Q209" s="13"/>
      <c r="R209" s="13"/>
      <c r="S209" s="13"/>
      <c r="T209" s="13"/>
      <c r="U209" s="13"/>
      <c r="V209" s="13"/>
      <c r="W209" s="13"/>
      <c r="X209" s="13"/>
      <c r="Y209" s="13"/>
    </row>
    <row r="210" spans="1:25" ht="12.75" customHeight="1" x14ac:dyDescent="0.25">
      <c r="A210" s="13"/>
      <c r="B210" s="13"/>
      <c r="C210" s="13"/>
      <c r="D210" s="13"/>
      <c r="E210" s="13"/>
      <c r="F210" s="13"/>
      <c r="G210" s="13"/>
      <c r="H210" s="13"/>
      <c r="I210" s="13"/>
      <c r="J210" s="13"/>
      <c r="K210" s="13"/>
      <c r="L210" s="13"/>
      <c r="M210" s="13"/>
      <c r="N210" s="13"/>
      <c r="O210" s="13"/>
      <c r="P210" s="13"/>
      <c r="Q210" s="13"/>
      <c r="R210" s="13"/>
      <c r="S210" s="13"/>
      <c r="T210" s="13"/>
      <c r="U210" s="13"/>
      <c r="V210" s="13"/>
      <c r="W210" s="13"/>
      <c r="X210" s="13"/>
      <c r="Y210" s="13"/>
    </row>
    <row r="211" spans="1:25" ht="12.75" customHeight="1" x14ac:dyDescent="0.25">
      <c r="A211" s="13"/>
      <c r="B211" s="13"/>
      <c r="C211" s="13"/>
      <c r="D211" s="13"/>
      <c r="E211" s="13"/>
      <c r="F211" s="13"/>
      <c r="G211" s="13"/>
      <c r="H211" s="13"/>
      <c r="I211" s="13"/>
      <c r="J211" s="13"/>
      <c r="K211" s="13"/>
      <c r="L211" s="13"/>
      <c r="M211" s="13"/>
      <c r="N211" s="13"/>
      <c r="O211" s="13"/>
      <c r="P211" s="13"/>
      <c r="Q211" s="13"/>
      <c r="R211" s="13"/>
      <c r="S211" s="13"/>
      <c r="T211" s="13"/>
      <c r="U211" s="13"/>
      <c r="V211" s="13"/>
      <c r="W211" s="13"/>
      <c r="X211" s="13"/>
      <c r="Y211" s="13"/>
    </row>
    <row r="212" spans="1:25" ht="12.75" customHeight="1" x14ac:dyDescent="0.25">
      <c r="A212" s="13"/>
      <c r="B212" s="13"/>
      <c r="C212" s="13"/>
      <c r="D212" s="13"/>
      <c r="E212" s="13"/>
      <c r="F212" s="13"/>
      <c r="G212" s="13"/>
      <c r="H212" s="13"/>
      <c r="I212" s="13"/>
      <c r="J212" s="13"/>
      <c r="K212" s="13"/>
      <c r="L212" s="13"/>
      <c r="M212" s="13"/>
      <c r="N212" s="13"/>
      <c r="O212" s="13"/>
      <c r="P212" s="13"/>
      <c r="Q212" s="13"/>
      <c r="R212" s="13"/>
      <c r="S212" s="13"/>
      <c r="T212" s="13"/>
      <c r="U212" s="13"/>
      <c r="V212" s="13"/>
      <c r="W212" s="13"/>
      <c r="X212" s="13"/>
      <c r="Y212" s="13"/>
    </row>
    <row r="213" spans="1:25" ht="12.75" customHeight="1" x14ac:dyDescent="0.25">
      <c r="A213" s="13"/>
      <c r="B213" s="13"/>
      <c r="C213" s="13"/>
      <c r="D213" s="13"/>
      <c r="E213" s="13"/>
      <c r="F213" s="13"/>
      <c r="G213" s="13"/>
      <c r="H213" s="13"/>
      <c r="I213" s="13"/>
      <c r="J213" s="13"/>
      <c r="K213" s="13"/>
      <c r="L213" s="13"/>
      <c r="M213" s="13"/>
      <c r="N213" s="13"/>
      <c r="O213" s="13"/>
      <c r="P213" s="13"/>
      <c r="Q213" s="13"/>
      <c r="R213" s="13"/>
      <c r="S213" s="13"/>
      <c r="T213" s="13"/>
      <c r="U213" s="13"/>
      <c r="V213" s="13"/>
      <c r="W213" s="13"/>
      <c r="X213" s="13"/>
      <c r="Y213" s="13"/>
    </row>
    <row r="214" spans="1:25" ht="12.75" customHeight="1" x14ac:dyDescent="0.25">
      <c r="A214" s="13"/>
      <c r="B214" s="13"/>
      <c r="C214" s="13"/>
      <c r="D214" s="13"/>
      <c r="E214" s="13"/>
      <c r="F214" s="13"/>
      <c r="G214" s="13"/>
      <c r="H214" s="13"/>
      <c r="I214" s="13"/>
      <c r="J214" s="13"/>
      <c r="K214" s="13"/>
      <c r="L214" s="13"/>
      <c r="M214" s="13"/>
      <c r="N214" s="13"/>
      <c r="O214" s="13"/>
      <c r="P214" s="13"/>
      <c r="Q214" s="13"/>
      <c r="R214" s="13"/>
      <c r="S214" s="13"/>
      <c r="T214" s="13"/>
      <c r="U214" s="13"/>
      <c r="V214" s="13"/>
      <c r="W214" s="13"/>
      <c r="X214" s="13"/>
      <c r="Y214" s="13"/>
    </row>
    <row r="215" spans="1:25" ht="12.75" customHeight="1" x14ac:dyDescent="0.25">
      <c r="A215" s="13"/>
      <c r="B215" s="13"/>
      <c r="C215" s="13"/>
      <c r="D215" s="13"/>
      <c r="E215" s="13"/>
      <c r="F215" s="13"/>
      <c r="G215" s="13"/>
      <c r="H215" s="13"/>
      <c r="I215" s="13"/>
      <c r="J215" s="13"/>
      <c r="K215" s="13"/>
      <c r="L215" s="13"/>
      <c r="M215" s="13"/>
      <c r="N215" s="13"/>
      <c r="O215" s="13"/>
      <c r="P215" s="13"/>
      <c r="Q215" s="13"/>
      <c r="R215" s="13"/>
      <c r="S215" s="13"/>
      <c r="T215" s="13"/>
      <c r="U215" s="13"/>
      <c r="V215" s="13"/>
      <c r="W215" s="13"/>
      <c r="X215" s="13"/>
      <c r="Y215" s="13"/>
    </row>
    <row r="216" spans="1:25" ht="12.75" customHeight="1" x14ac:dyDescent="0.25">
      <c r="A216" s="13"/>
      <c r="B216" s="13"/>
      <c r="C216" s="13"/>
      <c r="D216" s="13"/>
      <c r="E216" s="13"/>
      <c r="F216" s="13"/>
      <c r="G216" s="13"/>
      <c r="H216" s="13"/>
      <c r="I216" s="13"/>
      <c r="J216" s="13"/>
      <c r="K216" s="13"/>
      <c r="L216" s="13"/>
      <c r="M216" s="13"/>
      <c r="N216" s="13"/>
      <c r="O216" s="13"/>
      <c r="P216" s="13"/>
      <c r="Q216" s="13"/>
      <c r="R216" s="13"/>
      <c r="S216" s="13"/>
      <c r="T216" s="13"/>
      <c r="U216" s="13"/>
      <c r="V216" s="13"/>
      <c r="W216" s="13"/>
      <c r="X216" s="13"/>
      <c r="Y216" s="13"/>
    </row>
    <row r="217" spans="1:25" ht="12.75" customHeight="1" x14ac:dyDescent="0.25">
      <c r="A217" s="13"/>
      <c r="B217" s="13"/>
      <c r="C217" s="13"/>
      <c r="D217" s="13"/>
      <c r="E217" s="13"/>
      <c r="F217" s="13"/>
      <c r="G217" s="13"/>
      <c r="H217" s="13"/>
      <c r="I217" s="13"/>
      <c r="J217" s="13"/>
      <c r="K217" s="13"/>
      <c r="L217" s="13"/>
      <c r="M217" s="13"/>
      <c r="N217" s="13"/>
      <c r="O217" s="13"/>
      <c r="P217" s="13"/>
      <c r="Q217" s="13"/>
      <c r="R217" s="13"/>
      <c r="S217" s="13"/>
      <c r="T217" s="13"/>
      <c r="U217" s="13"/>
      <c r="V217" s="13"/>
      <c r="W217" s="13"/>
      <c r="X217" s="13"/>
      <c r="Y217" s="13"/>
    </row>
    <row r="218" spans="1:25" ht="12.75" customHeight="1" x14ac:dyDescent="0.25">
      <c r="A218" s="13"/>
      <c r="B218" s="13"/>
      <c r="C218" s="13"/>
      <c r="D218" s="13"/>
      <c r="E218" s="13"/>
      <c r="F218" s="13"/>
      <c r="G218" s="13"/>
      <c r="H218" s="13"/>
      <c r="I218" s="13"/>
      <c r="J218" s="13"/>
      <c r="K218" s="13"/>
      <c r="L218" s="13"/>
      <c r="M218" s="13"/>
      <c r="N218" s="13"/>
      <c r="O218" s="13"/>
      <c r="P218" s="13"/>
      <c r="Q218" s="13"/>
      <c r="R218" s="13"/>
      <c r="S218" s="13"/>
      <c r="T218" s="13"/>
      <c r="U218" s="13"/>
      <c r="V218" s="13"/>
      <c r="W218" s="13"/>
      <c r="X218" s="13"/>
      <c r="Y218" s="13"/>
    </row>
    <row r="219" spans="1:25" ht="12.75" customHeight="1" x14ac:dyDescent="0.25">
      <c r="A219" s="13"/>
      <c r="B219" s="13"/>
      <c r="C219" s="13"/>
      <c r="D219" s="13"/>
      <c r="E219" s="13"/>
      <c r="F219" s="13"/>
      <c r="G219" s="13"/>
      <c r="H219" s="13"/>
      <c r="I219" s="13"/>
      <c r="J219" s="13"/>
      <c r="K219" s="13"/>
      <c r="L219" s="13"/>
      <c r="M219" s="13"/>
      <c r="N219" s="13"/>
      <c r="O219" s="13"/>
      <c r="P219" s="13"/>
      <c r="Q219" s="13"/>
      <c r="R219" s="13"/>
      <c r="S219" s="13"/>
      <c r="T219" s="13"/>
      <c r="U219" s="13"/>
      <c r="V219" s="13"/>
      <c r="W219" s="13"/>
      <c r="X219" s="13"/>
      <c r="Y219" s="13"/>
    </row>
    <row r="220" spans="1:25" ht="12.75" customHeight="1" x14ac:dyDescent="0.25">
      <c r="A220" s="13"/>
      <c r="B220" s="13"/>
      <c r="C220" s="13"/>
      <c r="D220" s="13"/>
      <c r="E220" s="13"/>
      <c r="F220" s="13"/>
      <c r="G220" s="13"/>
      <c r="H220" s="13"/>
      <c r="I220" s="13"/>
      <c r="J220" s="13"/>
      <c r="K220" s="13"/>
      <c r="L220" s="13"/>
      <c r="M220" s="13"/>
      <c r="N220" s="13"/>
      <c r="O220" s="13"/>
      <c r="P220" s="13"/>
      <c r="Q220" s="13"/>
      <c r="R220" s="13"/>
      <c r="S220" s="13"/>
      <c r="T220" s="13"/>
      <c r="U220" s="13"/>
      <c r="V220" s="13"/>
      <c r="W220" s="13"/>
      <c r="X220" s="13"/>
      <c r="Y220" s="13"/>
    </row>
    <row r="221" spans="1:25" ht="12.75" customHeight="1" x14ac:dyDescent="0.25">
      <c r="A221" s="13"/>
      <c r="B221" s="13"/>
      <c r="C221" s="13"/>
      <c r="D221" s="13"/>
      <c r="E221" s="13"/>
      <c r="F221" s="13"/>
      <c r="G221" s="13"/>
      <c r="H221" s="13"/>
      <c r="I221" s="13"/>
      <c r="J221" s="13"/>
      <c r="K221" s="13"/>
      <c r="L221" s="13"/>
      <c r="M221" s="13"/>
      <c r="N221" s="13"/>
      <c r="O221" s="13"/>
      <c r="P221" s="13"/>
      <c r="Q221" s="13"/>
      <c r="R221" s="13"/>
      <c r="S221" s="13"/>
      <c r="T221" s="13"/>
      <c r="U221" s="13"/>
      <c r="V221" s="13"/>
      <c r="W221" s="13"/>
      <c r="X221" s="13"/>
      <c r="Y221" s="13"/>
    </row>
    <row r="222" spans="1:25" ht="12.75" customHeight="1" x14ac:dyDescent="0.25">
      <c r="A222" s="13"/>
      <c r="B222" s="13"/>
      <c r="C222" s="13"/>
      <c r="D222" s="13"/>
      <c r="E222" s="13"/>
      <c r="F222" s="13"/>
      <c r="G222" s="13"/>
      <c r="H222" s="13"/>
      <c r="I222" s="13"/>
      <c r="J222" s="13"/>
      <c r="K222" s="13"/>
      <c r="L222" s="13"/>
      <c r="M222" s="13"/>
      <c r="N222" s="13"/>
      <c r="O222" s="13"/>
      <c r="P222" s="13"/>
      <c r="Q222" s="13"/>
      <c r="R222" s="13"/>
      <c r="S222" s="13"/>
      <c r="T222" s="13"/>
      <c r="U222" s="13"/>
      <c r="V222" s="13"/>
      <c r="W222" s="13"/>
      <c r="X222" s="13"/>
      <c r="Y222" s="13"/>
    </row>
    <row r="223" spans="1:25" ht="12.75" customHeight="1" x14ac:dyDescent="0.25">
      <c r="A223" s="13"/>
      <c r="B223" s="13"/>
      <c r="C223" s="13"/>
      <c r="D223" s="13"/>
      <c r="E223" s="13"/>
      <c r="F223" s="13"/>
      <c r="G223" s="13"/>
      <c r="H223" s="13"/>
      <c r="I223" s="13"/>
      <c r="J223" s="13"/>
      <c r="K223" s="13"/>
      <c r="L223" s="13"/>
      <c r="M223" s="13"/>
      <c r="N223" s="13"/>
      <c r="O223" s="13"/>
      <c r="P223" s="13"/>
      <c r="Q223" s="13"/>
      <c r="R223" s="13"/>
      <c r="S223" s="13"/>
      <c r="T223" s="13"/>
      <c r="U223" s="13"/>
      <c r="V223" s="13"/>
      <c r="W223" s="13"/>
      <c r="X223" s="13"/>
      <c r="Y223" s="13"/>
    </row>
    <row r="224" spans="1:25" ht="12.75" customHeight="1" x14ac:dyDescent="0.25">
      <c r="A224" s="13"/>
      <c r="B224" s="13"/>
      <c r="C224" s="13"/>
      <c r="D224" s="13"/>
      <c r="E224" s="13"/>
      <c r="F224" s="13"/>
      <c r="G224" s="13"/>
      <c r="H224" s="13"/>
      <c r="I224" s="13"/>
      <c r="J224" s="13"/>
      <c r="K224" s="13"/>
      <c r="L224" s="13"/>
      <c r="M224" s="13"/>
      <c r="N224" s="13"/>
      <c r="O224" s="13"/>
      <c r="P224" s="13"/>
      <c r="Q224" s="13"/>
      <c r="R224" s="13"/>
      <c r="S224" s="13"/>
      <c r="T224" s="13"/>
      <c r="U224" s="13"/>
      <c r="V224" s="13"/>
      <c r="W224" s="13"/>
      <c r="X224" s="13"/>
      <c r="Y224" s="13"/>
    </row>
    <row r="225" spans="1:25" ht="12.75" customHeight="1" x14ac:dyDescent="0.25">
      <c r="A225" s="13"/>
      <c r="B225" s="13"/>
      <c r="C225" s="13"/>
      <c r="D225" s="13"/>
      <c r="E225" s="13"/>
      <c r="F225" s="13"/>
      <c r="G225" s="13"/>
      <c r="H225" s="13"/>
      <c r="I225" s="13"/>
      <c r="J225" s="13"/>
      <c r="K225" s="13"/>
      <c r="L225" s="13"/>
      <c r="M225" s="13"/>
      <c r="N225" s="13"/>
      <c r="O225" s="13"/>
      <c r="P225" s="13"/>
      <c r="Q225" s="13"/>
      <c r="R225" s="13"/>
      <c r="S225" s="13"/>
      <c r="T225" s="13"/>
      <c r="U225" s="13"/>
      <c r="V225" s="13"/>
      <c r="W225" s="13"/>
      <c r="X225" s="13"/>
      <c r="Y225" s="13"/>
    </row>
    <row r="226" spans="1:25" ht="12.75" customHeight="1" x14ac:dyDescent="0.25">
      <c r="A226" s="13"/>
      <c r="B226" s="13"/>
      <c r="C226" s="13"/>
      <c r="D226" s="13"/>
      <c r="E226" s="13"/>
      <c r="F226" s="13"/>
      <c r="G226" s="13"/>
      <c r="H226" s="13"/>
      <c r="I226" s="13"/>
      <c r="J226" s="13"/>
      <c r="K226" s="13"/>
      <c r="L226" s="13"/>
      <c r="M226" s="13"/>
      <c r="N226" s="13"/>
      <c r="O226" s="13"/>
      <c r="P226" s="13"/>
      <c r="Q226" s="13"/>
      <c r="R226" s="13"/>
      <c r="S226" s="13"/>
      <c r="T226" s="13"/>
      <c r="U226" s="13"/>
      <c r="V226" s="13"/>
      <c r="W226" s="13"/>
      <c r="X226" s="13"/>
      <c r="Y226" s="13"/>
    </row>
    <row r="227" spans="1:25" ht="12.75" customHeight="1" x14ac:dyDescent="0.25">
      <c r="A227" s="13"/>
      <c r="B227" s="13"/>
      <c r="C227" s="13"/>
      <c r="D227" s="13"/>
      <c r="E227" s="13"/>
      <c r="F227" s="13"/>
      <c r="G227" s="13"/>
      <c r="H227" s="13"/>
      <c r="I227" s="13"/>
      <c r="J227" s="13"/>
      <c r="K227" s="13"/>
      <c r="L227" s="13"/>
      <c r="M227" s="13"/>
      <c r="N227" s="13"/>
      <c r="O227" s="13"/>
      <c r="P227" s="13"/>
      <c r="Q227" s="13"/>
      <c r="R227" s="13"/>
      <c r="S227" s="13"/>
      <c r="T227" s="13"/>
      <c r="U227" s="13"/>
      <c r="V227" s="13"/>
      <c r="W227" s="13"/>
      <c r="X227" s="13"/>
      <c r="Y227" s="13"/>
    </row>
    <row r="228" spans="1:25" ht="12.75" customHeight="1" x14ac:dyDescent="0.25">
      <c r="A228" s="13"/>
      <c r="B228" s="13"/>
      <c r="C228" s="13"/>
      <c r="D228" s="13"/>
      <c r="E228" s="13"/>
      <c r="F228" s="13"/>
      <c r="G228" s="13"/>
      <c r="H228" s="13"/>
      <c r="I228" s="13"/>
      <c r="J228" s="13"/>
      <c r="K228" s="13"/>
      <c r="L228" s="13"/>
      <c r="M228" s="13"/>
      <c r="N228" s="13"/>
      <c r="O228" s="13"/>
      <c r="P228" s="13"/>
      <c r="Q228" s="13"/>
      <c r="R228" s="13"/>
      <c r="S228" s="13"/>
      <c r="T228" s="13"/>
      <c r="U228" s="13"/>
      <c r="V228" s="13"/>
      <c r="W228" s="13"/>
      <c r="X228" s="13"/>
      <c r="Y228" s="13"/>
    </row>
    <row r="229" spans="1:25" ht="12.75" customHeight="1" x14ac:dyDescent="0.25">
      <c r="A229" s="13"/>
      <c r="B229" s="13"/>
      <c r="C229" s="13"/>
      <c r="D229" s="13"/>
      <c r="E229" s="13"/>
      <c r="F229" s="13"/>
      <c r="G229" s="13"/>
      <c r="H229" s="13"/>
      <c r="I229" s="13"/>
      <c r="J229" s="13"/>
      <c r="K229" s="13"/>
      <c r="L229" s="13"/>
      <c r="M229" s="13"/>
      <c r="N229" s="13"/>
      <c r="O229" s="13"/>
      <c r="P229" s="13"/>
      <c r="Q229" s="13"/>
      <c r="R229" s="13"/>
      <c r="S229" s="13"/>
      <c r="T229" s="13"/>
      <c r="U229" s="13"/>
      <c r="V229" s="13"/>
      <c r="W229" s="13"/>
      <c r="X229" s="13"/>
      <c r="Y229" s="13"/>
    </row>
    <row r="230" spans="1:25" ht="12.75" customHeight="1" x14ac:dyDescent="0.25">
      <c r="A230" s="13"/>
      <c r="B230" s="13"/>
      <c r="C230" s="13"/>
      <c r="D230" s="13"/>
      <c r="E230" s="13"/>
      <c r="F230" s="13"/>
      <c r="G230" s="13"/>
      <c r="H230" s="13"/>
      <c r="I230" s="13"/>
      <c r="J230" s="13"/>
      <c r="K230" s="13"/>
      <c r="L230" s="13"/>
      <c r="M230" s="13"/>
      <c r="N230" s="13"/>
      <c r="O230" s="13"/>
      <c r="P230" s="13"/>
      <c r="Q230" s="13"/>
      <c r="R230" s="13"/>
      <c r="S230" s="13"/>
      <c r="T230" s="13"/>
      <c r="U230" s="13"/>
      <c r="V230" s="13"/>
      <c r="W230" s="13"/>
      <c r="X230" s="13"/>
      <c r="Y230" s="13"/>
    </row>
    <row r="231" spans="1:25" ht="12.75" customHeight="1" x14ac:dyDescent="0.25">
      <c r="A231" s="13"/>
      <c r="B231" s="13"/>
      <c r="C231" s="13"/>
      <c r="D231" s="13"/>
      <c r="E231" s="13"/>
      <c r="F231" s="13"/>
      <c r="G231" s="13"/>
      <c r="H231" s="13"/>
      <c r="I231" s="13"/>
      <c r="J231" s="13"/>
      <c r="K231" s="13"/>
      <c r="L231" s="13"/>
      <c r="M231" s="13"/>
      <c r="N231" s="13"/>
      <c r="O231" s="13"/>
      <c r="P231" s="13"/>
      <c r="Q231" s="13"/>
      <c r="R231" s="13"/>
      <c r="S231" s="13"/>
      <c r="T231" s="13"/>
      <c r="U231" s="13"/>
      <c r="V231" s="13"/>
      <c r="W231" s="13"/>
      <c r="X231" s="13"/>
      <c r="Y231" s="13"/>
    </row>
    <row r="232" spans="1:25" ht="12.75" customHeight="1" x14ac:dyDescent="0.25">
      <c r="A232" s="13"/>
      <c r="B232" s="13"/>
      <c r="C232" s="13"/>
      <c r="D232" s="13"/>
      <c r="E232" s="13"/>
      <c r="F232" s="13"/>
      <c r="G232" s="13"/>
      <c r="H232" s="13"/>
      <c r="I232" s="13"/>
      <c r="J232" s="13"/>
      <c r="K232" s="13"/>
      <c r="L232" s="13"/>
      <c r="M232" s="13"/>
      <c r="N232" s="13"/>
      <c r="O232" s="13"/>
      <c r="P232" s="13"/>
      <c r="Q232" s="13"/>
      <c r="R232" s="13"/>
      <c r="S232" s="13"/>
      <c r="T232" s="13"/>
      <c r="U232" s="13"/>
      <c r="V232" s="13"/>
      <c r="W232" s="13"/>
      <c r="X232" s="13"/>
      <c r="Y232" s="13"/>
    </row>
    <row r="233" spans="1:25" ht="12.75" customHeight="1" x14ac:dyDescent="0.25">
      <c r="A233" s="13"/>
      <c r="B233" s="13"/>
      <c r="C233" s="13"/>
      <c r="D233" s="13"/>
      <c r="E233" s="13"/>
      <c r="F233" s="13"/>
      <c r="G233" s="13"/>
      <c r="H233" s="13"/>
      <c r="I233" s="13"/>
      <c r="J233" s="13"/>
      <c r="K233" s="13"/>
      <c r="L233" s="13"/>
      <c r="M233" s="13"/>
      <c r="N233" s="13"/>
      <c r="O233" s="13"/>
      <c r="P233" s="13"/>
      <c r="Q233" s="13"/>
      <c r="R233" s="13"/>
      <c r="S233" s="13"/>
      <c r="T233" s="13"/>
      <c r="U233" s="13"/>
      <c r="V233" s="13"/>
      <c r="W233" s="13"/>
      <c r="X233" s="13"/>
      <c r="Y233" s="13"/>
    </row>
    <row r="234" spans="1:25" ht="12.75" customHeight="1" x14ac:dyDescent="0.25">
      <c r="A234" s="13"/>
      <c r="B234" s="13"/>
      <c r="C234" s="13"/>
      <c r="D234" s="13"/>
      <c r="E234" s="13"/>
      <c r="F234" s="13"/>
      <c r="G234" s="13"/>
      <c r="H234" s="13"/>
      <c r="I234" s="13"/>
      <c r="J234" s="13"/>
      <c r="K234" s="13"/>
      <c r="L234" s="13"/>
      <c r="M234" s="13"/>
      <c r="N234" s="13"/>
      <c r="O234" s="13"/>
      <c r="P234" s="13"/>
      <c r="Q234" s="13"/>
      <c r="R234" s="13"/>
      <c r="S234" s="13"/>
      <c r="T234" s="13"/>
      <c r="U234" s="13"/>
      <c r="V234" s="13"/>
      <c r="W234" s="13"/>
      <c r="X234" s="13"/>
      <c r="Y234" s="13"/>
    </row>
    <row r="235" spans="1:25" ht="12.75" customHeight="1" x14ac:dyDescent="0.25">
      <c r="A235" s="13"/>
      <c r="B235" s="13"/>
      <c r="C235" s="13"/>
      <c r="D235" s="13"/>
      <c r="E235" s="13"/>
      <c r="F235" s="13"/>
      <c r="G235" s="13"/>
      <c r="H235" s="13"/>
      <c r="I235" s="13"/>
      <c r="J235" s="13"/>
      <c r="K235" s="13"/>
      <c r="L235" s="13"/>
      <c r="M235" s="13"/>
      <c r="N235" s="13"/>
      <c r="O235" s="13"/>
      <c r="P235" s="13"/>
      <c r="Q235" s="13"/>
      <c r="R235" s="13"/>
      <c r="S235" s="13"/>
      <c r="T235" s="13"/>
      <c r="U235" s="13"/>
      <c r="V235" s="13"/>
      <c r="W235" s="13"/>
      <c r="X235" s="13"/>
      <c r="Y235" s="13"/>
    </row>
    <row r="236" spans="1:25" ht="12.75" customHeight="1" x14ac:dyDescent="0.25">
      <c r="A236" s="13"/>
      <c r="B236" s="13"/>
      <c r="C236" s="13"/>
      <c r="D236" s="13"/>
      <c r="E236" s="13"/>
      <c r="F236" s="13"/>
      <c r="G236" s="13"/>
      <c r="H236" s="13"/>
      <c r="I236" s="13"/>
      <c r="J236" s="13"/>
      <c r="K236" s="13"/>
      <c r="L236" s="13"/>
      <c r="M236" s="13"/>
      <c r="N236" s="13"/>
      <c r="O236" s="13"/>
      <c r="P236" s="13"/>
      <c r="Q236" s="13"/>
      <c r="R236" s="13"/>
      <c r="S236" s="13"/>
      <c r="T236" s="13"/>
      <c r="U236" s="13"/>
      <c r="V236" s="13"/>
      <c r="W236" s="13"/>
      <c r="X236" s="13"/>
      <c r="Y236" s="13"/>
    </row>
    <row r="237" spans="1:25" ht="12.75" customHeight="1" x14ac:dyDescent="0.25">
      <c r="A237" s="13"/>
      <c r="B237" s="13"/>
      <c r="C237" s="13"/>
      <c r="D237" s="13"/>
      <c r="E237" s="13"/>
      <c r="F237" s="13"/>
      <c r="G237" s="13"/>
      <c r="H237" s="13"/>
      <c r="I237" s="13"/>
      <c r="J237" s="13"/>
      <c r="K237" s="13"/>
      <c r="L237" s="13"/>
      <c r="M237" s="13"/>
      <c r="N237" s="13"/>
      <c r="O237" s="13"/>
      <c r="P237" s="13"/>
      <c r="Q237" s="13"/>
      <c r="R237" s="13"/>
      <c r="S237" s="13"/>
      <c r="T237" s="13"/>
      <c r="U237" s="13"/>
      <c r="V237" s="13"/>
      <c r="W237" s="13"/>
      <c r="X237" s="13"/>
      <c r="Y237" s="13"/>
    </row>
    <row r="238" spans="1:25" ht="12.75" customHeight="1" x14ac:dyDescent="0.25">
      <c r="A238" s="13"/>
      <c r="B238" s="13"/>
      <c r="C238" s="13"/>
      <c r="D238" s="13"/>
      <c r="E238" s="13"/>
      <c r="F238" s="13"/>
      <c r="G238" s="13"/>
      <c r="H238" s="13"/>
      <c r="I238" s="13"/>
      <c r="J238" s="13"/>
      <c r="K238" s="13"/>
      <c r="L238" s="13"/>
      <c r="M238" s="13"/>
      <c r="N238" s="13"/>
      <c r="O238" s="13"/>
      <c r="P238" s="13"/>
      <c r="Q238" s="13"/>
      <c r="R238" s="13"/>
      <c r="S238" s="13"/>
      <c r="T238" s="13"/>
      <c r="U238" s="13"/>
      <c r="V238" s="13"/>
      <c r="W238" s="13"/>
      <c r="X238" s="13"/>
      <c r="Y238" s="13"/>
    </row>
    <row r="239" spans="1:25" ht="12.75" customHeight="1" x14ac:dyDescent="0.25">
      <c r="A239" s="13"/>
      <c r="B239" s="13"/>
      <c r="C239" s="13"/>
      <c r="D239" s="13"/>
      <c r="E239" s="13"/>
      <c r="F239" s="13"/>
      <c r="G239" s="13"/>
      <c r="H239" s="13"/>
      <c r="I239" s="13"/>
      <c r="J239" s="13"/>
      <c r="K239" s="13"/>
      <c r="L239" s="13"/>
      <c r="M239" s="13"/>
      <c r="N239" s="13"/>
      <c r="O239" s="13"/>
      <c r="P239" s="13"/>
      <c r="Q239" s="13"/>
      <c r="R239" s="13"/>
      <c r="S239" s="13"/>
      <c r="T239" s="13"/>
      <c r="U239" s="13"/>
      <c r="V239" s="13"/>
      <c r="W239" s="13"/>
      <c r="X239" s="13"/>
      <c r="Y239" s="13"/>
    </row>
    <row r="240" spans="1:25" ht="12.75" customHeight="1" x14ac:dyDescent="0.25">
      <c r="A240" s="13"/>
      <c r="B240" s="13"/>
      <c r="C240" s="13"/>
      <c r="D240" s="13"/>
      <c r="E240" s="13"/>
      <c r="F240" s="13"/>
      <c r="G240" s="13"/>
      <c r="H240" s="13"/>
      <c r="I240" s="13"/>
      <c r="J240" s="13"/>
      <c r="K240" s="13"/>
      <c r="L240" s="13"/>
      <c r="M240" s="13"/>
      <c r="N240" s="13"/>
      <c r="O240" s="13"/>
      <c r="P240" s="13"/>
      <c r="Q240" s="13"/>
      <c r="R240" s="13"/>
      <c r="S240" s="13"/>
      <c r="T240" s="13"/>
      <c r="U240" s="13"/>
      <c r="V240" s="13"/>
      <c r="W240" s="13"/>
      <c r="X240" s="13"/>
      <c r="Y240" s="13"/>
    </row>
    <row r="241" spans="1:25" ht="12.75" customHeight="1" x14ac:dyDescent="0.25">
      <c r="A241" s="13"/>
      <c r="B241" s="13"/>
      <c r="C241" s="13"/>
      <c r="D241" s="13"/>
      <c r="E241" s="13"/>
      <c r="F241" s="13"/>
      <c r="G241" s="13"/>
      <c r="H241" s="13"/>
      <c r="I241" s="13"/>
      <c r="J241" s="13"/>
      <c r="K241" s="13"/>
      <c r="L241" s="13"/>
      <c r="M241" s="13"/>
      <c r="N241" s="13"/>
      <c r="O241" s="13"/>
      <c r="P241" s="13"/>
      <c r="Q241" s="13"/>
      <c r="R241" s="13"/>
      <c r="S241" s="13"/>
      <c r="T241" s="13"/>
      <c r="U241" s="13"/>
      <c r="V241" s="13"/>
      <c r="W241" s="13"/>
      <c r="X241" s="13"/>
      <c r="Y241" s="13"/>
    </row>
    <row r="242" spans="1:25" ht="12.75" customHeight="1" x14ac:dyDescent="0.25">
      <c r="A242" s="13"/>
      <c r="B242" s="13"/>
      <c r="C242" s="13"/>
      <c r="D242" s="13"/>
      <c r="E242" s="13"/>
      <c r="F242" s="13"/>
      <c r="G242" s="13"/>
      <c r="H242" s="13"/>
      <c r="I242" s="13"/>
      <c r="J242" s="13"/>
      <c r="K242" s="13"/>
      <c r="L242" s="13"/>
      <c r="M242" s="13"/>
      <c r="N242" s="13"/>
      <c r="O242" s="13"/>
      <c r="P242" s="13"/>
      <c r="Q242" s="13"/>
      <c r="R242" s="13"/>
      <c r="S242" s="13"/>
      <c r="T242" s="13"/>
      <c r="U242" s="13"/>
      <c r="V242" s="13"/>
      <c r="W242" s="13"/>
      <c r="X242" s="13"/>
      <c r="Y242" s="13"/>
    </row>
    <row r="243" spans="1:25" ht="12.75" customHeight="1" x14ac:dyDescent="0.25">
      <c r="A243" s="13"/>
      <c r="B243" s="13"/>
      <c r="C243" s="13"/>
      <c r="D243" s="13"/>
      <c r="E243" s="13"/>
      <c r="F243" s="13"/>
      <c r="G243" s="13"/>
      <c r="H243" s="13"/>
      <c r="I243" s="13"/>
      <c r="J243" s="13"/>
      <c r="K243" s="13"/>
      <c r="L243" s="13"/>
      <c r="M243" s="13"/>
      <c r="N243" s="13"/>
      <c r="O243" s="13"/>
      <c r="P243" s="13"/>
      <c r="Q243" s="13"/>
      <c r="R243" s="13"/>
      <c r="S243" s="13"/>
      <c r="T243" s="13"/>
      <c r="U243" s="13"/>
      <c r="V243" s="13"/>
      <c r="W243" s="13"/>
      <c r="X243" s="13"/>
      <c r="Y243" s="13"/>
    </row>
    <row r="244" spans="1:25" ht="12.75" customHeight="1" x14ac:dyDescent="0.25">
      <c r="A244" s="13"/>
      <c r="B244" s="13"/>
      <c r="C244" s="13"/>
      <c r="D244" s="13"/>
      <c r="E244" s="13"/>
      <c r="F244" s="13"/>
      <c r="G244" s="13"/>
      <c r="H244" s="13"/>
      <c r="I244" s="13"/>
      <c r="J244" s="13"/>
      <c r="K244" s="13"/>
      <c r="L244" s="13"/>
      <c r="M244" s="13"/>
      <c r="N244" s="13"/>
      <c r="O244" s="13"/>
      <c r="P244" s="13"/>
      <c r="Q244" s="13"/>
      <c r="R244" s="13"/>
      <c r="S244" s="13"/>
      <c r="T244" s="13"/>
      <c r="U244" s="13"/>
      <c r="V244" s="13"/>
      <c r="W244" s="13"/>
      <c r="X244" s="13"/>
      <c r="Y244" s="13"/>
    </row>
    <row r="245" spans="1:25" ht="12.75" customHeight="1" x14ac:dyDescent="0.25">
      <c r="A245" s="13"/>
      <c r="B245" s="13"/>
      <c r="C245" s="13"/>
      <c r="D245" s="13"/>
      <c r="E245" s="13"/>
      <c r="F245" s="13"/>
      <c r="G245" s="13"/>
      <c r="H245" s="13"/>
      <c r="I245" s="13"/>
      <c r="J245" s="13"/>
      <c r="K245" s="13"/>
      <c r="L245" s="13"/>
      <c r="M245" s="13"/>
      <c r="N245" s="13"/>
      <c r="O245" s="13"/>
      <c r="P245" s="13"/>
      <c r="Q245" s="13"/>
      <c r="R245" s="13"/>
      <c r="S245" s="13"/>
      <c r="T245" s="13"/>
      <c r="U245" s="13"/>
      <c r="V245" s="13"/>
      <c r="W245" s="13"/>
      <c r="X245" s="13"/>
      <c r="Y245" s="13"/>
    </row>
    <row r="246" spans="1:25" ht="15.75" customHeight="1" x14ac:dyDescent="0.25">
      <c r="A246" s="13"/>
      <c r="B246" s="13"/>
      <c r="C246" s="13"/>
      <c r="D246" s="13"/>
      <c r="E246" s="13"/>
      <c r="F246" s="13"/>
      <c r="G246" s="13"/>
      <c r="H246" s="13"/>
      <c r="I246" s="13"/>
      <c r="J246" s="13"/>
      <c r="K246" s="13"/>
      <c r="L246" s="13"/>
      <c r="M246" s="13"/>
      <c r="N246" s="13"/>
      <c r="O246" s="13"/>
      <c r="P246" s="13"/>
      <c r="Q246" s="13"/>
      <c r="R246" s="13"/>
      <c r="S246" s="13"/>
      <c r="T246" s="13"/>
      <c r="U246" s="13"/>
      <c r="V246" s="13"/>
      <c r="W246" s="13"/>
      <c r="X246" s="13"/>
      <c r="Y246" s="13"/>
    </row>
    <row r="247" spans="1:25" ht="15.75" customHeight="1" x14ac:dyDescent="0.25">
      <c r="A247" s="13"/>
      <c r="B247" s="13"/>
      <c r="C247" s="13"/>
      <c r="D247" s="13"/>
      <c r="E247" s="13"/>
      <c r="F247" s="13"/>
      <c r="G247" s="13"/>
      <c r="H247" s="13"/>
      <c r="I247" s="13"/>
      <c r="J247" s="13"/>
      <c r="K247" s="13"/>
      <c r="L247" s="13"/>
      <c r="M247" s="13"/>
      <c r="N247" s="13"/>
      <c r="O247" s="13"/>
      <c r="P247" s="13"/>
      <c r="Q247" s="13"/>
      <c r="R247" s="13"/>
      <c r="S247" s="13"/>
      <c r="T247" s="13"/>
      <c r="U247" s="13"/>
      <c r="V247" s="13"/>
      <c r="W247" s="13"/>
      <c r="X247" s="13"/>
      <c r="Y247" s="13"/>
    </row>
    <row r="248" spans="1:25" ht="15.75" customHeight="1" x14ac:dyDescent="0.25">
      <c r="A248" s="13"/>
      <c r="B248" s="13"/>
      <c r="C248" s="13"/>
      <c r="D248" s="13"/>
      <c r="E248" s="13"/>
      <c r="F248" s="13"/>
      <c r="G248" s="13"/>
      <c r="H248" s="13"/>
      <c r="I248" s="13"/>
      <c r="J248" s="13"/>
      <c r="K248" s="13"/>
      <c r="L248" s="13"/>
      <c r="M248" s="13"/>
      <c r="N248" s="13"/>
      <c r="O248" s="13"/>
      <c r="P248" s="13"/>
      <c r="Q248" s="13"/>
      <c r="R248" s="13"/>
      <c r="S248" s="13"/>
      <c r="T248" s="13"/>
      <c r="U248" s="13"/>
      <c r="V248" s="13"/>
      <c r="W248" s="13"/>
      <c r="X248" s="13"/>
      <c r="Y248" s="13"/>
    </row>
    <row r="249" spans="1:25" ht="15.75" customHeight="1" x14ac:dyDescent="0.25">
      <c r="A249" s="13"/>
      <c r="B249" s="13"/>
      <c r="C249" s="13"/>
      <c r="D249" s="13"/>
      <c r="E249" s="13"/>
      <c r="F249" s="13"/>
      <c r="G249" s="13"/>
      <c r="H249" s="13"/>
      <c r="I249" s="13"/>
      <c r="J249" s="13"/>
      <c r="K249" s="13"/>
      <c r="L249" s="13"/>
      <c r="M249" s="13"/>
      <c r="N249" s="13"/>
      <c r="O249" s="13"/>
      <c r="P249" s="13"/>
      <c r="Q249" s="13"/>
      <c r="R249" s="13"/>
      <c r="S249" s="13"/>
      <c r="T249" s="13"/>
      <c r="U249" s="13"/>
      <c r="V249" s="13"/>
      <c r="W249" s="13"/>
      <c r="X249" s="13"/>
      <c r="Y249" s="13"/>
    </row>
    <row r="250" spans="1:25" ht="15.75" customHeight="1" x14ac:dyDescent="0.25">
      <c r="A250" s="13"/>
      <c r="B250" s="13"/>
      <c r="C250" s="13"/>
      <c r="D250" s="13"/>
      <c r="E250" s="13"/>
      <c r="F250" s="13"/>
      <c r="G250" s="13"/>
      <c r="H250" s="13"/>
      <c r="I250" s="13"/>
      <c r="J250" s="13"/>
      <c r="K250" s="13"/>
      <c r="L250" s="13"/>
      <c r="M250" s="13"/>
      <c r="N250" s="13"/>
      <c r="O250" s="13"/>
      <c r="P250" s="13"/>
      <c r="Q250" s="13"/>
      <c r="R250" s="13"/>
      <c r="S250" s="13"/>
      <c r="T250" s="13"/>
      <c r="U250" s="13"/>
      <c r="V250" s="13"/>
      <c r="W250" s="13"/>
      <c r="X250" s="13"/>
      <c r="Y250" s="13"/>
    </row>
    <row r="251" spans="1:25" ht="15.75" customHeight="1" x14ac:dyDescent="0.25">
      <c r="A251" s="13"/>
      <c r="B251" s="13"/>
      <c r="C251" s="13"/>
      <c r="D251" s="13"/>
      <c r="E251" s="13"/>
      <c r="F251" s="13"/>
      <c r="G251" s="13"/>
      <c r="H251" s="13"/>
      <c r="I251" s="13"/>
      <c r="J251" s="13"/>
      <c r="K251" s="13"/>
      <c r="L251" s="13"/>
      <c r="M251" s="13"/>
      <c r="N251" s="13"/>
      <c r="O251" s="13"/>
      <c r="P251" s="13"/>
      <c r="Q251" s="13"/>
      <c r="R251" s="13"/>
      <c r="S251" s="13"/>
      <c r="T251" s="13"/>
      <c r="U251" s="13"/>
      <c r="V251" s="13"/>
      <c r="W251" s="13"/>
      <c r="X251" s="13"/>
      <c r="Y251" s="13"/>
    </row>
    <row r="252" spans="1:25" ht="15.75" customHeight="1" x14ac:dyDescent="0.25">
      <c r="A252" s="13"/>
      <c r="B252" s="13"/>
      <c r="C252" s="13"/>
      <c r="D252" s="13"/>
      <c r="E252" s="13"/>
      <c r="F252" s="13"/>
      <c r="G252" s="13"/>
      <c r="H252" s="13"/>
      <c r="I252" s="13"/>
      <c r="J252" s="13"/>
      <c r="K252" s="13"/>
      <c r="L252" s="13"/>
      <c r="M252" s="13"/>
      <c r="N252" s="13"/>
      <c r="O252" s="13"/>
      <c r="P252" s="13"/>
      <c r="Q252" s="13"/>
      <c r="R252" s="13"/>
      <c r="S252" s="13"/>
      <c r="T252" s="13"/>
      <c r="U252" s="13"/>
      <c r="V252" s="13"/>
      <c r="W252" s="13"/>
      <c r="X252" s="13"/>
      <c r="Y252" s="13"/>
    </row>
    <row r="253" spans="1:25" ht="15.75" customHeight="1" x14ac:dyDescent="0.25">
      <c r="A253" s="13"/>
      <c r="B253" s="13"/>
      <c r="C253" s="13"/>
      <c r="D253" s="13"/>
      <c r="E253" s="13"/>
      <c r="F253" s="13"/>
      <c r="G253" s="13"/>
      <c r="H253" s="13"/>
      <c r="I253" s="13"/>
      <c r="J253" s="13"/>
      <c r="K253" s="13"/>
      <c r="L253" s="13"/>
      <c r="M253" s="13"/>
      <c r="N253" s="13"/>
      <c r="O253" s="13"/>
      <c r="P253" s="13"/>
      <c r="Q253" s="13"/>
      <c r="R253" s="13"/>
      <c r="S253" s="13"/>
      <c r="T253" s="13"/>
      <c r="U253" s="13"/>
      <c r="V253" s="13"/>
      <c r="W253" s="13"/>
      <c r="X253" s="13"/>
      <c r="Y253" s="13"/>
    </row>
    <row r="254" spans="1:25" ht="15.75" customHeight="1" x14ac:dyDescent="0.25">
      <c r="A254" s="13"/>
      <c r="B254" s="13"/>
      <c r="C254" s="13"/>
      <c r="D254" s="13"/>
      <c r="E254" s="13"/>
      <c r="F254" s="13"/>
      <c r="G254" s="13"/>
      <c r="H254" s="13"/>
      <c r="I254" s="13"/>
      <c r="J254" s="13"/>
      <c r="K254" s="13"/>
      <c r="L254" s="13"/>
      <c r="M254" s="13"/>
      <c r="N254" s="13"/>
      <c r="O254" s="13"/>
      <c r="P254" s="13"/>
      <c r="Q254" s="13"/>
      <c r="R254" s="13"/>
      <c r="S254" s="13"/>
      <c r="T254" s="13"/>
      <c r="U254" s="13"/>
      <c r="V254" s="13"/>
      <c r="W254" s="13"/>
      <c r="X254" s="13"/>
      <c r="Y254" s="13"/>
    </row>
    <row r="255" spans="1:25" ht="15.75" customHeight="1" x14ac:dyDescent="0.25">
      <c r="A255" s="13"/>
      <c r="B255" s="13"/>
      <c r="C255" s="13"/>
      <c r="D255" s="13"/>
      <c r="E255" s="13"/>
      <c r="F255" s="13"/>
      <c r="G255" s="13"/>
      <c r="H255" s="13"/>
      <c r="I255" s="13"/>
      <c r="J255" s="13"/>
      <c r="K255" s="13"/>
      <c r="L255" s="13"/>
      <c r="M255" s="13"/>
      <c r="N255" s="13"/>
      <c r="O255" s="13"/>
      <c r="P255" s="13"/>
      <c r="Q255" s="13"/>
      <c r="R255" s="13"/>
      <c r="S255" s="13"/>
      <c r="T255" s="13"/>
      <c r="U255" s="13"/>
      <c r="V255" s="13"/>
      <c r="W255" s="13"/>
      <c r="X255" s="13"/>
      <c r="Y255" s="13"/>
    </row>
    <row r="256" spans="1:25" ht="15.75" customHeight="1" x14ac:dyDescent="0.25">
      <c r="A256" s="13"/>
      <c r="B256" s="13"/>
      <c r="C256" s="13"/>
      <c r="D256" s="13"/>
      <c r="E256" s="13"/>
      <c r="F256" s="13"/>
      <c r="G256" s="13"/>
      <c r="H256" s="13"/>
      <c r="I256" s="13"/>
      <c r="J256" s="13"/>
      <c r="K256" s="13"/>
      <c r="L256" s="13"/>
      <c r="M256" s="13"/>
      <c r="N256" s="13"/>
      <c r="O256" s="13"/>
      <c r="P256" s="13"/>
      <c r="Q256" s="13"/>
      <c r="R256" s="13"/>
      <c r="S256" s="13"/>
      <c r="T256" s="13"/>
      <c r="U256" s="13"/>
      <c r="V256" s="13"/>
      <c r="W256" s="13"/>
      <c r="X256" s="13"/>
      <c r="Y256" s="13"/>
    </row>
    <row r="257" spans="1:25" ht="15.75" customHeight="1" x14ac:dyDescent="0.25">
      <c r="A257" s="13"/>
      <c r="B257" s="13"/>
      <c r="C257" s="13"/>
      <c r="D257" s="13"/>
      <c r="E257" s="13"/>
      <c r="F257" s="13"/>
      <c r="G257" s="13"/>
      <c r="H257" s="13"/>
      <c r="I257" s="13"/>
      <c r="J257" s="13"/>
      <c r="K257" s="13"/>
      <c r="L257" s="13"/>
      <c r="M257" s="13"/>
      <c r="N257" s="13"/>
      <c r="O257" s="13"/>
      <c r="P257" s="13"/>
      <c r="Q257" s="13"/>
      <c r="R257" s="13"/>
      <c r="S257" s="13"/>
      <c r="T257" s="13"/>
      <c r="U257" s="13"/>
      <c r="V257" s="13"/>
      <c r="W257" s="13"/>
      <c r="X257" s="13"/>
      <c r="Y257" s="13"/>
    </row>
    <row r="258" spans="1:25" ht="15.75" customHeight="1" x14ac:dyDescent="0.25">
      <c r="A258" s="13"/>
      <c r="B258" s="13"/>
      <c r="C258" s="13"/>
      <c r="D258" s="13"/>
      <c r="E258" s="13"/>
      <c r="F258" s="13"/>
      <c r="G258" s="13"/>
      <c r="H258" s="13"/>
      <c r="I258" s="13"/>
      <c r="J258" s="13"/>
      <c r="K258" s="13"/>
      <c r="L258" s="13"/>
      <c r="M258" s="13"/>
      <c r="N258" s="13"/>
      <c r="O258" s="13"/>
      <c r="P258" s="13"/>
      <c r="Q258" s="13"/>
      <c r="R258" s="13"/>
      <c r="S258" s="13"/>
      <c r="T258" s="13"/>
      <c r="U258" s="13"/>
      <c r="V258" s="13"/>
      <c r="W258" s="13"/>
      <c r="X258" s="13"/>
      <c r="Y258" s="13"/>
    </row>
    <row r="259" spans="1:25" ht="15.75" customHeight="1" x14ac:dyDescent="0.25">
      <c r="A259" s="13"/>
      <c r="B259" s="13"/>
      <c r="C259" s="13"/>
      <c r="D259" s="13"/>
      <c r="E259" s="13"/>
      <c r="F259" s="13"/>
      <c r="G259" s="13"/>
      <c r="H259" s="13"/>
      <c r="I259" s="13"/>
      <c r="J259" s="13"/>
      <c r="K259" s="13"/>
      <c r="L259" s="13"/>
      <c r="M259" s="13"/>
      <c r="N259" s="13"/>
      <c r="O259" s="13"/>
      <c r="P259" s="13"/>
      <c r="Q259" s="13"/>
      <c r="R259" s="13"/>
      <c r="S259" s="13"/>
      <c r="T259" s="13"/>
      <c r="U259" s="13"/>
      <c r="V259" s="13"/>
      <c r="W259" s="13"/>
      <c r="X259" s="13"/>
      <c r="Y259" s="13"/>
    </row>
    <row r="260" spans="1:25" ht="15.75" customHeight="1" x14ac:dyDescent="0.25">
      <c r="A260" s="13"/>
      <c r="B260" s="13"/>
      <c r="C260" s="13"/>
      <c r="D260" s="13"/>
      <c r="E260" s="13"/>
      <c r="F260" s="13"/>
      <c r="G260" s="13"/>
      <c r="H260" s="13"/>
      <c r="I260" s="13"/>
      <c r="J260" s="13"/>
      <c r="K260" s="13"/>
      <c r="L260" s="13"/>
      <c r="M260" s="13"/>
      <c r="N260" s="13"/>
      <c r="O260" s="13"/>
      <c r="P260" s="13"/>
      <c r="Q260" s="13"/>
      <c r="R260" s="13"/>
      <c r="S260" s="13"/>
      <c r="T260" s="13"/>
      <c r="U260" s="13"/>
      <c r="V260" s="13"/>
      <c r="W260" s="13"/>
      <c r="X260" s="13"/>
      <c r="Y260" s="13"/>
    </row>
    <row r="261" spans="1:25" ht="15.75" customHeight="1" x14ac:dyDescent="0.25">
      <c r="A261" s="13"/>
      <c r="B261" s="13"/>
      <c r="C261" s="13"/>
      <c r="D261" s="13"/>
      <c r="E261" s="13"/>
      <c r="F261" s="13"/>
      <c r="G261" s="13"/>
      <c r="H261" s="13"/>
      <c r="I261" s="13"/>
      <c r="J261" s="13"/>
      <c r="K261" s="13"/>
      <c r="L261" s="13"/>
      <c r="M261" s="13"/>
      <c r="N261" s="13"/>
      <c r="O261" s="13"/>
      <c r="P261" s="13"/>
      <c r="Q261" s="13"/>
      <c r="R261" s="13"/>
      <c r="S261" s="13"/>
      <c r="T261" s="13"/>
      <c r="U261" s="13"/>
      <c r="V261" s="13"/>
      <c r="W261" s="13"/>
      <c r="X261" s="13"/>
      <c r="Y261" s="13"/>
    </row>
    <row r="262" spans="1:25" ht="15.75" customHeight="1" x14ac:dyDescent="0.25">
      <c r="A262" s="13"/>
      <c r="B262" s="13"/>
      <c r="C262" s="13"/>
      <c r="D262" s="13"/>
      <c r="E262" s="13"/>
      <c r="F262" s="13"/>
      <c r="G262" s="13"/>
      <c r="H262" s="13"/>
      <c r="I262" s="13"/>
      <c r="J262" s="13"/>
      <c r="K262" s="13"/>
      <c r="L262" s="13"/>
      <c r="M262" s="13"/>
      <c r="N262" s="13"/>
      <c r="O262" s="13"/>
      <c r="P262" s="13"/>
      <c r="Q262" s="13"/>
      <c r="R262" s="13"/>
      <c r="S262" s="13"/>
      <c r="T262" s="13"/>
      <c r="U262" s="13"/>
      <c r="V262" s="13"/>
      <c r="W262" s="13"/>
      <c r="X262" s="13"/>
      <c r="Y262" s="13"/>
    </row>
    <row r="263" spans="1:25" ht="15.75" customHeight="1" x14ac:dyDescent="0.25">
      <c r="A263" s="13"/>
      <c r="B263" s="13"/>
      <c r="C263" s="13"/>
      <c r="D263" s="13"/>
      <c r="E263" s="13"/>
      <c r="F263" s="13"/>
      <c r="G263" s="13"/>
      <c r="H263" s="13"/>
      <c r="I263" s="13"/>
      <c r="J263" s="13"/>
      <c r="K263" s="13"/>
      <c r="L263" s="13"/>
      <c r="M263" s="13"/>
      <c r="N263" s="13"/>
      <c r="O263" s="13"/>
      <c r="P263" s="13"/>
      <c r="Q263" s="13"/>
      <c r="R263" s="13"/>
      <c r="S263" s="13"/>
      <c r="T263" s="13"/>
      <c r="U263" s="13"/>
      <c r="V263" s="13"/>
      <c r="W263" s="13"/>
      <c r="X263" s="13"/>
      <c r="Y263" s="13"/>
    </row>
    <row r="264" spans="1:25" ht="15.75" customHeight="1" x14ac:dyDescent="0.25">
      <c r="A264" s="13"/>
      <c r="B264" s="13"/>
      <c r="C264" s="13"/>
      <c r="D264" s="13"/>
      <c r="E264" s="13"/>
      <c r="F264" s="13"/>
      <c r="G264" s="13"/>
      <c r="H264" s="13"/>
      <c r="I264" s="13"/>
      <c r="J264" s="13"/>
      <c r="K264" s="13"/>
      <c r="L264" s="13"/>
      <c r="M264" s="13"/>
      <c r="N264" s="13"/>
      <c r="O264" s="13"/>
      <c r="P264" s="13"/>
      <c r="Q264" s="13"/>
      <c r="R264" s="13"/>
      <c r="S264" s="13"/>
      <c r="T264" s="13"/>
      <c r="U264" s="13"/>
      <c r="V264" s="13"/>
      <c r="W264" s="13"/>
      <c r="X264" s="13"/>
      <c r="Y264" s="13"/>
    </row>
    <row r="265" spans="1:25" ht="15.75" customHeight="1" x14ac:dyDescent="0.25">
      <c r="A265" s="13"/>
      <c r="B265" s="13"/>
      <c r="C265" s="13"/>
      <c r="D265" s="13"/>
      <c r="E265" s="13"/>
      <c r="F265" s="13"/>
      <c r="G265" s="13"/>
      <c r="H265" s="13"/>
      <c r="I265" s="13"/>
      <c r="J265" s="13"/>
      <c r="K265" s="13"/>
      <c r="L265" s="13"/>
      <c r="M265" s="13"/>
      <c r="N265" s="13"/>
      <c r="O265" s="13"/>
      <c r="P265" s="13"/>
      <c r="Q265" s="13"/>
      <c r="R265" s="13"/>
      <c r="S265" s="13"/>
      <c r="T265" s="13"/>
      <c r="U265" s="13"/>
      <c r="V265" s="13"/>
      <c r="W265" s="13"/>
      <c r="X265" s="13"/>
      <c r="Y265" s="13"/>
    </row>
    <row r="266" spans="1:25" ht="15.75" customHeight="1" x14ac:dyDescent="0.25">
      <c r="A266" s="13"/>
      <c r="B266" s="13"/>
      <c r="C266" s="13"/>
      <c r="D266" s="13"/>
      <c r="E266" s="13"/>
      <c r="F266" s="13"/>
      <c r="G266" s="13"/>
      <c r="H266" s="13"/>
      <c r="I266" s="13"/>
      <c r="J266" s="13"/>
      <c r="K266" s="13"/>
      <c r="L266" s="13"/>
      <c r="M266" s="13"/>
      <c r="N266" s="13"/>
      <c r="O266" s="13"/>
      <c r="P266" s="13"/>
      <c r="Q266" s="13"/>
      <c r="R266" s="13"/>
      <c r="S266" s="13"/>
      <c r="T266" s="13"/>
      <c r="U266" s="13"/>
      <c r="V266" s="13"/>
      <c r="W266" s="13"/>
      <c r="X266" s="13"/>
      <c r="Y266" s="13"/>
    </row>
    <row r="267" spans="1:25" ht="15.75" customHeight="1" x14ac:dyDescent="0.25">
      <c r="A267" s="13"/>
      <c r="B267" s="13"/>
      <c r="C267" s="13"/>
      <c r="D267" s="13"/>
      <c r="E267" s="13"/>
      <c r="F267" s="13"/>
      <c r="G267" s="13"/>
      <c r="H267" s="13"/>
      <c r="I267" s="13"/>
      <c r="J267" s="13"/>
      <c r="K267" s="13"/>
      <c r="L267" s="13"/>
      <c r="M267" s="13"/>
      <c r="N267" s="13"/>
      <c r="O267" s="13"/>
      <c r="P267" s="13"/>
      <c r="Q267" s="13"/>
      <c r="R267" s="13"/>
      <c r="S267" s="13"/>
      <c r="T267" s="13"/>
      <c r="U267" s="13"/>
      <c r="V267" s="13"/>
      <c r="W267" s="13"/>
      <c r="X267" s="13"/>
      <c r="Y267" s="13"/>
    </row>
    <row r="268" spans="1:25" ht="15.75" customHeight="1" x14ac:dyDescent="0.25">
      <c r="A268" s="13"/>
      <c r="B268" s="13"/>
      <c r="C268" s="13"/>
      <c r="D268" s="13"/>
      <c r="E268" s="13"/>
      <c r="F268" s="13"/>
      <c r="G268" s="13"/>
      <c r="H268" s="13"/>
      <c r="I268" s="13"/>
      <c r="J268" s="13"/>
      <c r="K268" s="13"/>
      <c r="L268" s="13"/>
      <c r="M268" s="13"/>
      <c r="N268" s="13"/>
      <c r="O268" s="13"/>
      <c r="P268" s="13"/>
      <c r="Q268" s="13"/>
      <c r="R268" s="13"/>
      <c r="S268" s="13"/>
      <c r="T268" s="13"/>
      <c r="U268" s="13"/>
      <c r="V268" s="13"/>
      <c r="W268" s="13"/>
      <c r="X268" s="13"/>
      <c r="Y268" s="13"/>
    </row>
    <row r="269" spans="1:25" ht="15.75" customHeight="1" x14ac:dyDescent="0.25">
      <c r="A269" s="13"/>
      <c r="B269" s="13"/>
      <c r="C269" s="13"/>
      <c r="D269" s="13"/>
      <c r="E269" s="13"/>
      <c r="F269" s="13"/>
      <c r="G269" s="13"/>
      <c r="H269" s="13"/>
      <c r="I269" s="13"/>
      <c r="J269" s="13"/>
      <c r="K269" s="13"/>
      <c r="L269" s="13"/>
      <c r="M269" s="13"/>
      <c r="N269" s="13"/>
      <c r="O269" s="13"/>
      <c r="P269" s="13"/>
      <c r="Q269" s="13"/>
      <c r="R269" s="13"/>
      <c r="S269" s="13"/>
      <c r="T269" s="13"/>
      <c r="U269" s="13"/>
      <c r="V269" s="13"/>
      <c r="W269" s="13"/>
      <c r="X269" s="13"/>
      <c r="Y269" s="13"/>
    </row>
    <row r="270" spans="1:25" ht="15.75" customHeight="1" x14ac:dyDescent="0.25">
      <c r="A270" s="13"/>
      <c r="B270" s="13"/>
      <c r="C270" s="13"/>
      <c r="D270" s="13"/>
      <c r="E270" s="13"/>
      <c r="F270" s="13"/>
      <c r="G270" s="13"/>
      <c r="H270" s="13"/>
      <c r="I270" s="13"/>
      <c r="J270" s="13"/>
      <c r="K270" s="13"/>
      <c r="L270" s="13"/>
      <c r="M270" s="13"/>
      <c r="N270" s="13"/>
      <c r="O270" s="13"/>
      <c r="P270" s="13"/>
      <c r="Q270" s="13"/>
      <c r="R270" s="13"/>
      <c r="S270" s="13"/>
      <c r="T270" s="13"/>
      <c r="U270" s="13"/>
      <c r="V270" s="13"/>
      <c r="W270" s="13"/>
      <c r="X270" s="13"/>
      <c r="Y270" s="13"/>
    </row>
    <row r="271" spans="1:25" ht="15.75" customHeight="1" x14ac:dyDescent="0.25">
      <c r="A271" s="13"/>
      <c r="B271" s="13"/>
      <c r="C271" s="13"/>
      <c r="D271" s="13"/>
      <c r="E271" s="13"/>
      <c r="F271" s="13"/>
      <c r="G271" s="13"/>
      <c r="H271" s="13"/>
      <c r="I271" s="13"/>
      <c r="J271" s="13"/>
      <c r="K271" s="13"/>
      <c r="L271" s="13"/>
      <c r="M271" s="13"/>
      <c r="N271" s="13"/>
      <c r="O271" s="13"/>
      <c r="P271" s="13"/>
      <c r="Q271" s="13"/>
      <c r="R271" s="13"/>
      <c r="S271" s="13"/>
      <c r="T271" s="13"/>
      <c r="U271" s="13"/>
      <c r="V271" s="13"/>
      <c r="W271" s="13"/>
      <c r="X271" s="13"/>
      <c r="Y271" s="13"/>
    </row>
    <row r="272" spans="1:25" ht="15.75" customHeight="1" x14ac:dyDescent="0.25">
      <c r="A272" s="13"/>
      <c r="B272" s="13"/>
      <c r="C272" s="13"/>
      <c r="D272" s="13"/>
      <c r="E272" s="13"/>
      <c r="F272" s="13"/>
      <c r="G272" s="13"/>
      <c r="H272" s="13"/>
      <c r="I272" s="13"/>
      <c r="J272" s="13"/>
      <c r="K272" s="13"/>
      <c r="L272" s="13"/>
      <c r="M272" s="13"/>
      <c r="N272" s="13"/>
      <c r="O272" s="13"/>
      <c r="P272" s="13"/>
      <c r="Q272" s="13"/>
      <c r="R272" s="13"/>
      <c r="S272" s="13"/>
      <c r="T272" s="13"/>
      <c r="U272" s="13"/>
      <c r="V272" s="13"/>
      <c r="W272" s="13"/>
      <c r="X272" s="13"/>
      <c r="Y272" s="13"/>
    </row>
    <row r="273" spans="1:25" ht="15.75" customHeight="1" x14ac:dyDescent="0.25">
      <c r="A273" s="13"/>
      <c r="B273" s="13"/>
      <c r="C273" s="13"/>
      <c r="D273" s="13"/>
      <c r="E273" s="13"/>
      <c r="F273" s="13"/>
      <c r="G273" s="13"/>
      <c r="H273" s="13"/>
      <c r="I273" s="13"/>
      <c r="J273" s="13"/>
      <c r="K273" s="13"/>
      <c r="L273" s="13"/>
      <c r="M273" s="13"/>
      <c r="N273" s="13"/>
      <c r="O273" s="13"/>
      <c r="P273" s="13"/>
      <c r="Q273" s="13"/>
      <c r="R273" s="13"/>
      <c r="S273" s="13"/>
      <c r="T273" s="13"/>
      <c r="U273" s="13"/>
      <c r="V273" s="13"/>
      <c r="W273" s="13"/>
      <c r="X273" s="13"/>
      <c r="Y273" s="13"/>
    </row>
    <row r="274" spans="1:25" ht="15.75" customHeight="1" x14ac:dyDescent="0.25">
      <c r="A274" s="13"/>
      <c r="B274" s="13"/>
      <c r="C274" s="13"/>
      <c r="D274" s="13"/>
      <c r="E274" s="13"/>
      <c r="F274" s="13"/>
      <c r="G274" s="13"/>
      <c r="H274" s="13"/>
      <c r="I274" s="13"/>
      <c r="J274" s="13"/>
      <c r="K274" s="13"/>
      <c r="L274" s="13"/>
      <c r="M274" s="13"/>
      <c r="N274" s="13"/>
      <c r="O274" s="13"/>
      <c r="P274" s="13"/>
      <c r="Q274" s="13"/>
      <c r="R274" s="13"/>
      <c r="S274" s="13"/>
      <c r="T274" s="13"/>
      <c r="U274" s="13"/>
      <c r="V274" s="13"/>
      <c r="W274" s="13"/>
      <c r="X274" s="13"/>
      <c r="Y274" s="13"/>
    </row>
    <row r="275" spans="1:25" ht="15.75" customHeight="1" x14ac:dyDescent="0.25">
      <c r="A275" s="13"/>
      <c r="B275" s="13"/>
      <c r="C275" s="13"/>
      <c r="D275" s="13"/>
      <c r="E275" s="13"/>
      <c r="F275" s="13"/>
      <c r="G275" s="13"/>
      <c r="H275" s="13"/>
      <c r="I275" s="13"/>
      <c r="J275" s="13"/>
      <c r="K275" s="13"/>
      <c r="L275" s="13"/>
      <c r="M275" s="13"/>
      <c r="N275" s="13"/>
      <c r="O275" s="13"/>
      <c r="P275" s="13"/>
      <c r="Q275" s="13"/>
      <c r="R275" s="13"/>
      <c r="S275" s="13"/>
      <c r="T275" s="13"/>
      <c r="U275" s="13"/>
      <c r="V275" s="13"/>
      <c r="W275" s="13"/>
      <c r="X275" s="13"/>
      <c r="Y275" s="13"/>
    </row>
    <row r="276" spans="1:25" ht="15.75" customHeight="1" x14ac:dyDescent="0.25">
      <c r="A276" s="13"/>
      <c r="B276" s="13"/>
      <c r="C276" s="13"/>
      <c r="D276" s="13"/>
      <c r="E276" s="13"/>
      <c r="F276" s="13"/>
      <c r="G276" s="13"/>
      <c r="H276" s="13"/>
      <c r="I276" s="13"/>
      <c r="J276" s="13"/>
      <c r="K276" s="13"/>
      <c r="L276" s="13"/>
      <c r="M276" s="13"/>
      <c r="N276" s="13"/>
      <c r="O276" s="13"/>
      <c r="P276" s="13"/>
      <c r="Q276" s="13"/>
      <c r="R276" s="13"/>
      <c r="S276" s="13"/>
      <c r="T276" s="13"/>
      <c r="U276" s="13"/>
      <c r="V276" s="13"/>
      <c r="W276" s="13"/>
      <c r="X276" s="13"/>
      <c r="Y276" s="13"/>
    </row>
    <row r="277" spans="1:25" ht="15.75" customHeight="1" x14ac:dyDescent="0.25">
      <c r="A277" s="13"/>
      <c r="B277" s="13"/>
      <c r="C277" s="13"/>
      <c r="D277" s="13"/>
      <c r="E277" s="13"/>
      <c r="F277" s="13"/>
      <c r="G277" s="13"/>
      <c r="H277" s="13"/>
      <c r="I277" s="13"/>
      <c r="J277" s="13"/>
      <c r="K277" s="13"/>
      <c r="L277" s="13"/>
      <c r="M277" s="13"/>
      <c r="N277" s="13"/>
      <c r="O277" s="13"/>
      <c r="P277" s="13"/>
      <c r="Q277" s="13"/>
      <c r="R277" s="13"/>
      <c r="S277" s="13"/>
      <c r="T277" s="13"/>
      <c r="U277" s="13"/>
      <c r="V277" s="13"/>
      <c r="W277" s="13"/>
      <c r="X277" s="13"/>
      <c r="Y277" s="13"/>
    </row>
    <row r="278" spans="1:25" ht="15.75" customHeight="1" x14ac:dyDescent="0.25">
      <c r="A278" s="13"/>
      <c r="B278" s="13"/>
      <c r="C278" s="13"/>
      <c r="D278" s="13"/>
      <c r="E278" s="13"/>
      <c r="F278" s="13"/>
      <c r="G278" s="13"/>
      <c r="H278" s="13"/>
      <c r="I278" s="13"/>
      <c r="J278" s="13"/>
      <c r="K278" s="13"/>
      <c r="L278" s="13"/>
      <c r="M278" s="13"/>
      <c r="N278" s="13"/>
      <c r="O278" s="13"/>
      <c r="P278" s="13"/>
      <c r="Q278" s="13"/>
      <c r="R278" s="13"/>
      <c r="S278" s="13"/>
      <c r="T278" s="13"/>
      <c r="U278" s="13"/>
      <c r="V278" s="13"/>
      <c r="W278" s="13"/>
      <c r="X278" s="13"/>
      <c r="Y278" s="13"/>
    </row>
    <row r="279" spans="1:25" ht="15.75" customHeight="1" x14ac:dyDescent="0.25">
      <c r="A279" s="13"/>
      <c r="B279" s="13"/>
      <c r="C279" s="13"/>
      <c r="D279" s="13"/>
      <c r="E279" s="13"/>
      <c r="F279" s="13"/>
      <c r="G279" s="13"/>
      <c r="H279" s="13"/>
      <c r="I279" s="13"/>
      <c r="J279" s="13"/>
      <c r="K279" s="13"/>
      <c r="L279" s="13"/>
      <c r="M279" s="13"/>
      <c r="N279" s="13"/>
      <c r="O279" s="13"/>
      <c r="P279" s="13"/>
      <c r="Q279" s="13"/>
      <c r="R279" s="13"/>
      <c r="S279" s="13"/>
      <c r="T279" s="13"/>
      <c r="U279" s="13"/>
      <c r="V279" s="13"/>
      <c r="W279" s="13"/>
      <c r="X279" s="13"/>
      <c r="Y279" s="13"/>
    </row>
    <row r="280" spans="1:25" ht="15.75" customHeight="1" x14ac:dyDescent="0.25">
      <c r="A280" s="13"/>
      <c r="B280" s="13"/>
      <c r="C280" s="13"/>
      <c r="D280" s="13"/>
      <c r="E280" s="13"/>
      <c r="F280" s="13"/>
      <c r="G280" s="13"/>
      <c r="H280" s="13"/>
      <c r="I280" s="13"/>
      <c r="J280" s="13"/>
      <c r="K280" s="13"/>
      <c r="L280" s="13"/>
      <c r="M280" s="13"/>
      <c r="N280" s="13"/>
      <c r="O280" s="13"/>
      <c r="P280" s="13"/>
      <c r="Q280" s="13"/>
      <c r="R280" s="13"/>
      <c r="S280" s="13"/>
      <c r="T280" s="13"/>
      <c r="U280" s="13"/>
      <c r="V280" s="13"/>
      <c r="W280" s="13"/>
      <c r="X280" s="13"/>
      <c r="Y280" s="13"/>
    </row>
    <row r="281" spans="1:25" ht="15.75" customHeight="1" x14ac:dyDescent="0.25">
      <c r="A281" s="13"/>
      <c r="B281" s="13"/>
      <c r="C281" s="13"/>
      <c r="D281" s="13"/>
      <c r="E281" s="13"/>
      <c r="F281" s="13"/>
      <c r="G281" s="13"/>
      <c r="H281" s="13"/>
      <c r="I281" s="13"/>
      <c r="J281" s="13"/>
      <c r="K281" s="13"/>
      <c r="L281" s="13"/>
      <c r="M281" s="13"/>
      <c r="N281" s="13"/>
      <c r="O281" s="13"/>
      <c r="P281" s="13"/>
      <c r="Q281" s="13"/>
      <c r="R281" s="13"/>
      <c r="S281" s="13"/>
      <c r="T281" s="13"/>
      <c r="U281" s="13"/>
      <c r="V281" s="13"/>
      <c r="W281" s="13"/>
      <c r="X281" s="13"/>
      <c r="Y281" s="13"/>
    </row>
    <row r="282" spans="1:25" ht="15.75" customHeight="1" x14ac:dyDescent="0.25">
      <c r="A282" s="13"/>
      <c r="B282" s="13"/>
      <c r="C282" s="13"/>
      <c r="D282" s="13"/>
      <c r="E282" s="13"/>
      <c r="F282" s="13"/>
      <c r="G282" s="13"/>
      <c r="H282" s="13"/>
      <c r="I282" s="13"/>
      <c r="J282" s="13"/>
      <c r="K282" s="13"/>
      <c r="L282" s="13"/>
      <c r="M282" s="13"/>
      <c r="N282" s="13"/>
      <c r="O282" s="13"/>
      <c r="P282" s="13"/>
      <c r="Q282" s="13"/>
      <c r="R282" s="13"/>
      <c r="S282" s="13"/>
      <c r="T282" s="13"/>
      <c r="U282" s="13"/>
      <c r="V282" s="13"/>
      <c r="W282" s="13"/>
      <c r="X282" s="13"/>
      <c r="Y282" s="13"/>
    </row>
    <row r="283" spans="1:25" ht="15.75" customHeight="1" x14ac:dyDescent="0.25">
      <c r="A283" s="13"/>
      <c r="B283" s="13"/>
      <c r="C283" s="13"/>
      <c r="D283" s="13"/>
      <c r="E283" s="13"/>
      <c r="F283" s="13"/>
      <c r="G283" s="13"/>
      <c r="H283" s="13"/>
      <c r="I283" s="13"/>
      <c r="J283" s="13"/>
      <c r="K283" s="13"/>
      <c r="L283" s="13"/>
      <c r="M283" s="13"/>
      <c r="N283" s="13"/>
      <c r="O283" s="13"/>
      <c r="P283" s="13"/>
      <c r="Q283" s="13"/>
      <c r="R283" s="13"/>
      <c r="S283" s="13"/>
      <c r="T283" s="13"/>
      <c r="U283" s="13"/>
      <c r="V283" s="13"/>
      <c r="W283" s="13"/>
      <c r="X283" s="13"/>
      <c r="Y283" s="13"/>
    </row>
    <row r="284" spans="1:25" ht="15.75" customHeight="1" x14ac:dyDescent="0.25">
      <c r="A284" s="13"/>
      <c r="B284" s="13"/>
      <c r="C284" s="13"/>
      <c r="D284" s="13"/>
      <c r="E284" s="13"/>
      <c r="F284" s="13"/>
      <c r="G284" s="13"/>
      <c r="H284" s="13"/>
      <c r="I284" s="13"/>
      <c r="J284" s="13"/>
      <c r="K284" s="13"/>
      <c r="L284" s="13"/>
      <c r="M284" s="13"/>
      <c r="N284" s="13"/>
      <c r="O284" s="13"/>
      <c r="P284" s="13"/>
      <c r="Q284" s="13"/>
      <c r="R284" s="13"/>
      <c r="S284" s="13"/>
      <c r="T284" s="13"/>
      <c r="U284" s="13"/>
      <c r="V284" s="13"/>
      <c r="W284" s="13"/>
      <c r="X284" s="13"/>
      <c r="Y284" s="13"/>
    </row>
    <row r="285" spans="1:25" ht="15.75" customHeight="1" x14ac:dyDescent="0.25">
      <c r="A285" s="13"/>
      <c r="B285" s="13"/>
      <c r="C285" s="13"/>
      <c r="D285" s="13"/>
      <c r="E285" s="13"/>
      <c r="F285" s="13"/>
      <c r="G285" s="13"/>
      <c r="H285" s="13"/>
      <c r="I285" s="13"/>
      <c r="J285" s="13"/>
      <c r="K285" s="13"/>
      <c r="L285" s="13"/>
      <c r="M285" s="13"/>
      <c r="N285" s="13"/>
      <c r="O285" s="13"/>
      <c r="P285" s="13"/>
      <c r="Q285" s="13"/>
      <c r="R285" s="13"/>
      <c r="S285" s="13"/>
      <c r="T285" s="13"/>
      <c r="U285" s="13"/>
      <c r="V285" s="13"/>
      <c r="W285" s="13"/>
      <c r="X285" s="13"/>
      <c r="Y285" s="13"/>
    </row>
    <row r="286" spans="1:25" ht="15.75" customHeight="1" x14ac:dyDescent="0.25">
      <c r="A286" s="13"/>
      <c r="B286" s="13"/>
      <c r="C286" s="13"/>
      <c r="D286" s="13"/>
      <c r="E286" s="13"/>
      <c r="F286" s="13"/>
      <c r="G286" s="13"/>
      <c r="H286" s="13"/>
      <c r="I286" s="13"/>
      <c r="J286" s="13"/>
      <c r="K286" s="13"/>
      <c r="L286" s="13"/>
      <c r="M286" s="13"/>
      <c r="N286" s="13"/>
      <c r="O286" s="13"/>
      <c r="P286" s="13"/>
      <c r="Q286" s="13"/>
      <c r="R286" s="13"/>
      <c r="S286" s="13"/>
      <c r="T286" s="13"/>
      <c r="U286" s="13"/>
      <c r="V286" s="13"/>
      <c r="W286" s="13"/>
      <c r="X286" s="13"/>
      <c r="Y286" s="13"/>
    </row>
    <row r="287" spans="1:25" ht="15.75" customHeight="1" x14ac:dyDescent="0.25">
      <c r="A287" s="13"/>
      <c r="B287" s="13"/>
      <c r="C287" s="13"/>
      <c r="D287" s="13"/>
      <c r="E287" s="13"/>
      <c r="F287" s="13"/>
      <c r="G287" s="13"/>
      <c r="H287" s="13"/>
      <c r="I287" s="13"/>
      <c r="J287" s="13"/>
      <c r="K287" s="13"/>
      <c r="L287" s="13"/>
      <c r="M287" s="13"/>
      <c r="N287" s="13"/>
      <c r="O287" s="13"/>
      <c r="P287" s="13"/>
      <c r="Q287" s="13"/>
      <c r="R287" s="13"/>
      <c r="S287" s="13"/>
      <c r="T287" s="13"/>
      <c r="U287" s="13"/>
      <c r="V287" s="13"/>
      <c r="W287" s="13"/>
      <c r="X287" s="13"/>
      <c r="Y287" s="13"/>
    </row>
    <row r="288" spans="1:25" ht="15.75" customHeight="1" x14ac:dyDescent="0.25">
      <c r="A288" s="13"/>
      <c r="B288" s="13"/>
      <c r="C288" s="13"/>
      <c r="D288" s="13"/>
      <c r="E288" s="13"/>
      <c r="F288" s="13"/>
      <c r="G288" s="13"/>
      <c r="H288" s="13"/>
      <c r="I288" s="13"/>
      <c r="J288" s="13"/>
      <c r="K288" s="13"/>
      <c r="L288" s="13"/>
      <c r="M288" s="13"/>
      <c r="N288" s="13"/>
      <c r="O288" s="13"/>
      <c r="P288" s="13"/>
      <c r="Q288" s="13"/>
      <c r="R288" s="13"/>
      <c r="S288" s="13"/>
      <c r="T288" s="13"/>
      <c r="U288" s="13"/>
      <c r="V288" s="13"/>
      <c r="W288" s="13"/>
      <c r="X288" s="13"/>
      <c r="Y288" s="13"/>
    </row>
    <row r="289" spans="1:25" ht="15.75" customHeight="1" x14ac:dyDescent="0.25">
      <c r="A289" s="13"/>
      <c r="B289" s="13"/>
      <c r="C289" s="13"/>
      <c r="D289" s="13"/>
      <c r="E289" s="13"/>
      <c r="F289" s="13"/>
      <c r="G289" s="13"/>
      <c r="H289" s="13"/>
      <c r="I289" s="13"/>
      <c r="J289" s="13"/>
      <c r="K289" s="13"/>
      <c r="L289" s="13"/>
      <c r="M289" s="13"/>
      <c r="N289" s="13"/>
      <c r="O289" s="13"/>
      <c r="P289" s="13"/>
      <c r="Q289" s="13"/>
      <c r="R289" s="13"/>
      <c r="S289" s="13"/>
      <c r="T289" s="13"/>
      <c r="U289" s="13"/>
      <c r="V289" s="13"/>
      <c r="W289" s="13"/>
      <c r="X289" s="13"/>
      <c r="Y289" s="13"/>
    </row>
    <row r="290" spans="1:25" ht="15.75" customHeight="1" x14ac:dyDescent="0.25">
      <c r="A290" s="13"/>
      <c r="B290" s="13"/>
      <c r="C290" s="13"/>
      <c r="D290" s="13"/>
      <c r="E290" s="13"/>
      <c r="F290" s="13"/>
      <c r="G290" s="13"/>
      <c r="H290" s="13"/>
      <c r="I290" s="13"/>
      <c r="J290" s="13"/>
      <c r="K290" s="13"/>
      <c r="L290" s="13"/>
      <c r="M290" s="13"/>
      <c r="N290" s="13"/>
      <c r="O290" s="13"/>
      <c r="P290" s="13"/>
      <c r="Q290" s="13"/>
      <c r="R290" s="13"/>
      <c r="S290" s="13"/>
      <c r="T290" s="13"/>
      <c r="U290" s="13"/>
      <c r="V290" s="13"/>
      <c r="W290" s="13"/>
      <c r="X290" s="13"/>
      <c r="Y290" s="13"/>
    </row>
    <row r="291" spans="1:25" ht="15.75" customHeight="1" x14ac:dyDescent="0.25">
      <c r="A291" s="13"/>
      <c r="B291" s="13"/>
      <c r="C291" s="13"/>
      <c r="D291" s="13"/>
      <c r="E291" s="13"/>
      <c r="F291" s="13"/>
      <c r="G291" s="13"/>
      <c r="H291" s="13"/>
      <c r="I291" s="13"/>
      <c r="J291" s="13"/>
      <c r="K291" s="13"/>
      <c r="L291" s="13"/>
      <c r="M291" s="13"/>
      <c r="N291" s="13"/>
      <c r="O291" s="13"/>
      <c r="P291" s="13"/>
      <c r="Q291" s="13"/>
      <c r="R291" s="13"/>
      <c r="S291" s="13"/>
      <c r="T291" s="13"/>
      <c r="U291" s="13"/>
      <c r="V291" s="13"/>
      <c r="W291" s="13"/>
      <c r="X291" s="13"/>
      <c r="Y291" s="13"/>
    </row>
    <row r="292" spans="1:25" ht="15.75" customHeight="1" x14ac:dyDescent="0.25">
      <c r="A292" s="13"/>
      <c r="B292" s="13"/>
      <c r="C292" s="13"/>
      <c r="D292" s="13"/>
      <c r="E292" s="13"/>
      <c r="F292" s="13"/>
      <c r="G292" s="13"/>
      <c r="H292" s="13"/>
      <c r="I292" s="13"/>
      <c r="J292" s="13"/>
      <c r="K292" s="13"/>
      <c r="L292" s="13"/>
      <c r="M292" s="13"/>
      <c r="N292" s="13"/>
      <c r="O292" s="13"/>
      <c r="P292" s="13"/>
      <c r="Q292" s="13"/>
      <c r="R292" s="13"/>
      <c r="S292" s="13"/>
      <c r="T292" s="13"/>
      <c r="U292" s="13"/>
      <c r="V292" s="13"/>
      <c r="W292" s="13"/>
      <c r="X292" s="13"/>
      <c r="Y292" s="13"/>
    </row>
    <row r="293" spans="1:25" ht="15.75" customHeight="1" x14ac:dyDescent="0.25">
      <c r="A293" s="13"/>
      <c r="B293" s="13"/>
      <c r="C293" s="13"/>
      <c r="D293" s="13"/>
      <c r="E293" s="13"/>
      <c r="F293" s="13"/>
      <c r="G293" s="13"/>
      <c r="H293" s="13"/>
      <c r="I293" s="13"/>
      <c r="J293" s="13"/>
      <c r="K293" s="13"/>
      <c r="L293" s="13"/>
      <c r="M293" s="13"/>
      <c r="N293" s="13"/>
      <c r="O293" s="13"/>
      <c r="P293" s="13"/>
      <c r="Q293" s="13"/>
      <c r="R293" s="13"/>
      <c r="S293" s="13"/>
      <c r="T293" s="13"/>
      <c r="U293" s="13"/>
      <c r="V293" s="13"/>
      <c r="W293" s="13"/>
      <c r="X293" s="13"/>
      <c r="Y293" s="13"/>
    </row>
    <row r="294" spans="1:25" ht="15.75" customHeight="1" x14ac:dyDescent="0.25">
      <c r="A294" s="13"/>
      <c r="B294" s="13"/>
      <c r="C294" s="13"/>
      <c r="D294" s="13"/>
      <c r="E294" s="13"/>
      <c r="F294" s="13"/>
      <c r="G294" s="13"/>
      <c r="H294" s="13"/>
      <c r="I294" s="13"/>
      <c r="J294" s="13"/>
      <c r="K294" s="13"/>
      <c r="L294" s="13"/>
      <c r="M294" s="13"/>
      <c r="N294" s="13"/>
      <c r="O294" s="13"/>
      <c r="P294" s="13"/>
      <c r="Q294" s="13"/>
      <c r="R294" s="13"/>
      <c r="S294" s="13"/>
      <c r="T294" s="13"/>
      <c r="U294" s="13"/>
      <c r="V294" s="13"/>
      <c r="W294" s="13"/>
      <c r="X294" s="13"/>
      <c r="Y294" s="13"/>
    </row>
    <row r="295" spans="1:25" ht="15.75" customHeight="1" x14ac:dyDescent="0.25">
      <c r="A295" s="13"/>
      <c r="B295" s="13"/>
      <c r="C295" s="13"/>
      <c r="D295" s="13"/>
      <c r="E295" s="13"/>
      <c r="F295" s="13"/>
      <c r="G295" s="13"/>
      <c r="H295" s="13"/>
      <c r="I295" s="13"/>
      <c r="J295" s="13"/>
      <c r="K295" s="13"/>
      <c r="L295" s="13"/>
      <c r="M295" s="13"/>
      <c r="N295" s="13"/>
      <c r="O295" s="13"/>
      <c r="P295" s="13"/>
      <c r="Q295" s="13"/>
      <c r="R295" s="13"/>
      <c r="S295" s="13"/>
      <c r="T295" s="13"/>
      <c r="U295" s="13"/>
      <c r="V295" s="13"/>
      <c r="W295" s="13"/>
      <c r="X295" s="13"/>
      <c r="Y295" s="13"/>
    </row>
    <row r="296" spans="1:25" ht="15.75" customHeight="1" x14ac:dyDescent="0.25">
      <c r="A296" s="13"/>
      <c r="B296" s="13"/>
      <c r="C296" s="13"/>
      <c r="D296" s="13"/>
      <c r="E296" s="13"/>
      <c r="F296" s="13"/>
      <c r="G296" s="13"/>
      <c r="H296" s="13"/>
      <c r="I296" s="13"/>
      <c r="J296" s="13"/>
      <c r="K296" s="13"/>
      <c r="L296" s="13"/>
      <c r="M296" s="13"/>
      <c r="N296" s="13"/>
      <c r="O296" s="13"/>
      <c r="P296" s="13"/>
      <c r="Q296" s="13"/>
      <c r="R296" s="13"/>
      <c r="S296" s="13"/>
      <c r="T296" s="13"/>
      <c r="U296" s="13"/>
      <c r="V296" s="13"/>
      <c r="W296" s="13"/>
      <c r="X296" s="13"/>
      <c r="Y296" s="13"/>
    </row>
    <row r="297" spans="1:25" ht="15.75" customHeight="1" x14ac:dyDescent="0.25">
      <c r="A297" s="13"/>
      <c r="B297" s="13"/>
      <c r="C297" s="13"/>
      <c r="D297" s="13"/>
      <c r="E297" s="13"/>
      <c r="F297" s="13"/>
      <c r="G297" s="13"/>
      <c r="H297" s="13"/>
      <c r="I297" s="13"/>
      <c r="J297" s="13"/>
      <c r="K297" s="13"/>
      <c r="L297" s="13"/>
      <c r="M297" s="13"/>
      <c r="N297" s="13"/>
      <c r="O297" s="13"/>
      <c r="P297" s="13"/>
      <c r="Q297" s="13"/>
      <c r="R297" s="13"/>
      <c r="S297" s="13"/>
      <c r="T297" s="13"/>
      <c r="U297" s="13"/>
      <c r="V297" s="13"/>
      <c r="W297" s="13"/>
      <c r="X297" s="13"/>
      <c r="Y297" s="13"/>
    </row>
    <row r="298" spans="1:25" ht="15.75" customHeight="1" x14ac:dyDescent="0.25">
      <c r="A298" s="13"/>
      <c r="B298" s="13"/>
      <c r="C298" s="13"/>
      <c r="D298" s="13"/>
      <c r="E298" s="13"/>
      <c r="F298" s="13"/>
      <c r="G298" s="13"/>
      <c r="H298" s="13"/>
      <c r="I298" s="13"/>
      <c r="J298" s="13"/>
      <c r="K298" s="13"/>
      <c r="L298" s="13"/>
      <c r="M298" s="13"/>
      <c r="N298" s="13"/>
      <c r="O298" s="13"/>
      <c r="P298" s="13"/>
      <c r="Q298" s="13"/>
      <c r="R298" s="13"/>
      <c r="S298" s="13"/>
      <c r="T298" s="13"/>
      <c r="U298" s="13"/>
      <c r="V298" s="13"/>
      <c r="W298" s="13"/>
      <c r="X298" s="13"/>
      <c r="Y298" s="13"/>
    </row>
    <row r="299" spans="1:25" ht="15.75" customHeight="1" x14ac:dyDescent="0.25">
      <c r="A299" s="13"/>
      <c r="B299" s="13"/>
      <c r="C299" s="13"/>
      <c r="D299" s="13"/>
      <c r="E299" s="13"/>
      <c r="F299" s="13"/>
      <c r="G299" s="13"/>
      <c r="H299" s="13"/>
      <c r="I299" s="13"/>
      <c r="J299" s="13"/>
      <c r="K299" s="13"/>
      <c r="L299" s="13"/>
      <c r="M299" s="13"/>
      <c r="N299" s="13"/>
      <c r="O299" s="13"/>
      <c r="P299" s="13"/>
      <c r="Q299" s="13"/>
      <c r="R299" s="13"/>
      <c r="S299" s="13"/>
      <c r="T299" s="13"/>
      <c r="U299" s="13"/>
      <c r="V299" s="13"/>
      <c r="W299" s="13"/>
      <c r="X299" s="13"/>
      <c r="Y299" s="13"/>
    </row>
    <row r="300" spans="1:25" ht="15.75" customHeight="1" x14ac:dyDescent="0.25">
      <c r="A300" s="13"/>
      <c r="B300" s="13"/>
      <c r="C300" s="13"/>
      <c r="D300" s="13"/>
      <c r="E300" s="13"/>
      <c r="F300" s="13"/>
      <c r="G300" s="13"/>
      <c r="H300" s="13"/>
      <c r="I300" s="13"/>
      <c r="J300" s="13"/>
      <c r="K300" s="13"/>
      <c r="L300" s="13"/>
      <c r="M300" s="13"/>
      <c r="N300" s="13"/>
      <c r="O300" s="13"/>
      <c r="P300" s="13"/>
      <c r="Q300" s="13"/>
      <c r="R300" s="13"/>
      <c r="S300" s="13"/>
      <c r="T300" s="13"/>
      <c r="U300" s="13"/>
      <c r="V300" s="13"/>
      <c r="W300" s="13"/>
      <c r="X300" s="13"/>
      <c r="Y300" s="13"/>
    </row>
    <row r="301" spans="1:25" ht="15.75" customHeight="1" x14ac:dyDescent="0.25">
      <c r="A301" s="13"/>
      <c r="B301" s="13"/>
      <c r="C301" s="13"/>
      <c r="D301" s="13"/>
      <c r="E301" s="13"/>
      <c r="F301" s="13"/>
      <c r="G301" s="13"/>
      <c r="H301" s="13"/>
      <c r="I301" s="13"/>
      <c r="J301" s="13"/>
      <c r="K301" s="13"/>
      <c r="L301" s="13"/>
      <c r="M301" s="13"/>
      <c r="N301" s="13"/>
      <c r="O301" s="13"/>
      <c r="P301" s="13"/>
      <c r="Q301" s="13"/>
      <c r="R301" s="13"/>
      <c r="S301" s="13"/>
      <c r="T301" s="13"/>
      <c r="U301" s="13"/>
      <c r="V301" s="13"/>
      <c r="W301" s="13"/>
      <c r="X301" s="13"/>
      <c r="Y301" s="13"/>
    </row>
    <row r="302" spans="1:25" ht="15.75" customHeight="1" x14ac:dyDescent="0.25">
      <c r="A302" s="13"/>
      <c r="B302" s="13"/>
      <c r="C302" s="13"/>
      <c r="D302" s="13"/>
      <c r="E302" s="13"/>
      <c r="F302" s="13"/>
      <c r="G302" s="13"/>
      <c r="H302" s="13"/>
      <c r="I302" s="13"/>
      <c r="J302" s="13"/>
      <c r="K302" s="13"/>
      <c r="L302" s="13"/>
      <c r="M302" s="13"/>
      <c r="N302" s="13"/>
      <c r="O302" s="13"/>
      <c r="P302" s="13"/>
      <c r="Q302" s="13"/>
      <c r="R302" s="13"/>
      <c r="S302" s="13"/>
      <c r="T302" s="13"/>
      <c r="U302" s="13"/>
      <c r="V302" s="13"/>
      <c r="W302" s="13"/>
      <c r="X302" s="13"/>
      <c r="Y302" s="13"/>
    </row>
    <row r="303" spans="1:25" ht="15.75" customHeight="1" x14ac:dyDescent="0.25">
      <c r="A303" s="13"/>
      <c r="B303" s="13"/>
      <c r="C303" s="13"/>
      <c r="D303" s="13"/>
      <c r="E303" s="13"/>
      <c r="F303" s="13"/>
      <c r="G303" s="13"/>
      <c r="H303" s="13"/>
      <c r="I303" s="13"/>
      <c r="J303" s="13"/>
      <c r="K303" s="13"/>
      <c r="L303" s="13"/>
      <c r="M303" s="13"/>
      <c r="N303" s="13"/>
      <c r="O303" s="13"/>
      <c r="P303" s="13"/>
      <c r="Q303" s="13"/>
      <c r="R303" s="13"/>
      <c r="S303" s="13"/>
      <c r="T303" s="13"/>
      <c r="U303" s="13"/>
      <c r="V303" s="13"/>
      <c r="W303" s="13"/>
      <c r="X303" s="13"/>
      <c r="Y303" s="13"/>
    </row>
    <row r="304" spans="1:25" ht="15.75" customHeight="1" x14ac:dyDescent="0.25">
      <c r="A304" s="13"/>
      <c r="B304" s="13"/>
      <c r="C304" s="13"/>
      <c r="D304" s="13"/>
      <c r="E304" s="13"/>
      <c r="F304" s="13"/>
      <c r="G304" s="13"/>
      <c r="H304" s="13"/>
      <c r="I304" s="13"/>
      <c r="J304" s="13"/>
      <c r="K304" s="13"/>
      <c r="L304" s="13"/>
      <c r="M304" s="13"/>
      <c r="N304" s="13"/>
      <c r="O304" s="13"/>
      <c r="P304" s="13"/>
      <c r="Q304" s="13"/>
      <c r="R304" s="13"/>
      <c r="S304" s="13"/>
      <c r="T304" s="13"/>
      <c r="U304" s="13"/>
      <c r="V304" s="13"/>
      <c r="W304" s="13"/>
      <c r="X304" s="13"/>
      <c r="Y304" s="13"/>
    </row>
    <row r="305" spans="1:25" ht="15.75" customHeight="1" x14ac:dyDescent="0.25">
      <c r="A305" s="13"/>
      <c r="B305" s="13"/>
      <c r="C305" s="13"/>
      <c r="D305" s="13"/>
      <c r="E305" s="13"/>
      <c r="F305" s="13"/>
      <c r="G305" s="13"/>
      <c r="H305" s="13"/>
      <c r="I305" s="13"/>
      <c r="J305" s="13"/>
      <c r="K305" s="13"/>
      <c r="L305" s="13"/>
      <c r="M305" s="13"/>
      <c r="N305" s="13"/>
      <c r="O305" s="13"/>
      <c r="P305" s="13"/>
      <c r="Q305" s="13"/>
      <c r="R305" s="13"/>
      <c r="S305" s="13"/>
      <c r="T305" s="13"/>
      <c r="U305" s="13"/>
      <c r="V305" s="13"/>
      <c r="W305" s="13"/>
      <c r="X305" s="13"/>
      <c r="Y305" s="13"/>
    </row>
    <row r="306" spans="1:25" ht="15.75" customHeight="1" x14ac:dyDescent="0.25">
      <c r="A306" s="13"/>
      <c r="B306" s="13"/>
      <c r="C306" s="13"/>
      <c r="D306" s="13"/>
      <c r="E306" s="13"/>
      <c r="F306" s="13"/>
      <c r="G306" s="13"/>
      <c r="H306" s="13"/>
      <c r="I306" s="13"/>
      <c r="J306" s="13"/>
      <c r="K306" s="13"/>
      <c r="L306" s="13"/>
      <c r="M306" s="13"/>
      <c r="N306" s="13"/>
      <c r="O306" s="13"/>
      <c r="P306" s="13"/>
      <c r="Q306" s="13"/>
      <c r="R306" s="13"/>
      <c r="S306" s="13"/>
      <c r="T306" s="13"/>
      <c r="U306" s="13"/>
      <c r="V306" s="13"/>
      <c r="W306" s="13"/>
      <c r="X306" s="13"/>
      <c r="Y306" s="13"/>
    </row>
    <row r="307" spans="1:25" ht="15.75" customHeight="1" x14ac:dyDescent="0.25">
      <c r="A307" s="13"/>
      <c r="B307" s="13"/>
      <c r="C307" s="13"/>
      <c r="D307" s="13"/>
      <c r="E307" s="13"/>
      <c r="F307" s="13"/>
      <c r="G307" s="13"/>
      <c r="H307" s="13"/>
      <c r="I307" s="13"/>
      <c r="J307" s="13"/>
      <c r="K307" s="13"/>
      <c r="L307" s="13"/>
      <c r="M307" s="13"/>
      <c r="N307" s="13"/>
      <c r="O307" s="13"/>
      <c r="P307" s="13"/>
      <c r="Q307" s="13"/>
      <c r="R307" s="13"/>
      <c r="S307" s="13"/>
      <c r="T307" s="13"/>
      <c r="U307" s="13"/>
      <c r="V307" s="13"/>
      <c r="W307" s="13"/>
      <c r="X307" s="13"/>
      <c r="Y307" s="13"/>
    </row>
    <row r="308" spans="1:25" ht="15.75" customHeight="1" x14ac:dyDescent="0.25">
      <c r="A308" s="13"/>
      <c r="B308" s="13"/>
      <c r="C308" s="13"/>
      <c r="D308" s="13"/>
      <c r="E308" s="13"/>
      <c r="F308" s="13"/>
      <c r="G308" s="13"/>
      <c r="H308" s="13"/>
      <c r="I308" s="13"/>
      <c r="J308" s="13"/>
      <c r="K308" s="13"/>
      <c r="L308" s="13"/>
      <c r="M308" s="13"/>
      <c r="N308" s="13"/>
      <c r="O308" s="13"/>
      <c r="P308" s="13"/>
      <c r="Q308" s="13"/>
      <c r="R308" s="13"/>
      <c r="S308" s="13"/>
      <c r="T308" s="13"/>
      <c r="U308" s="13"/>
      <c r="V308" s="13"/>
      <c r="W308" s="13"/>
      <c r="X308" s="13"/>
      <c r="Y308" s="13"/>
    </row>
    <row r="309" spans="1:25" ht="15.75" customHeight="1" x14ac:dyDescent="0.25">
      <c r="A309" s="13"/>
      <c r="B309" s="13"/>
      <c r="C309" s="13"/>
      <c r="D309" s="13"/>
      <c r="E309" s="13"/>
      <c r="F309" s="13"/>
      <c r="G309" s="13"/>
      <c r="H309" s="13"/>
      <c r="I309" s="13"/>
      <c r="J309" s="13"/>
      <c r="K309" s="13"/>
      <c r="L309" s="13"/>
      <c r="M309" s="13"/>
      <c r="N309" s="13"/>
      <c r="O309" s="13"/>
      <c r="P309" s="13"/>
      <c r="Q309" s="13"/>
      <c r="R309" s="13"/>
      <c r="S309" s="13"/>
      <c r="T309" s="13"/>
      <c r="U309" s="13"/>
      <c r="V309" s="13"/>
      <c r="W309" s="13"/>
      <c r="X309" s="13"/>
      <c r="Y309" s="13"/>
    </row>
    <row r="310" spans="1:25" ht="15.75" customHeight="1" x14ac:dyDescent="0.25">
      <c r="A310" s="13"/>
      <c r="B310" s="13"/>
      <c r="C310" s="13"/>
      <c r="D310" s="13"/>
      <c r="E310" s="13"/>
      <c r="F310" s="13"/>
      <c r="G310" s="13"/>
      <c r="H310" s="13"/>
      <c r="I310" s="13"/>
      <c r="J310" s="13"/>
      <c r="K310" s="13"/>
      <c r="L310" s="13"/>
      <c r="M310" s="13"/>
      <c r="N310" s="13"/>
      <c r="O310" s="13"/>
      <c r="P310" s="13"/>
      <c r="Q310" s="13"/>
      <c r="R310" s="13"/>
      <c r="S310" s="13"/>
      <c r="T310" s="13"/>
      <c r="U310" s="13"/>
      <c r="V310" s="13"/>
      <c r="W310" s="13"/>
      <c r="X310" s="13"/>
      <c r="Y310" s="13"/>
    </row>
    <row r="311" spans="1:25" ht="15.75" customHeight="1" x14ac:dyDescent="0.25">
      <c r="A311" s="13"/>
      <c r="B311" s="13"/>
      <c r="C311" s="13"/>
      <c r="D311" s="13"/>
      <c r="E311" s="13"/>
      <c r="F311" s="13"/>
      <c r="G311" s="13"/>
      <c r="H311" s="13"/>
      <c r="I311" s="13"/>
      <c r="J311" s="13"/>
      <c r="K311" s="13"/>
      <c r="L311" s="13"/>
      <c r="M311" s="13"/>
      <c r="N311" s="13"/>
      <c r="O311" s="13"/>
      <c r="P311" s="13"/>
      <c r="Q311" s="13"/>
      <c r="R311" s="13"/>
      <c r="S311" s="13"/>
      <c r="T311" s="13"/>
      <c r="U311" s="13"/>
      <c r="V311" s="13"/>
      <c r="W311" s="13"/>
      <c r="X311" s="13"/>
      <c r="Y311" s="13"/>
    </row>
    <row r="312" spans="1:25" ht="15.75" customHeight="1" x14ac:dyDescent="0.25">
      <c r="A312" s="13"/>
      <c r="B312" s="13"/>
      <c r="C312" s="13"/>
      <c r="D312" s="13"/>
      <c r="E312" s="13"/>
      <c r="F312" s="13"/>
      <c r="G312" s="13"/>
      <c r="H312" s="13"/>
      <c r="I312" s="13"/>
      <c r="J312" s="13"/>
      <c r="K312" s="13"/>
      <c r="L312" s="13"/>
      <c r="M312" s="13"/>
      <c r="N312" s="13"/>
      <c r="O312" s="13"/>
      <c r="P312" s="13"/>
      <c r="Q312" s="13"/>
      <c r="R312" s="13"/>
      <c r="S312" s="13"/>
      <c r="T312" s="13"/>
      <c r="U312" s="13"/>
      <c r="V312" s="13"/>
      <c r="W312" s="13"/>
      <c r="X312" s="13"/>
      <c r="Y312" s="13"/>
    </row>
    <row r="313" spans="1:25" ht="15.75" customHeight="1" x14ac:dyDescent="0.25">
      <c r="A313" s="13"/>
      <c r="B313" s="13"/>
      <c r="C313" s="13"/>
      <c r="D313" s="13"/>
      <c r="E313" s="13"/>
      <c r="F313" s="13"/>
      <c r="G313" s="13"/>
      <c r="H313" s="13"/>
      <c r="I313" s="13"/>
      <c r="J313" s="13"/>
      <c r="K313" s="13"/>
      <c r="L313" s="13"/>
      <c r="M313" s="13"/>
      <c r="N313" s="13"/>
      <c r="O313" s="13"/>
      <c r="P313" s="13"/>
      <c r="Q313" s="13"/>
      <c r="R313" s="13"/>
      <c r="S313" s="13"/>
      <c r="T313" s="13"/>
      <c r="U313" s="13"/>
      <c r="V313" s="13"/>
      <c r="W313" s="13"/>
      <c r="X313" s="13"/>
      <c r="Y313" s="13"/>
    </row>
    <row r="314" spans="1:25" ht="15.75" customHeight="1" x14ac:dyDescent="0.25">
      <c r="A314" s="13"/>
      <c r="B314" s="13"/>
      <c r="C314" s="13"/>
      <c r="D314" s="13"/>
      <c r="E314" s="13"/>
      <c r="F314" s="13"/>
      <c r="G314" s="13"/>
      <c r="H314" s="13"/>
      <c r="I314" s="13"/>
      <c r="J314" s="13"/>
      <c r="K314" s="13"/>
      <c r="L314" s="13"/>
      <c r="M314" s="13"/>
      <c r="N314" s="13"/>
      <c r="O314" s="13"/>
      <c r="P314" s="13"/>
      <c r="Q314" s="13"/>
      <c r="R314" s="13"/>
      <c r="S314" s="13"/>
      <c r="T314" s="13"/>
      <c r="U314" s="13"/>
      <c r="V314" s="13"/>
      <c r="W314" s="13"/>
      <c r="X314" s="13"/>
      <c r="Y314" s="13"/>
    </row>
    <row r="315" spans="1:25" ht="15.75" customHeight="1" x14ac:dyDescent="0.25">
      <c r="A315" s="13"/>
      <c r="B315" s="13"/>
      <c r="C315" s="13"/>
      <c r="D315" s="13"/>
      <c r="E315" s="13"/>
      <c r="F315" s="13"/>
      <c r="G315" s="13"/>
      <c r="H315" s="13"/>
      <c r="I315" s="13"/>
      <c r="J315" s="13"/>
      <c r="K315" s="13"/>
      <c r="L315" s="13"/>
      <c r="M315" s="13"/>
      <c r="N315" s="13"/>
      <c r="O315" s="13"/>
      <c r="P315" s="13"/>
      <c r="Q315" s="13"/>
      <c r="R315" s="13"/>
      <c r="S315" s="13"/>
      <c r="T315" s="13"/>
      <c r="U315" s="13"/>
      <c r="V315" s="13"/>
      <c r="W315" s="13"/>
      <c r="X315" s="13"/>
      <c r="Y315" s="13"/>
    </row>
    <row r="316" spans="1:25" ht="15.75" customHeight="1" x14ac:dyDescent="0.25">
      <c r="A316" s="13"/>
      <c r="B316" s="13"/>
      <c r="C316" s="13"/>
      <c r="D316" s="13"/>
      <c r="E316" s="13"/>
      <c r="F316" s="13"/>
      <c r="G316" s="13"/>
      <c r="H316" s="13"/>
      <c r="I316" s="13"/>
      <c r="J316" s="13"/>
      <c r="K316" s="13"/>
      <c r="L316" s="13"/>
      <c r="M316" s="13"/>
      <c r="N316" s="13"/>
      <c r="O316" s="13"/>
      <c r="P316" s="13"/>
      <c r="Q316" s="13"/>
      <c r="R316" s="13"/>
      <c r="S316" s="13"/>
      <c r="T316" s="13"/>
      <c r="U316" s="13"/>
      <c r="V316" s="13"/>
      <c r="W316" s="13"/>
      <c r="X316" s="13"/>
      <c r="Y316" s="13"/>
    </row>
    <row r="317" spans="1:25" ht="15.75" customHeight="1" x14ac:dyDescent="0.25">
      <c r="A317" s="13"/>
      <c r="B317" s="13"/>
      <c r="C317" s="13"/>
      <c r="D317" s="13"/>
      <c r="E317" s="13"/>
      <c r="F317" s="13"/>
      <c r="G317" s="13"/>
      <c r="H317" s="13"/>
      <c r="I317" s="13"/>
      <c r="J317" s="13"/>
      <c r="K317" s="13"/>
      <c r="L317" s="13"/>
      <c r="M317" s="13"/>
      <c r="N317" s="13"/>
      <c r="O317" s="13"/>
      <c r="P317" s="13"/>
      <c r="Q317" s="13"/>
      <c r="R317" s="13"/>
      <c r="S317" s="13"/>
      <c r="T317" s="13"/>
      <c r="U317" s="13"/>
      <c r="V317" s="13"/>
      <c r="W317" s="13"/>
      <c r="X317" s="13"/>
      <c r="Y317" s="13"/>
    </row>
    <row r="318" spans="1:25" ht="15.75" customHeight="1" x14ac:dyDescent="0.25">
      <c r="A318" s="13"/>
      <c r="B318" s="13"/>
      <c r="C318" s="13"/>
      <c r="D318" s="13"/>
      <c r="E318" s="13"/>
      <c r="F318" s="13"/>
      <c r="G318" s="13"/>
      <c r="H318" s="13"/>
      <c r="I318" s="13"/>
      <c r="J318" s="13"/>
      <c r="K318" s="13"/>
      <c r="L318" s="13"/>
      <c r="M318" s="13"/>
      <c r="N318" s="13"/>
      <c r="O318" s="13"/>
      <c r="P318" s="13"/>
      <c r="Q318" s="13"/>
      <c r="R318" s="13"/>
      <c r="S318" s="13"/>
      <c r="T318" s="13"/>
      <c r="U318" s="13"/>
      <c r="V318" s="13"/>
      <c r="W318" s="13"/>
      <c r="X318" s="13"/>
      <c r="Y318" s="13"/>
    </row>
    <row r="319" spans="1:25" ht="15.75" customHeight="1" x14ac:dyDescent="0.25">
      <c r="A319" s="13"/>
      <c r="B319" s="13"/>
      <c r="C319" s="13"/>
      <c r="D319" s="13"/>
      <c r="E319" s="13"/>
      <c r="F319" s="13"/>
      <c r="G319" s="13"/>
      <c r="H319" s="13"/>
      <c r="I319" s="13"/>
      <c r="J319" s="13"/>
      <c r="K319" s="13"/>
      <c r="L319" s="13"/>
      <c r="M319" s="13"/>
      <c r="N319" s="13"/>
      <c r="O319" s="13"/>
      <c r="P319" s="13"/>
      <c r="Q319" s="13"/>
      <c r="R319" s="13"/>
      <c r="S319" s="13"/>
      <c r="T319" s="13"/>
      <c r="U319" s="13"/>
      <c r="V319" s="13"/>
      <c r="W319" s="13"/>
      <c r="X319" s="13"/>
      <c r="Y319" s="13"/>
    </row>
    <row r="320" spans="1:25" ht="15.75" customHeight="1" x14ac:dyDescent="0.25">
      <c r="A320" s="13"/>
      <c r="B320" s="13"/>
      <c r="C320" s="13"/>
      <c r="D320" s="13"/>
      <c r="E320" s="13"/>
      <c r="F320" s="13"/>
      <c r="G320" s="13"/>
      <c r="H320" s="13"/>
      <c r="I320" s="13"/>
      <c r="J320" s="13"/>
      <c r="K320" s="13"/>
      <c r="L320" s="13"/>
      <c r="M320" s="13"/>
      <c r="N320" s="13"/>
      <c r="O320" s="13"/>
      <c r="P320" s="13"/>
      <c r="Q320" s="13"/>
      <c r="R320" s="13"/>
      <c r="S320" s="13"/>
      <c r="T320" s="13"/>
      <c r="U320" s="13"/>
      <c r="V320" s="13"/>
      <c r="W320" s="13"/>
      <c r="X320" s="13"/>
      <c r="Y320" s="13"/>
    </row>
    <row r="321" spans="1:25" ht="15.75" customHeight="1" x14ac:dyDescent="0.25">
      <c r="A321" s="13"/>
      <c r="B321" s="13"/>
      <c r="C321" s="13"/>
      <c r="D321" s="13"/>
      <c r="E321" s="13"/>
      <c r="F321" s="13"/>
      <c r="G321" s="13"/>
      <c r="H321" s="13"/>
      <c r="I321" s="13"/>
      <c r="J321" s="13"/>
      <c r="K321" s="13"/>
      <c r="L321" s="13"/>
      <c r="M321" s="13"/>
      <c r="N321" s="13"/>
      <c r="O321" s="13"/>
      <c r="P321" s="13"/>
      <c r="Q321" s="13"/>
      <c r="R321" s="13"/>
      <c r="S321" s="13"/>
      <c r="T321" s="13"/>
      <c r="U321" s="13"/>
      <c r="V321" s="13"/>
      <c r="W321" s="13"/>
      <c r="X321" s="13"/>
      <c r="Y321" s="13"/>
    </row>
    <row r="322" spans="1:25" ht="15.75" customHeight="1" x14ac:dyDescent="0.25">
      <c r="A322" s="13"/>
      <c r="B322" s="13"/>
      <c r="C322" s="13"/>
      <c r="D322" s="13"/>
      <c r="E322" s="13"/>
      <c r="F322" s="13"/>
      <c r="G322" s="13"/>
      <c r="H322" s="13"/>
      <c r="I322" s="13"/>
      <c r="J322" s="13"/>
      <c r="K322" s="13"/>
      <c r="L322" s="13"/>
      <c r="M322" s="13"/>
      <c r="N322" s="13"/>
      <c r="O322" s="13"/>
      <c r="P322" s="13"/>
      <c r="Q322" s="13"/>
      <c r="R322" s="13"/>
      <c r="S322" s="13"/>
      <c r="T322" s="13"/>
      <c r="U322" s="13"/>
      <c r="V322" s="13"/>
      <c r="W322" s="13"/>
      <c r="X322" s="13"/>
      <c r="Y322" s="13"/>
    </row>
    <row r="323" spans="1:25" ht="15.75" customHeight="1" x14ac:dyDescent="0.25">
      <c r="A323" s="13"/>
      <c r="B323" s="13"/>
      <c r="C323" s="13"/>
      <c r="D323" s="13"/>
      <c r="E323" s="13"/>
      <c r="F323" s="13"/>
      <c r="G323" s="13"/>
      <c r="H323" s="13"/>
      <c r="I323" s="13"/>
      <c r="J323" s="13"/>
      <c r="K323" s="13"/>
      <c r="L323" s="13"/>
      <c r="M323" s="13"/>
      <c r="N323" s="13"/>
      <c r="O323" s="13"/>
      <c r="P323" s="13"/>
      <c r="Q323" s="13"/>
      <c r="R323" s="13"/>
      <c r="S323" s="13"/>
      <c r="T323" s="13"/>
      <c r="U323" s="13"/>
      <c r="V323" s="13"/>
      <c r="W323" s="13"/>
      <c r="X323" s="13"/>
      <c r="Y323" s="13"/>
    </row>
    <row r="324" spans="1:25" ht="15.75" customHeight="1" x14ac:dyDescent="0.25">
      <c r="A324" s="13"/>
      <c r="B324" s="13"/>
      <c r="C324" s="13"/>
      <c r="D324" s="13"/>
      <c r="E324" s="13"/>
      <c r="F324" s="13"/>
      <c r="G324" s="13"/>
      <c r="H324" s="13"/>
      <c r="I324" s="13"/>
      <c r="J324" s="13"/>
      <c r="K324" s="13"/>
      <c r="L324" s="13"/>
      <c r="M324" s="13"/>
      <c r="N324" s="13"/>
      <c r="O324" s="13"/>
      <c r="P324" s="13"/>
      <c r="Q324" s="13"/>
      <c r="R324" s="13"/>
      <c r="S324" s="13"/>
      <c r="T324" s="13"/>
      <c r="U324" s="13"/>
      <c r="V324" s="13"/>
      <c r="W324" s="13"/>
      <c r="X324" s="13"/>
      <c r="Y324" s="13"/>
    </row>
    <row r="325" spans="1:25" ht="15.75" customHeight="1" x14ac:dyDescent="0.25">
      <c r="A325" s="13"/>
      <c r="B325" s="13"/>
      <c r="C325" s="13"/>
      <c r="D325" s="13"/>
      <c r="E325" s="13"/>
      <c r="F325" s="13"/>
      <c r="G325" s="13"/>
      <c r="H325" s="13"/>
      <c r="I325" s="13"/>
      <c r="J325" s="13"/>
      <c r="K325" s="13"/>
      <c r="L325" s="13"/>
      <c r="M325" s="13"/>
      <c r="N325" s="13"/>
      <c r="O325" s="13"/>
      <c r="P325" s="13"/>
      <c r="Q325" s="13"/>
      <c r="R325" s="13"/>
      <c r="S325" s="13"/>
      <c r="T325" s="13"/>
      <c r="U325" s="13"/>
      <c r="V325" s="13"/>
      <c r="W325" s="13"/>
      <c r="X325" s="13"/>
      <c r="Y325" s="13"/>
    </row>
    <row r="326" spans="1:25" ht="15.75" customHeight="1" x14ac:dyDescent="0.25">
      <c r="A326" s="13"/>
      <c r="B326" s="13"/>
      <c r="C326" s="13"/>
      <c r="D326" s="13"/>
      <c r="E326" s="13"/>
      <c r="F326" s="13"/>
      <c r="G326" s="13"/>
      <c r="H326" s="13"/>
      <c r="I326" s="13"/>
      <c r="J326" s="13"/>
      <c r="K326" s="13"/>
      <c r="L326" s="13"/>
      <c r="M326" s="13"/>
      <c r="N326" s="13"/>
      <c r="O326" s="13"/>
      <c r="P326" s="13"/>
      <c r="Q326" s="13"/>
      <c r="R326" s="13"/>
      <c r="S326" s="13"/>
      <c r="T326" s="13"/>
      <c r="U326" s="13"/>
      <c r="V326" s="13"/>
      <c r="W326" s="13"/>
      <c r="X326" s="13"/>
      <c r="Y326" s="13"/>
    </row>
    <row r="327" spans="1:25" ht="15.75" customHeight="1" x14ac:dyDescent="0.25">
      <c r="A327" s="13"/>
      <c r="B327" s="13"/>
      <c r="C327" s="13"/>
      <c r="D327" s="13"/>
      <c r="E327" s="13"/>
      <c r="F327" s="13"/>
      <c r="G327" s="13"/>
      <c r="H327" s="13"/>
      <c r="I327" s="13"/>
      <c r="J327" s="13"/>
      <c r="K327" s="13"/>
      <c r="L327" s="13"/>
      <c r="M327" s="13"/>
      <c r="N327" s="13"/>
      <c r="O327" s="13"/>
      <c r="P327" s="13"/>
      <c r="Q327" s="13"/>
      <c r="R327" s="13"/>
      <c r="S327" s="13"/>
      <c r="T327" s="13"/>
      <c r="U327" s="13"/>
      <c r="V327" s="13"/>
      <c r="W327" s="13"/>
      <c r="X327" s="13"/>
      <c r="Y327" s="13"/>
    </row>
    <row r="328" spans="1:25" ht="15.75" customHeight="1" x14ac:dyDescent="0.25">
      <c r="A328" s="13"/>
      <c r="B328" s="13"/>
      <c r="C328" s="13"/>
      <c r="D328" s="13"/>
      <c r="E328" s="13"/>
      <c r="F328" s="13"/>
      <c r="G328" s="13"/>
      <c r="H328" s="13"/>
      <c r="I328" s="13"/>
      <c r="J328" s="13"/>
      <c r="K328" s="13"/>
      <c r="L328" s="13"/>
      <c r="M328" s="13"/>
      <c r="N328" s="13"/>
      <c r="O328" s="13"/>
      <c r="P328" s="13"/>
      <c r="Q328" s="13"/>
      <c r="R328" s="13"/>
      <c r="S328" s="13"/>
      <c r="T328" s="13"/>
      <c r="U328" s="13"/>
      <c r="V328" s="13"/>
      <c r="W328" s="13"/>
      <c r="X328" s="13"/>
      <c r="Y328" s="13"/>
    </row>
    <row r="329" spans="1:25" ht="15.75" customHeight="1" x14ac:dyDescent="0.25">
      <c r="A329" s="13"/>
      <c r="B329" s="13"/>
      <c r="C329" s="13"/>
      <c r="D329" s="13"/>
      <c r="E329" s="13"/>
      <c r="F329" s="13"/>
      <c r="G329" s="13"/>
      <c r="H329" s="13"/>
      <c r="I329" s="13"/>
      <c r="J329" s="13"/>
      <c r="K329" s="13"/>
      <c r="L329" s="13"/>
      <c r="M329" s="13"/>
      <c r="N329" s="13"/>
      <c r="O329" s="13"/>
      <c r="P329" s="13"/>
      <c r="Q329" s="13"/>
      <c r="R329" s="13"/>
      <c r="S329" s="13"/>
      <c r="T329" s="13"/>
      <c r="U329" s="13"/>
      <c r="V329" s="13"/>
      <c r="W329" s="13"/>
      <c r="X329" s="13"/>
      <c r="Y329" s="13"/>
    </row>
    <row r="330" spans="1:25" ht="15.75" customHeight="1" x14ac:dyDescent="0.25">
      <c r="A330" s="13"/>
      <c r="B330" s="13"/>
      <c r="C330" s="13"/>
      <c r="D330" s="13"/>
      <c r="E330" s="13"/>
      <c r="F330" s="13"/>
      <c r="G330" s="13"/>
      <c r="H330" s="13"/>
      <c r="I330" s="13"/>
      <c r="J330" s="13"/>
      <c r="K330" s="13"/>
      <c r="L330" s="13"/>
      <c r="M330" s="13"/>
      <c r="N330" s="13"/>
      <c r="O330" s="13"/>
      <c r="P330" s="13"/>
      <c r="Q330" s="13"/>
      <c r="R330" s="13"/>
      <c r="S330" s="13"/>
      <c r="T330" s="13"/>
      <c r="U330" s="13"/>
      <c r="V330" s="13"/>
      <c r="W330" s="13"/>
      <c r="X330" s="13"/>
      <c r="Y330" s="13"/>
    </row>
    <row r="331" spans="1:25" ht="15.75" customHeight="1" x14ac:dyDescent="0.25">
      <c r="A331" s="13"/>
      <c r="B331" s="13"/>
      <c r="C331" s="13"/>
      <c r="D331" s="13"/>
      <c r="E331" s="13"/>
      <c r="F331" s="13"/>
      <c r="G331" s="13"/>
      <c r="H331" s="13"/>
      <c r="I331" s="13"/>
      <c r="J331" s="13"/>
      <c r="K331" s="13"/>
      <c r="L331" s="13"/>
      <c r="M331" s="13"/>
      <c r="N331" s="13"/>
      <c r="O331" s="13"/>
      <c r="P331" s="13"/>
      <c r="Q331" s="13"/>
      <c r="R331" s="13"/>
      <c r="S331" s="13"/>
      <c r="T331" s="13"/>
      <c r="U331" s="13"/>
      <c r="V331" s="13"/>
      <c r="W331" s="13"/>
      <c r="X331" s="13"/>
      <c r="Y331" s="13"/>
    </row>
    <row r="332" spans="1:25" ht="15.75" customHeight="1" x14ac:dyDescent="0.25">
      <c r="A332" s="13"/>
      <c r="B332" s="13"/>
      <c r="C332" s="13"/>
      <c r="D332" s="13"/>
      <c r="E332" s="13"/>
      <c r="F332" s="13"/>
      <c r="G332" s="13"/>
      <c r="H332" s="13"/>
      <c r="I332" s="13"/>
      <c r="J332" s="13"/>
      <c r="K332" s="13"/>
      <c r="L332" s="13"/>
      <c r="M332" s="13"/>
      <c r="N332" s="13"/>
      <c r="O332" s="13"/>
      <c r="P332" s="13"/>
      <c r="Q332" s="13"/>
      <c r="R332" s="13"/>
      <c r="S332" s="13"/>
      <c r="T332" s="13"/>
      <c r="U332" s="13"/>
      <c r="V332" s="13"/>
      <c r="W332" s="13"/>
      <c r="X332" s="13"/>
      <c r="Y332" s="13"/>
    </row>
    <row r="333" spans="1:25" ht="15.75" customHeight="1" x14ac:dyDescent="0.25">
      <c r="A333" s="13"/>
      <c r="B333" s="13"/>
      <c r="C333" s="13"/>
      <c r="D333" s="13"/>
      <c r="E333" s="13"/>
      <c r="F333" s="13"/>
      <c r="G333" s="13"/>
      <c r="H333" s="13"/>
      <c r="I333" s="13"/>
      <c r="J333" s="13"/>
      <c r="K333" s="13"/>
      <c r="L333" s="13"/>
      <c r="M333" s="13"/>
      <c r="N333" s="13"/>
      <c r="O333" s="13"/>
      <c r="P333" s="13"/>
      <c r="Q333" s="13"/>
      <c r="R333" s="13"/>
      <c r="S333" s="13"/>
      <c r="T333" s="13"/>
      <c r="U333" s="13"/>
      <c r="V333" s="13"/>
      <c r="W333" s="13"/>
      <c r="X333" s="13"/>
      <c r="Y333" s="13"/>
    </row>
    <row r="334" spans="1:25" ht="15.75" customHeight="1" x14ac:dyDescent="0.25">
      <c r="A334" s="13"/>
      <c r="B334" s="13"/>
      <c r="C334" s="13"/>
      <c r="D334" s="13"/>
      <c r="E334" s="13"/>
      <c r="F334" s="13"/>
      <c r="G334" s="13"/>
      <c r="H334" s="13"/>
      <c r="I334" s="13"/>
      <c r="J334" s="13"/>
      <c r="K334" s="13"/>
      <c r="L334" s="13"/>
      <c r="M334" s="13"/>
      <c r="N334" s="13"/>
      <c r="O334" s="13"/>
      <c r="P334" s="13"/>
      <c r="Q334" s="13"/>
      <c r="R334" s="13"/>
      <c r="S334" s="13"/>
      <c r="T334" s="13"/>
      <c r="U334" s="13"/>
      <c r="V334" s="13"/>
      <c r="W334" s="13"/>
      <c r="X334" s="13"/>
      <c r="Y334" s="13"/>
    </row>
    <row r="335" spans="1:25" ht="15.75" customHeight="1" x14ac:dyDescent="0.25">
      <c r="A335" s="13"/>
      <c r="B335" s="13"/>
      <c r="C335" s="13"/>
      <c r="D335" s="13"/>
      <c r="E335" s="13"/>
      <c r="F335" s="13"/>
      <c r="G335" s="13"/>
      <c r="H335" s="13"/>
      <c r="I335" s="13"/>
      <c r="J335" s="13"/>
      <c r="K335" s="13"/>
      <c r="L335" s="13"/>
      <c r="M335" s="13"/>
      <c r="N335" s="13"/>
      <c r="O335" s="13"/>
      <c r="P335" s="13"/>
      <c r="Q335" s="13"/>
      <c r="R335" s="13"/>
      <c r="S335" s="13"/>
      <c r="T335" s="13"/>
      <c r="U335" s="13"/>
      <c r="V335" s="13"/>
      <c r="W335" s="13"/>
      <c r="X335" s="13"/>
      <c r="Y335" s="13"/>
    </row>
    <row r="336" spans="1:25" ht="15.75" customHeight="1" x14ac:dyDescent="0.25">
      <c r="A336" s="13"/>
      <c r="B336" s="13"/>
      <c r="C336" s="13"/>
      <c r="D336" s="13"/>
      <c r="E336" s="13"/>
      <c r="F336" s="13"/>
      <c r="G336" s="13"/>
      <c r="H336" s="13"/>
      <c r="I336" s="13"/>
      <c r="J336" s="13"/>
      <c r="K336" s="13"/>
      <c r="L336" s="13"/>
      <c r="M336" s="13"/>
      <c r="N336" s="13"/>
      <c r="O336" s="13"/>
      <c r="P336" s="13"/>
      <c r="Q336" s="13"/>
      <c r="R336" s="13"/>
      <c r="S336" s="13"/>
      <c r="T336" s="13"/>
      <c r="U336" s="13"/>
      <c r="V336" s="13"/>
      <c r="W336" s="13"/>
      <c r="X336" s="13"/>
      <c r="Y336" s="13"/>
    </row>
    <row r="337" spans="1:25" ht="15.75" customHeight="1" x14ac:dyDescent="0.25">
      <c r="A337" s="13"/>
      <c r="B337" s="13"/>
      <c r="C337" s="13"/>
      <c r="D337" s="13"/>
      <c r="E337" s="13"/>
      <c r="F337" s="13"/>
      <c r="G337" s="13"/>
      <c r="H337" s="13"/>
      <c r="I337" s="13"/>
      <c r="J337" s="13"/>
      <c r="K337" s="13"/>
      <c r="L337" s="13"/>
      <c r="M337" s="13"/>
      <c r="N337" s="13"/>
      <c r="O337" s="13"/>
      <c r="P337" s="13"/>
      <c r="Q337" s="13"/>
      <c r="R337" s="13"/>
      <c r="S337" s="13"/>
      <c r="T337" s="13"/>
      <c r="U337" s="13"/>
      <c r="V337" s="13"/>
      <c r="W337" s="13"/>
      <c r="X337" s="13"/>
      <c r="Y337" s="13"/>
    </row>
    <row r="338" spans="1:25" ht="15.75" customHeight="1" x14ac:dyDescent="0.25">
      <c r="A338" s="13"/>
      <c r="B338" s="13"/>
      <c r="C338" s="13"/>
      <c r="D338" s="13"/>
      <c r="E338" s="13"/>
      <c r="F338" s="13"/>
      <c r="G338" s="13"/>
      <c r="H338" s="13"/>
      <c r="I338" s="13"/>
      <c r="J338" s="13"/>
      <c r="K338" s="13"/>
      <c r="L338" s="13"/>
      <c r="M338" s="13"/>
      <c r="N338" s="13"/>
      <c r="O338" s="13"/>
      <c r="P338" s="13"/>
      <c r="Q338" s="13"/>
      <c r="R338" s="13"/>
      <c r="S338" s="13"/>
      <c r="T338" s="13"/>
      <c r="U338" s="13"/>
      <c r="V338" s="13"/>
      <c r="W338" s="13"/>
      <c r="X338" s="13"/>
      <c r="Y338" s="13"/>
    </row>
    <row r="339" spans="1:25" ht="15.75" customHeight="1" x14ac:dyDescent="0.25">
      <c r="A339" s="13"/>
      <c r="B339" s="13"/>
      <c r="C339" s="13"/>
      <c r="D339" s="13"/>
      <c r="E339" s="13"/>
      <c r="F339" s="13"/>
      <c r="G339" s="13"/>
      <c r="H339" s="13"/>
      <c r="I339" s="13"/>
      <c r="J339" s="13"/>
      <c r="K339" s="13"/>
      <c r="L339" s="13"/>
      <c r="M339" s="13"/>
      <c r="N339" s="13"/>
      <c r="O339" s="13"/>
      <c r="P339" s="13"/>
      <c r="Q339" s="13"/>
      <c r="R339" s="13"/>
      <c r="S339" s="13"/>
      <c r="T339" s="13"/>
      <c r="U339" s="13"/>
      <c r="V339" s="13"/>
      <c r="W339" s="13"/>
      <c r="X339" s="13"/>
      <c r="Y339" s="13"/>
    </row>
    <row r="340" spans="1:25" ht="15.75" customHeight="1" x14ac:dyDescent="0.25">
      <c r="A340" s="13"/>
      <c r="B340" s="13"/>
      <c r="C340" s="13"/>
      <c r="D340" s="13"/>
      <c r="E340" s="13"/>
      <c r="F340" s="13"/>
      <c r="G340" s="13"/>
      <c r="H340" s="13"/>
      <c r="I340" s="13"/>
      <c r="J340" s="13"/>
      <c r="K340" s="13"/>
      <c r="L340" s="13"/>
      <c r="M340" s="13"/>
      <c r="N340" s="13"/>
      <c r="O340" s="13"/>
      <c r="P340" s="13"/>
      <c r="Q340" s="13"/>
      <c r="R340" s="13"/>
      <c r="S340" s="13"/>
      <c r="T340" s="13"/>
      <c r="U340" s="13"/>
      <c r="V340" s="13"/>
      <c r="W340" s="13"/>
      <c r="X340" s="13"/>
      <c r="Y340" s="13"/>
    </row>
    <row r="341" spans="1:25" ht="15.75" customHeight="1" x14ac:dyDescent="0.25">
      <c r="A341" s="13"/>
      <c r="B341" s="13"/>
      <c r="C341" s="13"/>
      <c r="D341" s="13"/>
      <c r="E341" s="13"/>
      <c r="F341" s="13"/>
      <c r="G341" s="13"/>
      <c r="H341" s="13"/>
      <c r="I341" s="13"/>
      <c r="J341" s="13"/>
      <c r="K341" s="13"/>
      <c r="L341" s="13"/>
      <c r="M341" s="13"/>
      <c r="N341" s="13"/>
      <c r="O341" s="13"/>
      <c r="P341" s="13"/>
      <c r="Q341" s="13"/>
      <c r="R341" s="13"/>
      <c r="S341" s="13"/>
      <c r="T341" s="13"/>
      <c r="U341" s="13"/>
      <c r="V341" s="13"/>
      <c r="W341" s="13"/>
      <c r="X341" s="13"/>
      <c r="Y341" s="13"/>
    </row>
    <row r="342" spans="1:25" ht="15.75" customHeight="1" x14ac:dyDescent="0.25">
      <c r="A342" s="13"/>
      <c r="B342" s="13"/>
      <c r="C342" s="13"/>
      <c r="D342" s="13"/>
      <c r="E342" s="13"/>
      <c r="F342" s="13"/>
      <c r="G342" s="13"/>
      <c r="H342" s="13"/>
      <c r="I342" s="13"/>
      <c r="J342" s="13"/>
      <c r="K342" s="13"/>
      <c r="L342" s="13"/>
      <c r="M342" s="13"/>
      <c r="N342" s="13"/>
      <c r="O342" s="13"/>
      <c r="P342" s="13"/>
      <c r="Q342" s="13"/>
      <c r="R342" s="13"/>
      <c r="S342" s="13"/>
      <c r="T342" s="13"/>
      <c r="U342" s="13"/>
      <c r="V342" s="13"/>
      <c r="W342" s="13"/>
      <c r="X342" s="13"/>
      <c r="Y342" s="13"/>
    </row>
    <row r="343" spans="1:25" ht="15.75" customHeight="1" x14ac:dyDescent="0.25">
      <c r="A343" s="13"/>
      <c r="B343" s="13"/>
      <c r="C343" s="13"/>
      <c r="D343" s="13"/>
      <c r="E343" s="13"/>
      <c r="F343" s="13"/>
      <c r="G343" s="13"/>
      <c r="H343" s="13"/>
      <c r="I343" s="13"/>
      <c r="J343" s="13"/>
      <c r="K343" s="13"/>
      <c r="L343" s="13"/>
      <c r="M343" s="13"/>
      <c r="N343" s="13"/>
      <c r="O343" s="13"/>
      <c r="P343" s="13"/>
      <c r="Q343" s="13"/>
      <c r="R343" s="13"/>
      <c r="S343" s="13"/>
      <c r="T343" s="13"/>
      <c r="U343" s="13"/>
      <c r="V343" s="13"/>
      <c r="W343" s="13"/>
      <c r="X343" s="13"/>
      <c r="Y343" s="13"/>
    </row>
    <row r="344" spans="1:25" ht="15.75" customHeight="1" x14ac:dyDescent="0.25">
      <c r="A344" s="13"/>
      <c r="B344" s="13"/>
      <c r="C344" s="13"/>
      <c r="D344" s="13"/>
      <c r="E344" s="13"/>
      <c r="F344" s="13"/>
      <c r="G344" s="13"/>
      <c r="H344" s="13"/>
      <c r="I344" s="13"/>
      <c r="J344" s="13"/>
      <c r="K344" s="13"/>
      <c r="L344" s="13"/>
      <c r="M344" s="13"/>
      <c r="N344" s="13"/>
      <c r="O344" s="13"/>
      <c r="P344" s="13"/>
      <c r="Q344" s="13"/>
      <c r="R344" s="13"/>
      <c r="S344" s="13"/>
      <c r="T344" s="13"/>
      <c r="U344" s="13"/>
      <c r="V344" s="13"/>
      <c r="W344" s="13"/>
      <c r="X344" s="13"/>
      <c r="Y344" s="13"/>
    </row>
    <row r="345" spans="1:25" ht="15.75" customHeight="1" x14ac:dyDescent="0.25">
      <c r="A345" s="13"/>
      <c r="B345" s="13"/>
      <c r="C345" s="13"/>
      <c r="D345" s="13"/>
      <c r="E345" s="13"/>
      <c r="F345" s="13"/>
      <c r="G345" s="13"/>
      <c r="H345" s="13"/>
      <c r="I345" s="13"/>
      <c r="J345" s="13"/>
      <c r="K345" s="13"/>
      <c r="L345" s="13"/>
      <c r="M345" s="13"/>
      <c r="N345" s="13"/>
      <c r="O345" s="13"/>
      <c r="P345" s="13"/>
      <c r="Q345" s="13"/>
      <c r="R345" s="13"/>
      <c r="S345" s="13"/>
      <c r="T345" s="13"/>
      <c r="U345" s="13"/>
      <c r="V345" s="13"/>
      <c r="W345" s="13"/>
      <c r="X345" s="13"/>
      <c r="Y345" s="13"/>
    </row>
    <row r="346" spans="1:25" ht="15.75" customHeight="1" x14ac:dyDescent="0.25">
      <c r="A346" s="13"/>
      <c r="B346" s="13"/>
      <c r="C346" s="13"/>
      <c r="D346" s="13"/>
      <c r="E346" s="13"/>
      <c r="F346" s="13"/>
      <c r="G346" s="13"/>
      <c r="H346" s="13"/>
      <c r="I346" s="13"/>
      <c r="J346" s="13"/>
      <c r="K346" s="13"/>
      <c r="L346" s="13"/>
      <c r="M346" s="13"/>
      <c r="N346" s="13"/>
      <c r="O346" s="13"/>
      <c r="P346" s="13"/>
      <c r="Q346" s="13"/>
      <c r="R346" s="13"/>
      <c r="S346" s="13"/>
      <c r="T346" s="13"/>
      <c r="U346" s="13"/>
      <c r="V346" s="13"/>
      <c r="W346" s="13"/>
      <c r="X346" s="13"/>
      <c r="Y346" s="13"/>
    </row>
    <row r="347" spans="1:25" ht="15.75" customHeight="1" x14ac:dyDescent="0.25">
      <c r="A347" s="13"/>
      <c r="B347" s="13"/>
      <c r="C347" s="13"/>
      <c r="D347" s="13"/>
      <c r="E347" s="13"/>
      <c r="F347" s="13"/>
      <c r="G347" s="13"/>
      <c r="H347" s="13"/>
      <c r="I347" s="13"/>
      <c r="J347" s="13"/>
      <c r="K347" s="13"/>
      <c r="L347" s="13"/>
      <c r="M347" s="13"/>
      <c r="N347" s="13"/>
      <c r="O347" s="13"/>
      <c r="P347" s="13"/>
      <c r="Q347" s="13"/>
      <c r="R347" s="13"/>
      <c r="S347" s="13"/>
      <c r="T347" s="13"/>
      <c r="U347" s="13"/>
      <c r="V347" s="13"/>
      <c r="W347" s="13"/>
      <c r="X347" s="13"/>
      <c r="Y347" s="13"/>
    </row>
    <row r="348" spans="1:25" ht="15.75" customHeight="1" x14ac:dyDescent="0.25">
      <c r="A348" s="13"/>
      <c r="B348" s="13"/>
      <c r="C348" s="13"/>
      <c r="D348" s="13"/>
      <c r="E348" s="13"/>
      <c r="F348" s="13"/>
      <c r="G348" s="13"/>
      <c r="H348" s="13"/>
      <c r="I348" s="13"/>
      <c r="J348" s="13"/>
      <c r="K348" s="13"/>
      <c r="L348" s="13"/>
      <c r="M348" s="13"/>
      <c r="N348" s="13"/>
      <c r="O348" s="13"/>
      <c r="P348" s="13"/>
      <c r="Q348" s="13"/>
      <c r="R348" s="13"/>
      <c r="S348" s="13"/>
      <c r="T348" s="13"/>
      <c r="U348" s="13"/>
      <c r="V348" s="13"/>
      <c r="W348" s="13"/>
      <c r="X348" s="13"/>
      <c r="Y348" s="13"/>
    </row>
    <row r="349" spans="1:25" ht="15.75" customHeight="1" x14ac:dyDescent="0.25">
      <c r="A349" s="13"/>
      <c r="B349" s="13"/>
      <c r="C349" s="13"/>
      <c r="D349" s="13"/>
      <c r="E349" s="13"/>
      <c r="F349" s="13"/>
      <c r="G349" s="13"/>
      <c r="H349" s="13"/>
      <c r="I349" s="13"/>
      <c r="J349" s="13"/>
      <c r="K349" s="13"/>
      <c r="L349" s="13"/>
      <c r="M349" s="13"/>
      <c r="N349" s="13"/>
      <c r="O349" s="13"/>
      <c r="P349" s="13"/>
      <c r="Q349" s="13"/>
      <c r="R349" s="13"/>
      <c r="S349" s="13"/>
      <c r="T349" s="13"/>
      <c r="U349" s="13"/>
      <c r="V349" s="13"/>
      <c r="W349" s="13"/>
      <c r="X349" s="13"/>
      <c r="Y349" s="13"/>
    </row>
    <row r="350" spans="1:25" ht="15.75" customHeight="1" x14ac:dyDescent="0.25">
      <c r="A350" s="13"/>
      <c r="B350" s="13"/>
      <c r="C350" s="13"/>
      <c r="D350" s="13"/>
      <c r="E350" s="13"/>
      <c r="F350" s="13"/>
      <c r="G350" s="13"/>
      <c r="H350" s="13"/>
      <c r="I350" s="13"/>
      <c r="J350" s="13"/>
      <c r="K350" s="13"/>
      <c r="L350" s="13"/>
      <c r="M350" s="13"/>
      <c r="N350" s="13"/>
      <c r="O350" s="13"/>
      <c r="P350" s="13"/>
      <c r="Q350" s="13"/>
      <c r="R350" s="13"/>
      <c r="S350" s="13"/>
      <c r="T350" s="13"/>
      <c r="U350" s="13"/>
      <c r="V350" s="13"/>
      <c r="W350" s="13"/>
      <c r="X350" s="13"/>
      <c r="Y350" s="13"/>
    </row>
    <row r="351" spans="1:25" ht="15.75" customHeight="1" x14ac:dyDescent="0.25">
      <c r="A351" s="13"/>
      <c r="B351" s="13"/>
      <c r="C351" s="13"/>
      <c r="D351" s="13"/>
      <c r="E351" s="13"/>
      <c r="F351" s="13"/>
      <c r="G351" s="13"/>
      <c r="H351" s="13"/>
      <c r="I351" s="13"/>
      <c r="J351" s="13"/>
      <c r="K351" s="13"/>
      <c r="L351" s="13"/>
      <c r="M351" s="13"/>
      <c r="N351" s="13"/>
      <c r="O351" s="13"/>
      <c r="P351" s="13"/>
      <c r="Q351" s="13"/>
      <c r="R351" s="13"/>
      <c r="S351" s="13"/>
      <c r="T351" s="13"/>
      <c r="U351" s="13"/>
      <c r="V351" s="13"/>
      <c r="W351" s="13"/>
      <c r="X351" s="13"/>
      <c r="Y351" s="13"/>
    </row>
    <row r="352" spans="1:25" ht="15.75" customHeight="1" x14ac:dyDescent="0.25">
      <c r="A352" s="13"/>
      <c r="B352" s="13"/>
      <c r="C352" s="13"/>
      <c r="D352" s="13"/>
      <c r="E352" s="13"/>
      <c r="F352" s="13"/>
      <c r="G352" s="13"/>
      <c r="H352" s="13"/>
      <c r="I352" s="13"/>
      <c r="J352" s="13"/>
      <c r="K352" s="13"/>
      <c r="L352" s="13"/>
      <c r="M352" s="13"/>
      <c r="N352" s="13"/>
      <c r="O352" s="13"/>
      <c r="P352" s="13"/>
      <c r="Q352" s="13"/>
      <c r="R352" s="13"/>
      <c r="S352" s="13"/>
      <c r="T352" s="13"/>
      <c r="U352" s="13"/>
      <c r="V352" s="13"/>
      <c r="W352" s="13"/>
      <c r="X352" s="13"/>
      <c r="Y352" s="13"/>
    </row>
    <row r="353" spans="1:25" ht="15.75" customHeight="1" x14ac:dyDescent="0.25">
      <c r="A353" s="13"/>
      <c r="B353" s="13"/>
      <c r="C353" s="13"/>
      <c r="D353" s="13"/>
      <c r="E353" s="13"/>
      <c r="F353" s="13"/>
      <c r="G353" s="13"/>
      <c r="H353" s="13"/>
      <c r="I353" s="13"/>
      <c r="J353" s="13"/>
      <c r="K353" s="13"/>
      <c r="L353" s="13"/>
      <c r="M353" s="13"/>
      <c r="N353" s="13"/>
      <c r="O353" s="13"/>
      <c r="P353" s="13"/>
      <c r="Q353" s="13"/>
      <c r="R353" s="13"/>
      <c r="S353" s="13"/>
      <c r="T353" s="13"/>
      <c r="U353" s="13"/>
      <c r="V353" s="13"/>
      <c r="W353" s="13"/>
      <c r="X353" s="13"/>
      <c r="Y353" s="13"/>
    </row>
    <row r="354" spans="1:25" ht="15.75" customHeight="1" x14ac:dyDescent="0.25">
      <c r="A354" s="13"/>
      <c r="B354" s="13"/>
      <c r="C354" s="13"/>
      <c r="D354" s="13"/>
      <c r="E354" s="13"/>
      <c r="F354" s="13"/>
      <c r="G354" s="13"/>
      <c r="H354" s="13"/>
      <c r="I354" s="13"/>
      <c r="J354" s="13"/>
      <c r="K354" s="13"/>
      <c r="L354" s="13"/>
      <c r="M354" s="13"/>
      <c r="N354" s="13"/>
      <c r="O354" s="13"/>
      <c r="P354" s="13"/>
      <c r="Q354" s="13"/>
      <c r="R354" s="13"/>
      <c r="S354" s="13"/>
      <c r="T354" s="13"/>
      <c r="U354" s="13"/>
      <c r="V354" s="13"/>
      <c r="W354" s="13"/>
      <c r="X354" s="13"/>
      <c r="Y354" s="13"/>
    </row>
    <row r="355" spans="1:25" ht="15.75" customHeight="1" x14ac:dyDescent="0.25">
      <c r="A355" s="13"/>
      <c r="B355" s="13"/>
      <c r="C355" s="13"/>
      <c r="D355" s="13"/>
      <c r="E355" s="13"/>
      <c r="F355" s="13"/>
      <c r="G355" s="13"/>
      <c r="H355" s="13"/>
      <c r="I355" s="13"/>
      <c r="J355" s="13"/>
      <c r="K355" s="13"/>
      <c r="L355" s="13"/>
      <c r="M355" s="13"/>
      <c r="N355" s="13"/>
      <c r="O355" s="13"/>
      <c r="P355" s="13"/>
      <c r="Q355" s="13"/>
      <c r="R355" s="13"/>
      <c r="S355" s="13"/>
      <c r="T355" s="13"/>
      <c r="U355" s="13"/>
      <c r="V355" s="13"/>
      <c r="W355" s="13"/>
      <c r="X355" s="13"/>
      <c r="Y355" s="13"/>
    </row>
    <row r="356" spans="1:25" ht="15.75" customHeight="1" x14ac:dyDescent="0.25">
      <c r="A356" s="13"/>
      <c r="B356" s="13"/>
      <c r="C356" s="13"/>
      <c r="D356" s="13"/>
      <c r="E356" s="13"/>
      <c r="F356" s="13"/>
      <c r="G356" s="13"/>
      <c r="H356" s="13"/>
      <c r="I356" s="13"/>
      <c r="J356" s="13"/>
      <c r="K356" s="13"/>
      <c r="L356" s="13"/>
      <c r="M356" s="13"/>
      <c r="N356" s="13"/>
      <c r="O356" s="13"/>
      <c r="P356" s="13"/>
      <c r="Q356" s="13"/>
      <c r="R356" s="13"/>
      <c r="S356" s="13"/>
      <c r="T356" s="13"/>
      <c r="U356" s="13"/>
      <c r="V356" s="13"/>
      <c r="W356" s="13"/>
      <c r="X356" s="13"/>
      <c r="Y356" s="13"/>
    </row>
    <row r="357" spans="1:25" ht="15.75" customHeight="1" x14ac:dyDescent="0.25">
      <c r="A357" s="13"/>
      <c r="B357" s="13"/>
      <c r="C357" s="13"/>
      <c r="D357" s="13"/>
      <c r="E357" s="13"/>
      <c r="F357" s="13"/>
      <c r="G357" s="13"/>
      <c r="H357" s="13"/>
      <c r="I357" s="13"/>
      <c r="J357" s="13"/>
      <c r="K357" s="13"/>
      <c r="L357" s="13"/>
      <c r="M357" s="13"/>
      <c r="N357" s="13"/>
      <c r="O357" s="13"/>
      <c r="P357" s="13"/>
      <c r="Q357" s="13"/>
      <c r="R357" s="13"/>
      <c r="S357" s="13"/>
      <c r="T357" s="13"/>
      <c r="U357" s="13"/>
      <c r="V357" s="13"/>
      <c r="W357" s="13"/>
      <c r="X357" s="13"/>
      <c r="Y357" s="13"/>
    </row>
    <row r="358" spans="1:25" ht="15.75" customHeight="1" x14ac:dyDescent="0.25">
      <c r="A358" s="13"/>
      <c r="B358" s="13"/>
      <c r="C358" s="13"/>
      <c r="D358" s="13"/>
      <c r="E358" s="13"/>
      <c r="F358" s="13"/>
      <c r="G358" s="13"/>
      <c r="H358" s="13"/>
      <c r="I358" s="13"/>
      <c r="J358" s="13"/>
      <c r="K358" s="13"/>
      <c r="L358" s="13"/>
      <c r="M358" s="13"/>
      <c r="N358" s="13"/>
      <c r="O358" s="13"/>
      <c r="P358" s="13"/>
      <c r="Q358" s="13"/>
      <c r="R358" s="13"/>
      <c r="S358" s="13"/>
      <c r="T358" s="13"/>
      <c r="U358" s="13"/>
      <c r="V358" s="13"/>
      <c r="W358" s="13"/>
      <c r="X358" s="13"/>
      <c r="Y358" s="13"/>
    </row>
    <row r="359" spans="1:25" ht="15.75" customHeight="1" x14ac:dyDescent="0.25">
      <c r="A359" s="13"/>
      <c r="B359" s="13"/>
      <c r="C359" s="13"/>
      <c r="D359" s="13"/>
      <c r="E359" s="13"/>
      <c r="F359" s="13"/>
      <c r="G359" s="13"/>
      <c r="H359" s="13"/>
      <c r="I359" s="13"/>
      <c r="J359" s="13"/>
      <c r="K359" s="13"/>
      <c r="L359" s="13"/>
      <c r="M359" s="13"/>
      <c r="N359" s="13"/>
      <c r="O359" s="13"/>
      <c r="P359" s="13"/>
      <c r="Q359" s="13"/>
      <c r="R359" s="13"/>
      <c r="S359" s="13"/>
      <c r="T359" s="13"/>
      <c r="U359" s="13"/>
      <c r="V359" s="13"/>
      <c r="W359" s="13"/>
      <c r="X359" s="13"/>
      <c r="Y359" s="13"/>
    </row>
    <row r="360" spans="1:25" ht="15.75" customHeight="1" x14ac:dyDescent="0.25">
      <c r="A360" s="13"/>
      <c r="B360" s="13"/>
      <c r="C360" s="13"/>
      <c r="D360" s="13"/>
      <c r="E360" s="13"/>
      <c r="F360" s="13"/>
      <c r="G360" s="13"/>
      <c r="H360" s="13"/>
      <c r="I360" s="13"/>
      <c r="J360" s="13"/>
      <c r="K360" s="13"/>
      <c r="L360" s="13"/>
      <c r="M360" s="13"/>
      <c r="N360" s="13"/>
      <c r="O360" s="13"/>
      <c r="P360" s="13"/>
      <c r="Q360" s="13"/>
      <c r="R360" s="13"/>
      <c r="S360" s="13"/>
      <c r="T360" s="13"/>
      <c r="U360" s="13"/>
      <c r="V360" s="13"/>
      <c r="W360" s="13"/>
      <c r="X360" s="13"/>
      <c r="Y360" s="13"/>
    </row>
    <row r="361" spans="1:25" ht="15.75" customHeight="1" x14ac:dyDescent="0.25">
      <c r="A361" s="13"/>
      <c r="B361" s="13"/>
      <c r="C361" s="13"/>
      <c r="D361" s="13"/>
      <c r="E361" s="13"/>
      <c r="F361" s="13"/>
      <c r="G361" s="13"/>
      <c r="H361" s="13"/>
      <c r="I361" s="13"/>
      <c r="J361" s="13"/>
      <c r="K361" s="13"/>
      <c r="L361" s="13"/>
      <c r="M361" s="13"/>
      <c r="N361" s="13"/>
      <c r="O361" s="13"/>
      <c r="P361" s="13"/>
      <c r="Q361" s="13"/>
      <c r="R361" s="13"/>
      <c r="S361" s="13"/>
      <c r="T361" s="13"/>
      <c r="U361" s="13"/>
      <c r="V361" s="13"/>
      <c r="W361" s="13"/>
      <c r="X361" s="13"/>
      <c r="Y361" s="13"/>
    </row>
    <row r="362" spans="1:25" ht="15.75" customHeight="1" x14ac:dyDescent="0.25">
      <c r="A362" s="13"/>
      <c r="B362" s="13"/>
      <c r="C362" s="13"/>
      <c r="D362" s="13"/>
      <c r="E362" s="13"/>
      <c r="F362" s="13"/>
      <c r="G362" s="13"/>
      <c r="H362" s="13"/>
      <c r="I362" s="13"/>
      <c r="J362" s="13"/>
      <c r="K362" s="13"/>
      <c r="L362" s="13"/>
      <c r="M362" s="13"/>
      <c r="N362" s="13"/>
      <c r="O362" s="13"/>
      <c r="P362" s="13"/>
      <c r="Q362" s="13"/>
      <c r="R362" s="13"/>
      <c r="S362" s="13"/>
      <c r="T362" s="13"/>
      <c r="U362" s="13"/>
      <c r="V362" s="13"/>
      <c r="W362" s="13"/>
      <c r="X362" s="13"/>
      <c r="Y362" s="13"/>
    </row>
    <row r="363" spans="1:25" ht="15.75" customHeight="1" x14ac:dyDescent="0.25">
      <c r="A363" s="13"/>
      <c r="B363" s="13"/>
      <c r="C363" s="13"/>
      <c r="D363" s="13"/>
      <c r="E363" s="13"/>
      <c r="F363" s="13"/>
      <c r="G363" s="13"/>
      <c r="H363" s="13"/>
      <c r="I363" s="13"/>
      <c r="J363" s="13"/>
      <c r="K363" s="13"/>
      <c r="L363" s="13"/>
      <c r="M363" s="13"/>
      <c r="N363" s="13"/>
      <c r="O363" s="13"/>
      <c r="P363" s="13"/>
      <c r="Q363" s="13"/>
      <c r="R363" s="13"/>
      <c r="S363" s="13"/>
      <c r="T363" s="13"/>
      <c r="U363" s="13"/>
      <c r="V363" s="13"/>
      <c r="W363" s="13"/>
      <c r="X363" s="13"/>
      <c r="Y363" s="13"/>
    </row>
    <row r="364" spans="1:25" ht="15.75" customHeight="1" x14ac:dyDescent="0.25">
      <c r="A364" s="13"/>
      <c r="B364" s="13"/>
      <c r="C364" s="13"/>
      <c r="D364" s="13"/>
      <c r="E364" s="13"/>
      <c r="F364" s="13"/>
      <c r="G364" s="13"/>
      <c r="H364" s="13"/>
      <c r="I364" s="13"/>
      <c r="J364" s="13"/>
      <c r="K364" s="13"/>
      <c r="L364" s="13"/>
      <c r="M364" s="13"/>
      <c r="N364" s="13"/>
      <c r="O364" s="13"/>
      <c r="P364" s="13"/>
      <c r="Q364" s="13"/>
      <c r="R364" s="13"/>
      <c r="S364" s="13"/>
      <c r="T364" s="13"/>
      <c r="U364" s="13"/>
      <c r="V364" s="13"/>
      <c r="W364" s="13"/>
      <c r="X364" s="13"/>
      <c r="Y364" s="13"/>
    </row>
    <row r="365" spans="1:25" ht="15.75" customHeight="1" x14ac:dyDescent="0.25">
      <c r="A365" s="13"/>
      <c r="B365" s="13"/>
      <c r="C365" s="13"/>
      <c r="D365" s="13"/>
      <c r="E365" s="13"/>
      <c r="F365" s="13"/>
      <c r="G365" s="13"/>
      <c r="H365" s="13"/>
      <c r="I365" s="13"/>
      <c r="J365" s="13"/>
      <c r="K365" s="13"/>
      <c r="L365" s="13"/>
      <c r="M365" s="13"/>
      <c r="N365" s="13"/>
      <c r="O365" s="13"/>
      <c r="P365" s="13"/>
      <c r="Q365" s="13"/>
      <c r="R365" s="13"/>
      <c r="S365" s="13"/>
      <c r="T365" s="13"/>
      <c r="U365" s="13"/>
      <c r="V365" s="13"/>
      <c r="W365" s="13"/>
      <c r="X365" s="13"/>
      <c r="Y365" s="13"/>
    </row>
    <row r="366" spans="1:25" ht="15.75" customHeight="1" x14ac:dyDescent="0.25">
      <c r="A366" s="13"/>
      <c r="B366" s="13"/>
      <c r="C366" s="13"/>
      <c r="D366" s="13"/>
      <c r="E366" s="13"/>
      <c r="F366" s="13"/>
      <c r="G366" s="13"/>
      <c r="H366" s="13"/>
      <c r="I366" s="13"/>
      <c r="J366" s="13"/>
      <c r="K366" s="13"/>
      <c r="L366" s="13"/>
      <c r="M366" s="13"/>
      <c r="N366" s="13"/>
      <c r="O366" s="13"/>
      <c r="P366" s="13"/>
      <c r="Q366" s="13"/>
      <c r="R366" s="13"/>
      <c r="S366" s="13"/>
      <c r="T366" s="13"/>
      <c r="U366" s="13"/>
      <c r="V366" s="13"/>
      <c r="W366" s="13"/>
      <c r="X366" s="13"/>
      <c r="Y366" s="13"/>
    </row>
    <row r="367" spans="1:25" ht="15.75" customHeight="1" x14ac:dyDescent="0.25">
      <c r="A367" s="13"/>
      <c r="B367" s="13"/>
      <c r="C367" s="13"/>
      <c r="D367" s="13"/>
      <c r="E367" s="13"/>
      <c r="F367" s="13"/>
      <c r="G367" s="13"/>
      <c r="H367" s="13"/>
      <c r="I367" s="13"/>
      <c r="J367" s="13"/>
      <c r="K367" s="13"/>
      <c r="L367" s="13"/>
      <c r="M367" s="13"/>
      <c r="N367" s="13"/>
      <c r="O367" s="13"/>
      <c r="P367" s="13"/>
      <c r="Q367" s="13"/>
      <c r="R367" s="13"/>
      <c r="S367" s="13"/>
      <c r="T367" s="13"/>
      <c r="U367" s="13"/>
      <c r="V367" s="13"/>
      <c r="W367" s="13"/>
      <c r="X367" s="13"/>
      <c r="Y367" s="13"/>
    </row>
    <row r="368" spans="1:25" ht="15.75" customHeight="1" x14ac:dyDescent="0.25">
      <c r="A368" s="13"/>
      <c r="B368" s="13"/>
      <c r="C368" s="13"/>
      <c r="D368" s="13"/>
      <c r="E368" s="13"/>
      <c r="F368" s="13"/>
      <c r="G368" s="13"/>
      <c r="H368" s="13"/>
      <c r="I368" s="13"/>
      <c r="J368" s="13"/>
      <c r="K368" s="13"/>
      <c r="L368" s="13"/>
      <c r="M368" s="13"/>
      <c r="N368" s="13"/>
      <c r="O368" s="13"/>
      <c r="P368" s="13"/>
      <c r="Q368" s="13"/>
      <c r="R368" s="13"/>
      <c r="S368" s="13"/>
      <c r="T368" s="13"/>
      <c r="U368" s="13"/>
      <c r="V368" s="13"/>
      <c r="W368" s="13"/>
      <c r="X368" s="13"/>
      <c r="Y368" s="13"/>
    </row>
    <row r="369" spans="1:25" ht="15.75" customHeight="1" x14ac:dyDescent="0.25">
      <c r="A369" s="13"/>
      <c r="B369" s="13"/>
      <c r="C369" s="13"/>
      <c r="D369" s="13"/>
      <c r="E369" s="13"/>
      <c r="F369" s="13"/>
      <c r="G369" s="13"/>
      <c r="H369" s="13"/>
      <c r="I369" s="13"/>
      <c r="J369" s="13"/>
      <c r="K369" s="13"/>
      <c r="L369" s="13"/>
      <c r="M369" s="13"/>
      <c r="N369" s="13"/>
      <c r="O369" s="13"/>
      <c r="P369" s="13"/>
      <c r="Q369" s="13"/>
      <c r="R369" s="13"/>
      <c r="S369" s="13"/>
      <c r="T369" s="13"/>
      <c r="U369" s="13"/>
      <c r="V369" s="13"/>
      <c r="W369" s="13"/>
      <c r="X369" s="13"/>
      <c r="Y369" s="13"/>
    </row>
    <row r="370" spans="1:25" ht="15.75" customHeight="1" x14ac:dyDescent="0.25">
      <c r="A370" s="13"/>
      <c r="B370" s="13"/>
      <c r="C370" s="13"/>
      <c r="D370" s="13"/>
      <c r="E370" s="13"/>
      <c r="F370" s="13"/>
      <c r="G370" s="13"/>
      <c r="H370" s="13"/>
      <c r="I370" s="13"/>
      <c r="J370" s="13"/>
      <c r="K370" s="13"/>
      <c r="L370" s="13"/>
      <c r="M370" s="13"/>
      <c r="N370" s="13"/>
      <c r="O370" s="13"/>
      <c r="P370" s="13"/>
      <c r="Q370" s="13"/>
      <c r="R370" s="13"/>
      <c r="S370" s="13"/>
      <c r="T370" s="13"/>
      <c r="U370" s="13"/>
      <c r="V370" s="13"/>
      <c r="W370" s="13"/>
      <c r="X370" s="13"/>
      <c r="Y370" s="13"/>
    </row>
    <row r="371" spans="1:25" ht="15.75" customHeight="1" x14ac:dyDescent="0.25">
      <c r="A371" s="13"/>
      <c r="B371" s="13"/>
      <c r="C371" s="13"/>
      <c r="D371" s="13"/>
      <c r="E371" s="13"/>
      <c r="F371" s="13"/>
      <c r="G371" s="13"/>
      <c r="H371" s="13"/>
      <c r="I371" s="13"/>
      <c r="J371" s="13"/>
      <c r="K371" s="13"/>
      <c r="L371" s="13"/>
      <c r="M371" s="13"/>
      <c r="N371" s="13"/>
      <c r="O371" s="13"/>
      <c r="P371" s="13"/>
      <c r="Q371" s="13"/>
      <c r="R371" s="13"/>
      <c r="S371" s="13"/>
      <c r="T371" s="13"/>
      <c r="U371" s="13"/>
      <c r="V371" s="13"/>
      <c r="W371" s="13"/>
      <c r="X371" s="13"/>
      <c r="Y371" s="13"/>
    </row>
    <row r="372" spans="1:25" ht="15.75" customHeight="1" x14ac:dyDescent="0.25">
      <c r="A372" s="13"/>
      <c r="B372" s="13"/>
      <c r="C372" s="13"/>
      <c r="D372" s="13"/>
      <c r="E372" s="13"/>
      <c r="F372" s="13"/>
      <c r="G372" s="13"/>
      <c r="H372" s="13"/>
      <c r="I372" s="13"/>
      <c r="J372" s="13"/>
      <c r="K372" s="13"/>
      <c r="L372" s="13"/>
      <c r="M372" s="13"/>
      <c r="N372" s="13"/>
      <c r="O372" s="13"/>
      <c r="P372" s="13"/>
      <c r="Q372" s="13"/>
      <c r="R372" s="13"/>
      <c r="S372" s="13"/>
      <c r="T372" s="13"/>
      <c r="U372" s="13"/>
      <c r="V372" s="13"/>
      <c r="W372" s="13"/>
      <c r="X372" s="13"/>
      <c r="Y372" s="13"/>
    </row>
    <row r="373" spans="1:25" ht="15.75" customHeight="1" x14ac:dyDescent="0.25">
      <c r="A373" s="13"/>
      <c r="B373" s="13"/>
      <c r="C373" s="13"/>
      <c r="D373" s="13"/>
      <c r="E373" s="13"/>
      <c r="F373" s="13"/>
      <c r="G373" s="13"/>
      <c r="H373" s="13"/>
      <c r="I373" s="13"/>
      <c r="J373" s="13"/>
      <c r="K373" s="13"/>
      <c r="L373" s="13"/>
      <c r="M373" s="13"/>
      <c r="N373" s="13"/>
      <c r="O373" s="13"/>
      <c r="P373" s="13"/>
      <c r="Q373" s="13"/>
      <c r="R373" s="13"/>
      <c r="S373" s="13"/>
      <c r="T373" s="13"/>
      <c r="U373" s="13"/>
      <c r="V373" s="13"/>
      <c r="W373" s="13"/>
      <c r="X373" s="13"/>
      <c r="Y373" s="13"/>
    </row>
    <row r="374" spans="1:25" ht="15.75" customHeight="1" x14ac:dyDescent="0.25">
      <c r="A374" s="13"/>
      <c r="B374" s="13"/>
      <c r="C374" s="13"/>
      <c r="D374" s="13"/>
      <c r="E374" s="13"/>
      <c r="F374" s="13"/>
      <c r="G374" s="13"/>
      <c r="H374" s="13"/>
      <c r="I374" s="13"/>
      <c r="J374" s="13"/>
      <c r="K374" s="13"/>
      <c r="L374" s="13"/>
      <c r="M374" s="13"/>
      <c r="N374" s="13"/>
      <c r="O374" s="13"/>
      <c r="P374" s="13"/>
      <c r="Q374" s="13"/>
      <c r="R374" s="13"/>
      <c r="S374" s="13"/>
      <c r="T374" s="13"/>
      <c r="U374" s="13"/>
      <c r="V374" s="13"/>
      <c r="W374" s="13"/>
      <c r="X374" s="13"/>
      <c r="Y374" s="13"/>
    </row>
    <row r="375" spans="1:25" ht="15.75" customHeight="1" x14ac:dyDescent="0.25">
      <c r="A375" s="13"/>
      <c r="B375" s="13"/>
      <c r="C375" s="13"/>
      <c r="D375" s="13"/>
      <c r="E375" s="13"/>
      <c r="F375" s="13"/>
      <c r="G375" s="13"/>
      <c r="H375" s="13"/>
      <c r="I375" s="13"/>
      <c r="J375" s="13"/>
      <c r="K375" s="13"/>
      <c r="L375" s="13"/>
      <c r="M375" s="13"/>
      <c r="N375" s="13"/>
      <c r="O375" s="13"/>
      <c r="P375" s="13"/>
      <c r="Q375" s="13"/>
      <c r="R375" s="13"/>
      <c r="S375" s="13"/>
      <c r="T375" s="13"/>
      <c r="U375" s="13"/>
      <c r="V375" s="13"/>
      <c r="W375" s="13"/>
      <c r="X375" s="13"/>
      <c r="Y375" s="13"/>
    </row>
    <row r="376" spans="1:25" ht="15.75" customHeight="1" x14ac:dyDescent="0.25">
      <c r="A376" s="13"/>
      <c r="B376" s="13"/>
      <c r="C376" s="13"/>
      <c r="D376" s="13"/>
      <c r="E376" s="13"/>
      <c r="F376" s="13"/>
      <c r="G376" s="13"/>
      <c r="H376" s="13"/>
      <c r="I376" s="13"/>
      <c r="J376" s="13"/>
      <c r="K376" s="13"/>
      <c r="L376" s="13"/>
      <c r="M376" s="13"/>
      <c r="N376" s="13"/>
      <c r="O376" s="13"/>
      <c r="P376" s="13"/>
      <c r="Q376" s="13"/>
      <c r="R376" s="13"/>
      <c r="S376" s="13"/>
      <c r="T376" s="13"/>
      <c r="U376" s="13"/>
      <c r="V376" s="13"/>
      <c r="W376" s="13"/>
      <c r="X376" s="13"/>
      <c r="Y376" s="13"/>
    </row>
    <row r="377" spans="1:25" ht="15.75" customHeight="1" x14ac:dyDescent="0.25">
      <c r="A377" s="13"/>
      <c r="B377" s="13"/>
      <c r="C377" s="13"/>
      <c r="D377" s="13"/>
      <c r="E377" s="13"/>
      <c r="F377" s="13"/>
      <c r="G377" s="13"/>
      <c r="H377" s="13"/>
      <c r="I377" s="13"/>
      <c r="J377" s="13"/>
      <c r="K377" s="13"/>
      <c r="L377" s="13"/>
      <c r="M377" s="13"/>
      <c r="N377" s="13"/>
      <c r="O377" s="13"/>
      <c r="P377" s="13"/>
      <c r="Q377" s="13"/>
      <c r="R377" s="13"/>
      <c r="S377" s="13"/>
      <c r="T377" s="13"/>
      <c r="U377" s="13"/>
      <c r="V377" s="13"/>
      <c r="W377" s="13"/>
      <c r="X377" s="13"/>
      <c r="Y377" s="13"/>
    </row>
    <row r="378" spans="1:25" ht="15.75" customHeight="1" x14ac:dyDescent="0.25">
      <c r="A378" s="13"/>
      <c r="B378" s="13"/>
      <c r="C378" s="13"/>
      <c r="D378" s="13"/>
      <c r="E378" s="13"/>
      <c r="F378" s="13"/>
      <c r="G378" s="13"/>
      <c r="H378" s="13"/>
      <c r="I378" s="13"/>
      <c r="J378" s="13"/>
      <c r="K378" s="13"/>
      <c r="L378" s="13"/>
      <c r="M378" s="13"/>
      <c r="N378" s="13"/>
      <c r="O378" s="13"/>
      <c r="P378" s="13"/>
      <c r="Q378" s="13"/>
      <c r="R378" s="13"/>
      <c r="S378" s="13"/>
      <c r="T378" s="13"/>
      <c r="U378" s="13"/>
      <c r="V378" s="13"/>
      <c r="W378" s="13"/>
      <c r="X378" s="13"/>
      <c r="Y378" s="13"/>
    </row>
    <row r="379" spans="1:25" ht="15.75" customHeight="1" x14ac:dyDescent="0.25">
      <c r="A379" s="13"/>
      <c r="B379" s="13"/>
      <c r="C379" s="13"/>
      <c r="D379" s="13"/>
      <c r="E379" s="13"/>
      <c r="F379" s="13"/>
      <c r="G379" s="13"/>
      <c r="H379" s="13"/>
      <c r="I379" s="13"/>
      <c r="J379" s="13"/>
      <c r="K379" s="13"/>
      <c r="L379" s="13"/>
      <c r="M379" s="13"/>
      <c r="N379" s="13"/>
      <c r="O379" s="13"/>
      <c r="P379" s="13"/>
      <c r="Q379" s="13"/>
      <c r="R379" s="13"/>
      <c r="S379" s="13"/>
      <c r="T379" s="13"/>
      <c r="U379" s="13"/>
      <c r="V379" s="13"/>
      <c r="W379" s="13"/>
      <c r="X379" s="13"/>
      <c r="Y379" s="13"/>
    </row>
    <row r="380" spans="1:25" ht="15.75" customHeight="1" x14ac:dyDescent="0.25">
      <c r="A380" s="13"/>
      <c r="B380" s="13"/>
      <c r="C380" s="13"/>
      <c r="D380" s="13"/>
      <c r="E380" s="13"/>
      <c r="F380" s="13"/>
      <c r="G380" s="13"/>
      <c r="H380" s="13"/>
      <c r="I380" s="13"/>
      <c r="J380" s="13"/>
      <c r="K380" s="13"/>
      <c r="L380" s="13"/>
      <c r="M380" s="13"/>
      <c r="N380" s="13"/>
      <c r="O380" s="13"/>
      <c r="P380" s="13"/>
      <c r="Q380" s="13"/>
      <c r="R380" s="13"/>
      <c r="S380" s="13"/>
      <c r="T380" s="13"/>
      <c r="U380" s="13"/>
      <c r="V380" s="13"/>
      <c r="W380" s="13"/>
      <c r="X380" s="13"/>
      <c r="Y380" s="13"/>
    </row>
    <row r="381" spans="1:25" ht="15.75" customHeight="1" x14ac:dyDescent="0.25">
      <c r="A381" s="13"/>
      <c r="B381" s="13"/>
      <c r="C381" s="13"/>
      <c r="D381" s="13"/>
      <c r="E381" s="13"/>
      <c r="F381" s="13"/>
      <c r="G381" s="13"/>
      <c r="H381" s="13"/>
      <c r="I381" s="13"/>
      <c r="J381" s="13"/>
      <c r="K381" s="13"/>
      <c r="L381" s="13"/>
      <c r="M381" s="13"/>
      <c r="N381" s="13"/>
      <c r="O381" s="13"/>
      <c r="P381" s="13"/>
      <c r="Q381" s="13"/>
      <c r="R381" s="13"/>
      <c r="S381" s="13"/>
      <c r="T381" s="13"/>
      <c r="U381" s="13"/>
      <c r="V381" s="13"/>
      <c r="W381" s="13"/>
      <c r="X381" s="13"/>
      <c r="Y381" s="13"/>
    </row>
    <row r="382" spans="1:25" ht="15.75" customHeight="1" x14ac:dyDescent="0.25">
      <c r="A382" s="13"/>
      <c r="B382" s="13"/>
      <c r="C382" s="13"/>
      <c r="D382" s="13"/>
      <c r="E382" s="13"/>
      <c r="F382" s="13"/>
      <c r="G382" s="13"/>
      <c r="H382" s="13"/>
      <c r="I382" s="13"/>
      <c r="J382" s="13"/>
      <c r="K382" s="13"/>
      <c r="L382" s="13"/>
      <c r="M382" s="13"/>
      <c r="N382" s="13"/>
      <c r="O382" s="13"/>
      <c r="P382" s="13"/>
      <c r="Q382" s="13"/>
      <c r="R382" s="13"/>
      <c r="S382" s="13"/>
      <c r="T382" s="13"/>
      <c r="U382" s="13"/>
      <c r="V382" s="13"/>
      <c r="W382" s="13"/>
      <c r="X382" s="13"/>
      <c r="Y382" s="13"/>
    </row>
    <row r="383" spans="1:25" ht="15.75" customHeight="1" x14ac:dyDescent="0.25">
      <c r="A383" s="13"/>
      <c r="B383" s="13"/>
      <c r="C383" s="13"/>
      <c r="D383" s="13"/>
      <c r="E383" s="13"/>
      <c r="F383" s="13"/>
      <c r="G383" s="13"/>
      <c r="H383" s="13"/>
      <c r="I383" s="13"/>
      <c r="J383" s="13"/>
      <c r="K383" s="13"/>
      <c r="L383" s="13"/>
      <c r="M383" s="13"/>
      <c r="N383" s="13"/>
      <c r="O383" s="13"/>
      <c r="P383" s="13"/>
      <c r="Q383" s="13"/>
      <c r="R383" s="13"/>
      <c r="S383" s="13"/>
      <c r="T383" s="13"/>
      <c r="U383" s="13"/>
      <c r="V383" s="13"/>
      <c r="W383" s="13"/>
      <c r="X383" s="13"/>
      <c r="Y383" s="13"/>
    </row>
    <row r="384" spans="1:25" ht="15.75" customHeight="1" x14ac:dyDescent="0.25">
      <c r="A384" s="13"/>
      <c r="B384" s="13"/>
      <c r="C384" s="13"/>
      <c r="D384" s="13"/>
      <c r="E384" s="13"/>
      <c r="F384" s="13"/>
      <c r="G384" s="13"/>
      <c r="H384" s="13"/>
      <c r="I384" s="13"/>
      <c r="J384" s="13"/>
      <c r="K384" s="13"/>
      <c r="L384" s="13"/>
      <c r="M384" s="13"/>
      <c r="N384" s="13"/>
      <c r="O384" s="13"/>
      <c r="P384" s="13"/>
      <c r="Q384" s="13"/>
      <c r="R384" s="13"/>
      <c r="S384" s="13"/>
      <c r="T384" s="13"/>
      <c r="U384" s="13"/>
      <c r="V384" s="13"/>
      <c r="W384" s="13"/>
      <c r="X384" s="13"/>
      <c r="Y384" s="13"/>
    </row>
    <row r="385" spans="1:25" ht="15.75" customHeight="1" x14ac:dyDescent="0.25">
      <c r="A385" s="13"/>
      <c r="B385" s="13"/>
      <c r="C385" s="13"/>
      <c r="D385" s="13"/>
      <c r="E385" s="13"/>
      <c r="F385" s="13"/>
      <c r="G385" s="13"/>
      <c r="H385" s="13"/>
      <c r="I385" s="13"/>
      <c r="J385" s="13"/>
      <c r="K385" s="13"/>
      <c r="L385" s="13"/>
      <c r="M385" s="13"/>
      <c r="N385" s="13"/>
      <c r="O385" s="13"/>
      <c r="P385" s="13"/>
      <c r="Q385" s="13"/>
      <c r="R385" s="13"/>
      <c r="S385" s="13"/>
      <c r="T385" s="13"/>
      <c r="U385" s="13"/>
      <c r="V385" s="13"/>
      <c r="W385" s="13"/>
      <c r="X385" s="13"/>
      <c r="Y385" s="13"/>
    </row>
    <row r="386" spans="1:25" ht="15.75" customHeight="1" x14ac:dyDescent="0.25">
      <c r="A386" s="13"/>
      <c r="B386" s="13"/>
      <c r="C386" s="13"/>
      <c r="D386" s="13"/>
      <c r="E386" s="13"/>
      <c r="F386" s="13"/>
      <c r="G386" s="13"/>
      <c r="H386" s="13"/>
      <c r="I386" s="13"/>
      <c r="J386" s="13"/>
      <c r="K386" s="13"/>
      <c r="L386" s="13"/>
      <c r="M386" s="13"/>
      <c r="N386" s="13"/>
      <c r="O386" s="13"/>
      <c r="P386" s="13"/>
      <c r="Q386" s="13"/>
      <c r="R386" s="13"/>
      <c r="S386" s="13"/>
      <c r="T386" s="13"/>
      <c r="U386" s="13"/>
      <c r="V386" s="13"/>
      <c r="W386" s="13"/>
      <c r="X386" s="13"/>
      <c r="Y386" s="13"/>
    </row>
    <row r="387" spans="1:25" ht="15.75" customHeight="1" x14ac:dyDescent="0.25">
      <c r="A387" s="13"/>
      <c r="B387" s="13"/>
      <c r="C387" s="13"/>
      <c r="D387" s="13"/>
      <c r="E387" s="13"/>
      <c r="F387" s="13"/>
      <c r="G387" s="13"/>
      <c r="H387" s="13"/>
      <c r="I387" s="13"/>
      <c r="J387" s="13"/>
      <c r="K387" s="13"/>
      <c r="L387" s="13"/>
      <c r="M387" s="13"/>
      <c r="N387" s="13"/>
      <c r="O387" s="13"/>
      <c r="P387" s="13"/>
      <c r="Q387" s="13"/>
      <c r="R387" s="13"/>
      <c r="S387" s="13"/>
      <c r="T387" s="13"/>
      <c r="U387" s="13"/>
      <c r="V387" s="13"/>
      <c r="W387" s="13"/>
      <c r="X387" s="13"/>
      <c r="Y387" s="13"/>
    </row>
    <row r="388" spans="1:25" ht="15.75" customHeight="1" x14ac:dyDescent="0.25">
      <c r="A388" s="13"/>
      <c r="B388" s="13"/>
      <c r="C388" s="13"/>
      <c r="D388" s="13"/>
      <c r="E388" s="13"/>
      <c r="F388" s="13"/>
      <c r="G388" s="13"/>
      <c r="H388" s="13"/>
      <c r="I388" s="13"/>
      <c r="J388" s="13"/>
      <c r="K388" s="13"/>
      <c r="L388" s="13"/>
      <c r="M388" s="13"/>
      <c r="N388" s="13"/>
      <c r="O388" s="13"/>
      <c r="P388" s="13"/>
      <c r="Q388" s="13"/>
      <c r="R388" s="13"/>
      <c r="S388" s="13"/>
      <c r="T388" s="13"/>
      <c r="U388" s="13"/>
      <c r="V388" s="13"/>
      <c r="W388" s="13"/>
      <c r="X388" s="13"/>
      <c r="Y388" s="13"/>
    </row>
    <row r="389" spans="1:25" ht="15.75" customHeight="1" x14ac:dyDescent="0.25">
      <c r="A389" s="13"/>
      <c r="B389" s="13"/>
      <c r="C389" s="13"/>
      <c r="D389" s="13"/>
      <c r="E389" s="13"/>
      <c r="F389" s="13"/>
      <c r="G389" s="13"/>
      <c r="H389" s="13"/>
      <c r="I389" s="13"/>
      <c r="J389" s="13"/>
      <c r="K389" s="13"/>
      <c r="L389" s="13"/>
      <c r="M389" s="13"/>
      <c r="N389" s="13"/>
      <c r="O389" s="13"/>
      <c r="P389" s="13"/>
      <c r="Q389" s="13"/>
      <c r="R389" s="13"/>
      <c r="S389" s="13"/>
      <c r="T389" s="13"/>
      <c r="U389" s="13"/>
      <c r="V389" s="13"/>
      <c r="W389" s="13"/>
      <c r="X389" s="13"/>
      <c r="Y389" s="13"/>
    </row>
    <row r="390" spans="1:25" ht="15.75" customHeight="1" x14ac:dyDescent="0.25">
      <c r="A390" s="13"/>
      <c r="B390" s="13"/>
      <c r="C390" s="13"/>
      <c r="D390" s="13"/>
      <c r="E390" s="13"/>
      <c r="F390" s="13"/>
      <c r="G390" s="13"/>
      <c r="H390" s="13"/>
      <c r="I390" s="13"/>
      <c r="J390" s="13"/>
      <c r="K390" s="13"/>
      <c r="L390" s="13"/>
      <c r="M390" s="13"/>
      <c r="N390" s="13"/>
      <c r="O390" s="13"/>
      <c r="P390" s="13"/>
      <c r="Q390" s="13"/>
      <c r="R390" s="13"/>
      <c r="S390" s="13"/>
      <c r="T390" s="13"/>
      <c r="U390" s="13"/>
      <c r="V390" s="13"/>
      <c r="W390" s="13"/>
      <c r="X390" s="13"/>
      <c r="Y390" s="13"/>
    </row>
    <row r="391" spans="1:25" ht="15.75" customHeight="1" x14ac:dyDescent="0.25">
      <c r="A391" s="13"/>
      <c r="B391" s="13"/>
      <c r="C391" s="13"/>
      <c r="D391" s="13"/>
      <c r="E391" s="13"/>
      <c r="F391" s="13"/>
      <c r="G391" s="13"/>
      <c r="H391" s="13"/>
      <c r="I391" s="13"/>
      <c r="J391" s="13"/>
      <c r="K391" s="13"/>
      <c r="L391" s="13"/>
      <c r="M391" s="13"/>
      <c r="N391" s="13"/>
      <c r="O391" s="13"/>
      <c r="P391" s="13"/>
      <c r="Q391" s="13"/>
      <c r="R391" s="13"/>
      <c r="S391" s="13"/>
      <c r="T391" s="13"/>
      <c r="U391" s="13"/>
      <c r="V391" s="13"/>
      <c r="W391" s="13"/>
      <c r="X391" s="13"/>
      <c r="Y391" s="13"/>
    </row>
    <row r="392" spans="1:25" ht="15.75" customHeight="1" x14ac:dyDescent="0.25">
      <c r="A392" s="13"/>
      <c r="B392" s="13"/>
      <c r="C392" s="13"/>
      <c r="D392" s="13"/>
      <c r="E392" s="13"/>
      <c r="F392" s="13"/>
      <c r="G392" s="13"/>
      <c r="H392" s="13"/>
      <c r="I392" s="13"/>
      <c r="J392" s="13"/>
      <c r="K392" s="13"/>
      <c r="L392" s="13"/>
      <c r="M392" s="13"/>
      <c r="N392" s="13"/>
      <c r="O392" s="13"/>
      <c r="P392" s="13"/>
      <c r="Q392" s="13"/>
      <c r="R392" s="13"/>
      <c r="S392" s="13"/>
      <c r="T392" s="13"/>
      <c r="U392" s="13"/>
      <c r="V392" s="13"/>
      <c r="W392" s="13"/>
      <c r="X392" s="13"/>
      <c r="Y392" s="13"/>
    </row>
    <row r="393" spans="1:25" ht="15.75" customHeight="1" x14ac:dyDescent="0.25">
      <c r="A393" s="13"/>
      <c r="B393" s="13"/>
      <c r="C393" s="13"/>
      <c r="D393" s="13"/>
      <c r="E393" s="13"/>
      <c r="F393" s="13"/>
      <c r="G393" s="13"/>
      <c r="H393" s="13"/>
      <c r="I393" s="13"/>
      <c r="J393" s="13"/>
      <c r="K393" s="13"/>
      <c r="L393" s="13"/>
      <c r="M393" s="13"/>
      <c r="N393" s="13"/>
      <c r="O393" s="13"/>
      <c r="P393" s="13"/>
      <c r="Q393" s="13"/>
      <c r="R393" s="13"/>
      <c r="S393" s="13"/>
      <c r="T393" s="13"/>
      <c r="U393" s="13"/>
      <c r="V393" s="13"/>
      <c r="W393" s="13"/>
      <c r="X393" s="13"/>
      <c r="Y393" s="13"/>
    </row>
    <row r="394" spans="1:25" ht="15.75" customHeight="1" x14ac:dyDescent="0.25">
      <c r="A394" s="13"/>
      <c r="B394" s="13"/>
      <c r="C394" s="13"/>
      <c r="D394" s="13"/>
      <c r="E394" s="13"/>
      <c r="F394" s="13"/>
      <c r="G394" s="13"/>
      <c r="H394" s="13"/>
      <c r="I394" s="13"/>
      <c r="J394" s="13"/>
      <c r="K394" s="13"/>
      <c r="L394" s="13"/>
      <c r="M394" s="13"/>
      <c r="N394" s="13"/>
      <c r="O394" s="13"/>
      <c r="P394" s="13"/>
      <c r="Q394" s="13"/>
      <c r="R394" s="13"/>
      <c r="S394" s="13"/>
      <c r="T394" s="13"/>
      <c r="U394" s="13"/>
      <c r="V394" s="13"/>
      <c r="W394" s="13"/>
      <c r="X394" s="13"/>
      <c r="Y394" s="13"/>
    </row>
    <row r="395" spans="1:25" ht="15.75" customHeight="1" x14ac:dyDescent="0.25">
      <c r="A395" s="13"/>
      <c r="B395" s="13"/>
      <c r="C395" s="13"/>
      <c r="D395" s="13"/>
      <c r="E395" s="13"/>
      <c r="F395" s="13"/>
      <c r="G395" s="13"/>
      <c r="H395" s="13"/>
      <c r="I395" s="13"/>
      <c r="J395" s="13"/>
      <c r="K395" s="13"/>
      <c r="L395" s="13"/>
      <c r="M395" s="13"/>
      <c r="N395" s="13"/>
      <c r="O395" s="13"/>
      <c r="P395" s="13"/>
      <c r="Q395" s="13"/>
      <c r="R395" s="13"/>
      <c r="S395" s="13"/>
      <c r="T395" s="13"/>
      <c r="U395" s="13"/>
      <c r="V395" s="13"/>
      <c r="W395" s="13"/>
      <c r="X395" s="13"/>
      <c r="Y395" s="13"/>
    </row>
    <row r="396" spans="1:25" ht="15.75" customHeight="1" x14ac:dyDescent="0.25">
      <c r="A396" s="13"/>
      <c r="B396" s="13"/>
      <c r="C396" s="13"/>
      <c r="D396" s="13"/>
      <c r="E396" s="13"/>
      <c r="F396" s="13"/>
      <c r="G396" s="13"/>
      <c r="H396" s="13"/>
      <c r="I396" s="13"/>
      <c r="J396" s="13"/>
      <c r="K396" s="13"/>
      <c r="L396" s="13"/>
      <c r="M396" s="13"/>
      <c r="N396" s="13"/>
      <c r="O396" s="13"/>
      <c r="P396" s="13"/>
      <c r="Q396" s="13"/>
      <c r="R396" s="13"/>
      <c r="S396" s="13"/>
      <c r="T396" s="13"/>
      <c r="U396" s="13"/>
      <c r="V396" s="13"/>
      <c r="W396" s="13"/>
      <c r="X396" s="13"/>
      <c r="Y396" s="13"/>
    </row>
    <row r="397" spans="1:25" ht="15.75" customHeight="1" x14ac:dyDescent="0.25">
      <c r="A397" s="13"/>
      <c r="B397" s="13"/>
      <c r="C397" s="13"/>
      <c r="D397" s="13"/>
      <c r="E397" s="13"/>
      <c r="F397" s="13"/>
      <c r="G397" s="13"/>
      <c r="H397" s="13"/>
      <c r="I397" s="13"/>
      <c r="J397" s="13"/>
      <c r="K397" s="13"/>
      <c r="L397" s="13"/>
      <c r="M397" s="13"/>
      <c r="N397" s="13"/>
      <c r="O397" s="13"/>
      <c r="P397" s="13"/>
      <c r="Q397" s="13"/>
      <c r="R397" s="13"/>
      <c r="S397" s="13"/>
      <c r="T397" s="13"/>
      <c r="U397" s="13"/>
      <c r="V397" s="13"/>
      <c r="W397" s="13"/>
      <c r="X397" s="13"/>
      <c r="Y397" s="13"/>
    </row>
    <row r="398" spans="1:25" ht="15.75" customHeight="1" x14ac:dyDescent="0.25">
      <c r="A398" s="13"/>
      <c r="B398" s="13"/>
      <c r="C398" s="13"/>
      <c r="D398" s="13"/>
      <c r="E398" s="13"/>
      <c r="F398" s="13"/>
      <c r="G398" s="13"/>
      <c r="H398" s="13"/>
      <c r="I398" s="13"/>
      <c r="J398" s="13"/>
      <c r="K398" s="13"/>
      <c r="L398" s="13"/>
      <c r="M398" s="13"/>
      <c r="N398" s="13"/>
      <c r="O398" s="13"/>
      <c r="P398" s="13"/>
      <c r="Q398" s="13"/>
      <c r="R398" s="13"/>
      <c r="S398" s="13"/>
      <c r="T398" s="13"/>
      <c r="U398" s="13"/>
      <c r="V398" s="13"/>
      <c r="W398" s="13"/>
      <c r="X398" s="13"/>
      <c r="Y398" s="13"/>
    </row>
    <row r="399" spans="1:25" ht="15.75" customHeight="1" x14ac:dyDescent="0.25">
      <c r="A399" s="13"/>
      <c r="B399" s="13"/>
      <c r="C399" s="13"/>
      <c r="D399" s="13"/>
      <c r="E399" s="13"/>
      <c r="F399" s="13"/>
      <c r="G399" s="13"/>
      <c r="H399" s="13"/>
      <c r="I399" s="13"/>
      <c r="J399" s="13"/>
      <c r="K399" s="13"/>
      <c r="L399" s="13"/>
      <c r="M399" s="13"/>
      <c r="N399" s="13"/>
      <c r="O399" s="13"/>
      <c r="P399" s="13"/>
      <c r="Q399" s="13"/>
      <c r="R399" s="13"/>
      <c r="S399" s="13"/>
      <c r="T399" s="13"/>
      <c r="U399" s="13"/>
      <c r="V399" s="13"/>
      <c r="W399" s="13"/>
      <c r="X399" s="13"/>
      <c r="Y399" s="13"/>
    </row>
    <row r="400" spans="1:25" ht="15.75" customHeight="1" x14ac:dyDescent="0.25">
      <c r="A400" s="13"/>
      <c r="B400" s="13"/>
      <c r="C400" s="13"/>
      <c r="D400" s="13"/>
      <c r="E400" s="13"/>
      <c r="F400" s="13"/>
      <c r="G400" s="13"/>
      <c r="H400" s="13"/>
      <c r="I400" s="13"/>
      <c r="J400" s="13"/>
      <c r="K400" s="13"/>
      <c r="L400" s="13"/>
      <c r="M400" s="13"/>
      <c r="N400" s="13"/>
      <c r="O400" s="13"/>
      <c r="P400" s="13"/>
      <c r="Q400" s="13"/>
      <c r="R400" s="13"/>
      <c r="S400" s="13"/>
      <c r="T400" s="13"/>
      <c r="U400" s="13"/>
      <c r="V400" s="13"/>
      <c r="W400" s="13"/>
      <c r="X400" s="13"/>
      <c r="Y400" s="13"/>
    </row>
    <row r="401" spans="1:25" ht="15.75" customHeight="1" x14ac:dyDescent="0.25">
      <c r="A401" s="13"/>
      <c r="B401" s="13"/>
      <c r="C401" s="13"/>
      <c r="D401" s="13"/>
      <c r="E401" s="13"/>
      <c r="F401" s="13"/>
      <c r="G401" s="13"/>
      <c r="H401" s="13"/>
      <c r="I401" s="13"/>
      <c r="J401" s="13"/>
      <c r="K401" s="13"/>
      <c r="L401" s="13"/>
      <c r="M401" s="13"/>
      <c r="N401" s="13"/>
      <c r="O401" s="13"/>
      <c r="P401" s="13"/>
      <c r="Q401" s="13"/>
      <c r="R401" s="13"/>
      <c r="S401" s="13"/>
      <c r="T401" s="13"/>
      <c r="U401" s="13"/>
      <c r="V401" s="13"/>
      <c r="W401" s="13"/>
      <c r="X401" s="13"/>
      <c r="Y401" s="13"/>
    </row>
    <row r="402" spans="1:25" ht="15.75" customHeight="1" x14ac:dyDescent="0.25">
      <c r="A402" s="13"/>
      <c r="B402" s="13"/>
      <c r="C402" s="13"/>
      <c r="D402" s="13"/>
      <c r="E402" s="13"/>
      <c r="F402" s="13"/>
      <c r="G402" s="13"/>
      <c r="H402" s="13"/>
      <c r="I402" s="13"/>
      <c r="J402" s="13"/>
      <c r="K402" s="13"/>
      <c r="L402" s="13"/>
      <c r="M402" s="13"/>
      <c r="N402" s="13"/>
      <c r="O402" s="13"/>
      <c r="P402" s="13"/>
      <c r="Q402" s="13"/>
      <c r="R402" s="13"/>
      <c r="S402" s="13"/>
      <c r="T402" s="13"/>
      <c r="U402" s="13"/>
      <c r="V402" s="13"/>
      <c r="W402" s="13"/>
      <c r="X402" s="13"/>
      <c r="Y402" s="13"/>
    </row>
    <row r="403" spans="1:25" ht="15.75" customHeight="1" x14ac:dyDescent="0.25">
      <c r="A403" s="13"/>
      <c r="B403" s="13"/>
      <c r="C403" s="13"/>
      <c r="D403" s="13"/>
      <c r="E403" s="13"/>
      <c r="F403" s="13"/>
      <c r="G403" s="13"/>
      <c r="H403" s="13"/>
      <c r="I403" s="13"/>
      <c r="J403" s="13"/>
      <c r="K403" s="13"/>
      <c r="L403" s="13"/>
      <c r="M403" s="13"/>
      <c r="N403" s="13"/>
      <c r="O403" s="13"/>
      <c r="P403" s="13"/>
      <c r="Q403" s="13"/>
      <c r="R403" s="13"/>
      <c r="S403" s="13"/>
      <c r="T403" s="13"/>
      <c r="U403" s="13"/>
      <c r="V403" s="13"/>
      <c r="W403" s="13"/>
      <c r="X403" s="13"/>
      <c r="Y403" s="13"/>
    </row>
    <row r="404" spans="1:25" ht="15.75" customHeight="1" x14ac:dyDescent="0.25">
      <c r="A404" s="13"/>
      <c r="B404" s="13"/>
      <c r="C404" s="13"/>
      <c r="D404" s="13"/>
      <c r="E404" s="13"/>
      <c r="F404" s="13"/>
      <c r="G404" s="13"/>
      <c r="H404" s="13"/>
      <c r="I404" s="13"/>
      <c r="J404" s="13"/>
      <c r="K404" s="13"/>
      <c r="L404" s="13"/>
      <c r="M404" s="13"/>
      <c r="N404" s="13"/>
      <c r="O404" s="13"/>
      <c r="P404" s="13"/>
      <c r="Q404" s="13"/>
      <c r="R404" s="13"/>
      <c r="S404" s="13"/>
      <c r="T404" s="13"/>
      <c r="U404" s="13"/>
      <c r="V404" s="13"/>
      <c r="W404" s="13"/>
      <c r="X404" s="13"/>
      <c r="Y404" s="13"/>
    </row>
    <row r="405" spans="1:25" ht="15.75" customHeight="1" x14ac:dyDescent="0.25">
      <c r="A405" s="13"/>
      <c r="B405" s="13"/>
      <c r="C405" s="13"/>
      <c r="D405" s="13"/>
      <c r="E405" s="13"/>
      <c r="F405" s="13"/>
      <c r="G405" s="13"/>
      <c r="H405" s="13"/>
      <c r="I405" s="13"/>
      <c r="J405" s="13"/>
      <c r="K405" s="13"/>
      <c r="L405" s="13"/>
      <c r="M405" s="13"/>
      <c r="N405" s="13"/>
      <c r="O405" s="13"/>
      <c r="P405" s="13"/>
      <c r="Q405" s="13"/>
      <c r="R405" s="13"/>
      <c r="S405" s="13"/>
      <c r="T405" s="13"/>
      <c r="U405" s="13"/>
      <c r="V405" s="13"/>
      <c r="W405" s="13"/>
      <c r="X405" s="13"/>
      <c r="Y405" s="13"/>
    </row>
    <row r="406" spans="1:25" ht="15.75" customHeight="1" x14ac:dyDescent="0.25">
      <c r="A406" s="13"/>
      <c r="B406" s="13"/>
      <c r="C406" s="13"/>
      <c r="D406" s="13"/>
      <c r="E406" s="13"/>
      <c r="F406" s="13"/>
      <c r="G406" s="13"/>
      <c r="H406" s="13"/>
      <c r="I406" s="13"/>
      <c r="J406" s="13"/>
      <c r="K406" s="13"/>
      <c r="L406" s="13"/>
      <c r="M406" s="13"/>
      <c r="N406" s="13"/>
      <c r="O406" s="13"/>
      <c r="P406" s="13"/>
      <c r="Q406" s="13"/>
      <c r="R406" s="13"/>
      <c r="S406" s="13"/>
      <c r="T406" s="13"/>
      <c r="U406" s="13"/>
      <c r="V406" s="13"/>
      <c r="W406" s="13"/>
      <c r="X406" s="13"/>
      <c r="Y406" s="13"/>
    </row>
    <row r="407" spans="1:25" ht="15.75" customHeight="1" x14ac:dyDescent="0.25">
      <c r="A407" s="13"/>
      <c r="B407" s="13"/>
      <c r="C407" s="13"/>
      <c r="D407" s="13"/>
      <c r="E407" s="13"/>
      <c r="F407" s="13"/>
      <c r="G407" s="13"/>
      <c r="H407" s="13"/>
      <c r="I407" s="13"/>
      <c r="J407" s="13"/>
      <c r="K407" s="13"/>
      <c r="L407" s="13"/>
      <c r="M407" s="13"/>
      <c r="N407" s="13"/>
      <c r="O407" s="13"/>
      <c r="P407" s="13"/>
      <c r="Q407" s="13"/>
      <c r="R407" s="13"/>
      <c r="S407" s="13"/>
      <c r="T407" s="13"/>
      <c r="U407" s="13"/>
      <c r="V407" s="13"/>
      <c r="W407" s="13"/>
      <c r="X407" s="13"/>
      <c r="Y407" s="13"/>
    </row>
    <row r="408" spans="1:25" ht="15.75" customHeight="1" x14ac:dyDescent="0.25">
      <c r="A408" s="13"/>
      <c r="B408" s="13"/>
      <c r="C408" s="13"/>
      <c r="D408" s="13"/>
      <c r="E408" s="13"/>
      <c r="F408" s="13"/>
      <c r="G408" s="13"/>
      <c r="H408" s="13"/>
      <c r="I408" s="13"/>
      <c r="J408" s="13"/>
      <c r="K408" s="13"/>
      <c r="L408" s="13"/>
      <c r="M408" s="13"/>
      <c r="N408" s="13"/>
      <c r="O408" s="13"/>
      <c r="P408" s="13"/>
      <c r="Q408" s="13"/>
      <c r="R408" s="13"/>
      <c r="S408" s="13"/>
      <c r="T408" s="13"/>
      <c r="U408" s="13"/>
      <c r="V408" s="13"/>
      <c r="W408" s="13"/>
      <c r="X408" s="13"/>
      <c r="Y408" s="13"/>
    </row>
    <row r="409" spans="1:25" ht="15.75" customHeight="1" x14ac:dyDescent="0.25">
      <c r="A409" s="13"/>
      <c r="B409" s="13"/>
      <c r="C409" s="13"/>
      <c r="D409" s="13"/>
      <c r="E409" s="13"/>
      <c r="F409" s="13"/>
      <c r="G409" s="13"/>
      <c r="H409" s="13"/>
      <c r="I409" s="13"/>
      <c r="J409" s="13"/>
      <c r="K409" s="13"/>
      <c r="L409" s="13"/>
      <c r="M409" s="13"/>
      <c r="N409" s="13"/>
      <c r="O409" s="13"/>
      <c r="P409" s="13"/>
      <c r="Q409" s="13"/>
      <c r="R409" s="13"/>
      <c r="S409" s="13"/>
      <c r="T409" s="13"/>
      <c r="U409" s="13"/>
      <c r="V409" s="13"/>
      <c r="W409" s="13"/>
      <c r="X409" s="13"/>
      <c r="Y409" s="13"/>
    </row>
    <row r="410" spans="1:25" ht="15.75" customHeight="1" x14ac:dyDescent="0.25">
      <c r="A410" s="13"/>
      <c r="B410" s="13"/>
      <c r="C410" s="13"/>
      <c r="D410" s="13"/>
      <c r="E410" s="13"/>
      <c r="F410" s="13"/>
      <c r="G410" s="13"/>
      <c r="H410" s="13"/>
      <c r="I410" s="13"/>
      <c r="J410" s="13"/>
      <c r="K410" s="13"/>
      <c r="L410" s="13"/>
      <c r="M410" s="13"/>
      <c r="N410" s="13"/>
      <c r="O410" s="13"/>
      <c r="P410" s="13"/>
      <c r="Q410" s="13"/>
      <c r="R410" s="13"/>
      <c r="S410" s="13"/>
      <c r="T410" s="13"/>
      <c r="U410" s="13"/>
      <c r="V410" s="13"/>
      <c r="W410" s="13"/>
      <c r="X410" s="13"/>
      <c r="Y410" s="13"/>
    </row>
    <row r="411" spans="1:25" ht="15.75" customHeight="1" x14ac:dyDescent="0.25">
      <c r="A411" s="13"/>
      <c r="B411" s="13"/>
      <c r="C411" s="13"/>
      <c r="D411" s="13"/>
      <c r="E411" s="13"/>
      <c r="F411" s="13"/>
      <c r="G411" s="13"/>
      <c r="H411" s="13"/>
      <c r="I411" s="13"/>
      <c r="J411" s="13"/>
      <c r="K411" s="13"/>
      <c r="L411" s="13"/>
      <c r="M411" s="13"/>
      <c r="N411" s="13"/>
      <c r="O411" s="13"/>
      <c r="P411" s="13"/>
      <c r="Q411" s="13"/>
      <c r="R411" s="13"/>
      <c r="S411" s="13"/>
      <c r="T411" s="13"/>
      <c r="U411" s="13"/>
      <c r="V411" s="13"/>
      <c r="W411" s="13"/>
      <c r="X411" s="13"/>
      <c r="Y411" s="13"/>
    </row>
    <row r="412" spans="1:25" ht="15.75" customHeight="1" x14ac:dyDescent="0.25">
      <c r="A412" s="13"/>
      <c r="B412" s="13"/>
      <c r="C412" s="13"/>
      <c r="D412" s="13"/>
      <c r="E412" s="13"/>
      <c r="F412" s="13"/>
      <c r="G412" s="13"/>
      <c r="H412" s="13"/>
      <c r="I412" s="13"/>
      <c r="J412" s="13"/>
      <c r="K412" s="13"/>
      <c r="L412" s="13"/>
      <c r="M412" s="13"/>
      <c r="N412" s="13"/>
      <c r="O412" s="13"/>
      <c r="P412" s="13"/>
      <c r="Q412" s="13"/>
      <c r="R412" s="13"/>
      <c r="S412" s="13"/>
      <c r="T412" s="13"/>
      <c r="U412" s="13"/>
      <c r="V412" s="13"/>
      <c r="W412" s="13"/>
      <c r="X412" s="13"/>
      <c r="Y412" s="13"/>
    </row>
    <row r="413" spans="1:25" ht="15.75" customHeight="1" x14ac:dyDescent="0.25">
      <c r="A413" s="13"/>
      <c r="B413" s="13"/>
      <c r="C413" s="13"/>
      <c r="D413" s="13"/>
      <c r="E413" s="13"/>
      <c r="F413" s="13"/>
      <c r="G413" s="13"/>
      <c r="H413" s="13"/>
      <c r="I413" s="13"/>
      <c r="J413" s="13"/>
      <c r="K413" s="13"/>
      <c r="L413" s="13"/>
      <c r="M413" s="13"/>
      <c r="N413" s="13"/>
      <c r="O413" s="13"/>
      <c r="P413" s="13"/>
      <c r="Q413" s="13"/>
      <c r="R413" s="13"/>
      <c r="S413" s="13"/>
      <c r="T413" s="13"/>
      <c r="U413" s="13"/>
      <c r="V413" s="13"/>
      <c r="W413" s="13"/>
      <c r="X413" s="13"/>
      <c r="Y413" s="13"/>
    </row>
    <row r="414" spans="1:25" ht="15.75" customHeight="1" x14ac:dyDescent="0.25">
      <c r="A414" s="13"/>
      <c r="B414" s="13"/>
      <c r="C414" s="13"/>
      <c r="D414" s="13"/>
      <c r="E414" s="13"/>
      <c r="F414" s="13"/>
      <c r="G414" s="13"/>
      <c r="H414" s="13"/>
      <c r="I414" s="13"/>
      <c r="J414" s="13"/>
      <c r="K414" s="13"/>
      <c r="L414" s="13"/>
      <c r="M414" s="13"/>
      <c r="N414" s="13"/>
      <c r="O414" s="13"/>
      <c r="P414" s="13"/>
      <c r="Q414" s="13"/>
      <c r="R414" s="13"/>
      <c r="S414" s="13"/>
      <c r="T414" s="13"/>
      <c r="U414" s="13"/>
      <c r="V414" s="13"/>
      <c r="W414" s="13"/>
      <c r="X414" s="13"/>
      <c r="Y414" s="13"/>
    </row>
    <row r="415" spans="1:25" ht="15.75" customHeight="1" x14ac:dyDescent="0.25">
      <c r="A415" s="13"/>
      <c r="B415" s="13"/>
      <c r="C415" s="13"/>
      <c r="D415" s="13"/>
      <c r="E415" s="13"/>
      <c r="F415" s="13"/>
      <c r="G415" s="13"/>
      <c r="H415" s="13"/>
      <c r="I415" s="13"/>
      <c r="J415" s="13"/>
      <c r="K415" s="13"/>
      <c r="L415" s="13"/>
      <c r="M415" s="13"/>
      <c r="N415" s="13"/>
      <c r="O415" s="13"/>
      <c r="P415" s="13"/>
      <c r="Q415" s="13"/>
      <c r="R415" s="13"/>
      <c r="S415" s="13"/>
      <c r="T415" s="13"/>
      <c r="U415" s="13"/>
      <c r="V415" s="13"/>
      <c r="W415" s="13"/>
      <c r="X415" s="13"/>
      <c r="Y415" s="13"/>
    </row>
    <row r="416" spans="1:25" ht="15.75" customHeight="1" x14ac:dyDescent="0.25">
      <c r="A416" s="13"/>
      <c r="B416" s="13"/>
      <c r="C416" s="13"/>
      <c r="D416" s="13"/>
      <c r="E416" s="13"/>
      <c r="F416" s="13"/>
      <c r="G416" s="13"/>
      <c r="H416" s="13"/>
      <c r="I416" s="13"/>
      <c r="J416" s="13"/>
      <c r="K416" s="13"/>
      <c r="L416" s="13"/>
      <c r="M416" s="13"/>
      <c r="N416" s="13"/>
      <c r="O416" s="13"/>
      <c r="P416" s="13"/>
      <c r="Q416" s="13"/>
      <c r="R416" s="13"/>
      <c r="S416" s="13"/>
      <c r="T416" s="13"/>
      <c r="U416" s="13"/>
      <c r="V416" s="13"/>
      <c r="W416" s="13"/>
      <c r="X416" s="13"/>
      <c r="Y416" s="13"/>
    </row>
    <row r="417" spans="1:25" ht="15.75" customHeight="1" x14ac:dyDescent="0.25">
      <c r="A417" s="13"/>
      <c r="B417" s="13"/>
      <c r="C417" s="13"/>
      <c r="D417" s="13"/>
      <c r="E417" s="13"/>
      <c r="F417" s="13"/>
      <c r="G417" s="13"/>
      <c r="H417" s="13"/>
      <c r="I417" s="13"/>
      <c r="J417" s="13"/>
      <c r="K417" s="13"/>
      <c r="L417" s="13"/>
      <c r="M417" s="13"/>
      <c r="N417" s="13"/>
      <c r="O417" s="13"/>
      <c r="P417" s="13"/>
      <c r="Q417" s="13"/>
      <c r="R417" s="13"/>
      <c r="S417" s="13"/>
      <c r="T417" s="13"/>
      <c r="U417" s="13"/>
      <c r="V417" s="13"/>
      <c r="W417" s="13"/>
      <c r="X417" s="13"/>
      <c r="Y417" s="13"/>
    </row>
    <row r="418" spans="1:25" ht="15.75" customHeight="1" x14ac:dyDescent="0.25">
      <c r="A418" s="13"/>
      <c r="B418" s="13"/>
      <c r="C418" s="13"/>
      <c r="D418" s="13"/>
      <c r="E418" s="13"/>
      <c r="F418" s="13"/>
      <c r="G418" s="13"/>
      <c r="H418" s="13"/>
      <c r="I418" s="13"/>
      <c r="J418" s="13"/>
      <c r="K418" s="13"/>
      <c r="L418" s="13"/>
      <c r="M418" s="13"/>
      <c r="N418" s="13"/>
      <c r="O418" s="13"/>
      <c r="P418" s="13"/>
      <c r="Q418" s="13"/>
      <c r="R418" s="13"/>
      <c r="S418" s="13"/>
      <c r="T418" s="13"/>
      <c r="U418" s="13"/>
      <c r="V418" s="13"/>
      <c r="W418" s="13"/>
      <c r="X418" s="13"/>
      <c r="Y418" s="13"/>
    </row>
    <row r="419" spans="1:25" ht="15.75" customHeight="1" x14ac:dyDescent="0.25">
      <c r="A419" s="13"/>
      <c r="B419" s="13"/>
      <c r="C419" s="13"/>
      <c r="D419" s="13"/>
      <c r="E419" s="13"/>
      <c r="F419" s="13"/>
      <c r="G419" s="13"/>
      <c r="H419" s="13"/>
      <c r="I419" s="13"/>
      <c r="J419" s="13"/>
      <c r="K419" s="13"/>
      <c r="L419" s="13"/>
      <c r="M419" s="13"/>
      <c r="N419" s="13"/>
      <c r="O419" s="13"/>
      <c r="P419" s="13"/>
      <c r="Q419" s="13"/>
      <c r="R419" s="13"/>
      <c r="S419" s="13"/>
      <c r="T419" s="13"/>
      <c r="U419" s="13"/>
      <c r="V419" s="13"/>
      <c r="W419" s="13"/>
      <c r="X419" s="13"/>
      <c r="Y419" s="13"/>
    </row>
    <row r="420" spans="1:25" ht="15.75" customHeight="1" x14ac:dyDescent="0.25">
      <c r="A420" s="13"/>
      <c r="B420" s="13"/>
      <c r="C420" s="13"/>
      <c r="D420" s="13"/>
      <c r="E420" s="13"/>
      <c r="F420" s="13"/>
      <c r="G420" s="13"/>
      <c r="H420" s="13"/>
      <c r="I420" s="13"/>
      <c r="J420" s="13"/>
      <c r="K420" s="13"/>
      <c r="L420" s="13"/>
      <c r="M420" s="13"/>
      <c r="N420" s="13"/>
      <c r="O420" s="13"/>
      <c r="P420" s="13"/>
      <c r="Q420" s="13"/>
      <c r="R420" s="13"/>
      <c r="S420" s="13"/>
      <c r="T420" s="13"/>
      <c r="U420" s="13"/>
      <c r="V420" s="13"/>
      <c r="W420" s="13"/>
      <c r="X420" s="13"/>
      <c r="Y420" s="13"/>
    </row>
    <row r="421" spans="1:25" ht="15.75" customHeight="1" x14ac:dyDescent="0.25">
      <c r="A421" s="13"/>
      <c r="B421" s="13"/>
      <c r="C421" s="13"/>
      <c r="D421" s="13"/>
      <c r="E421" s="13"/>
      <c r="F421" s="13"/>
      <c r="G421" s="13"/>
      <c r="H421" s="13"/>
      <c r="I421" s="13"/>
      <c r="J421" s="13"/>
      <c r="K421" s="13"/>
      <c r="L421" s="13"/>
      <c r="M421" s="13"/>
      <c r="N421" s="13"/>
      <c r="O421" s="13"/>
      <c r="P421" s="13"/>
      <c r="Q421" s="13"/>
      <c r="R421" s="13"/>
      <c r="S421" s="13"/>
      <c r="T421" s="13"/>
      <c r="U421" s="13"/>
      <c r="V421" s="13"/>
      <c r="W421" s="13"/>
      <c r="X421" s="13"/>
      <c r="Y421" s="13"/>
    </row>
    <row r="422" spans="1:25" ht="15.75" customHeight="1" x14ac:dyDescent="0.25">
      <c r="A422" s="13"/>
      <c r="B422" s="13"/>
      <c r="C422" s="13"/>
      <c r="D422" s="13"/>
      <c r="E422" s="13"/>
      <c r="F422" s="13"/>
      <c r="G422" s="13"/>
      <c r="H422" s="13"/>
      <c r="I422" s="13"/>
      <c r="J422" s="13"/>
      <c r="K422" s="13"/>
      <c r="L422" s="13"/>
      <c r="M422" s="13"/>
      <c r="N422" s="13"/>
      <c r="O422" s="13"/>
      <c r="P422" s="13"/>
      <c r="Q422" s="13"/>
      <c r="R422" s="13"/>
      <c r="S422" s="13"/>
      <c r="T422" s="13"/>
      <c r="U422" s="13"/>
      <c r="V422" s="13"/>
      <c r="W422" s="13"/>
      <c r="X422" s="13"/>
      <c r="Y422" s="13"/>
    </row>
    <row r="423" spans="1:25" ht="15.75" customHeight="1" x14ac:dyDescent="0.25">
      <c r="A423" s="13"/>
      <c r="B423" s="13"/>
      <c r="C423" s="13"/>
      <c r="D423" s="13"/>
      <c r="E423" s="13"/>
      <c r="F423" s="13"/>
      <c r="G423" s="13"/>
      <c r="H423" s="13"/>
      <c r="I423" s="13"/>
      <c r="J423" s="13"/>
      <c r="K423" s="13"/>
      <c r="L423" s="13"/>
      <c r="M423" s="13"/>
      <c r="N423" s="13"/>
      <c r="O423" s="13"/>
      <c r="P423" s="13"/>
      <c r="Q423" s="13"/>
      <c r="R423" s="13"/>
      <c r="S423" s="13"/>
      <c r="T423" s="13"/>
      <c r="U423" s="13"/>
      <c r="V423" s="13"/>
      <c r="W423" s="13"/>
      <c r="X423" s="13"/>
      <c r="Y423" s="13"/>
    </row>
    <row r="424" spans="1:25" ht="15.75" customHeight="1" x14ac:dyDescent="0.25">
      <c r="A424" s="13"/>
      <c r="B424" s="13"/>
      <c r="C424" s="13"/>
      <c r="D424" s="13"/>
      <c r="E424" s="13"/>
      <c r="F424" s="13"/>
      <c r="G424" s="13"/>
      <c r="H424" s="13"/>
      <c r="I424" s="13"/>
      <c r="J424" s="13"/>
      <c r="K424" s="13"/>
      <c r="L424" s="13"/>
      <c r="M424" s="13"/>
      <c r="N424" s="13"/>
      <c r="O424" s="13"/>
      <c r="P424" s="13"/>
      <c r="Q424" s="13"/>
      <c r="R424" s="13"/>
      <c r="S424" s="13"/>
      <c r="T424" s="13"/>
      <c r="U424" s="13"/>
      <c r="V424" s="13"/>
      <c r="W424" s="13"/>
      <c r="X424" s="13"/>
      <c r="Y424" s="13"/>
    </row>
    <row r="425" spans="1:25" ht="15.75" customHeight="1" x14ac:dyDescent="0.25">
      <c r="A425" s="13"/>
      <c r="B425" s="13"/>
      <c r="C425" s="13"/>
      <c r="D425" s="13"/>
      <c r="E425" s="13"/>
      <c r="F425" s="13"/>
      <c r="G425" s="13"/>
      <c r="H425" s="13"/>
      <c r="I425" s="13"/>
      <c r="J425" s="13"/>
      <c r="K425" s="13"/>
      <c r="L425" s="13"/>
      <c r="M425" s="13"/>
      <c r="N425" s="13"/>
      <c r="O425" s="13"/>
      <c r="P425" s="13"/>
      <c r="Q425" s="13"/>
      <c r="R425" s="13"/>
      <c r="S425" s="13"/>
      <c r="T425" s="13"/>
      <c r="U425" s="13"/>
      <c r="V425" s="13"/>
      <c r="W425" s="13"/>
      <c r="X425" s="13"/>
      <c r="Y425" s="13"/>
    </row>
    <row r="426" spans="1:25" ht="15.75" customHeight="1" x14ac:dyDescent="0.25">
      <c r="A426" s="13"/>
      <c r="B426" s="13"/>
      <c r="C426" s="13"/>
      <c r="D426" s="13"/>
      <c r="E426" s="13"/>
      <c r="F426" s="13"/>
      <c r="G426" s="13"/>
      <c r="H426" s="13"/>
      <c r="I426" s="13"/>
      <c r="J426" s="13"/>
      <c r="K426" s="13"/>
      <c r="L426" s="13"/>
      <c r="M426" s="13"/>
      <c r="N426" s="13"/>
      <c r="O426" s="13"/>
      <c r="P426" s="13"/>
      <c r="Q426" s="13"/>
      <c r="R426" s="13"/>
      <c r="S426" s="13"/>
      <c r="T426" s="13"/>
      <c r="U426" s="13"/>
      <c r="V426" s="13"/>
      <c r="W426" s="13"/>
      <c r="X426" s="13"/>
      <c r="Y426" s="13"/>
    </row>
    <row r="427" spans="1:25" ht="15.75" customHeight="1" x14ac:dyDescent="0.25">
      <c r="A427" s="13"/>
      <c r="B427" s="13"/>
      <c r="C427" s="13"/>
      <c r="D427" s="13"/>
      <c r="E427" s="13"/>
      <c r="F427" s="13"/>
      <c r="G427" s="13"/>
      <c r="H427" s="13"/>
      <c r="I427" s="13"/>
      <c r="J427" s="13"/>
      <c r="K427" s="13"/>
      <c r="L427" s="13"/>
      <c r="M427" s="13"/>
      <c r="N427" s="13"/>
      <c r="O427" s="13"/>
      <c r="P427" s="13"/>
      <c r="Q427" s="13"/>
      <c r="R427" s="13"/>
      <c r="S427" s="13"/>
      <c r="T427" s="13"/>
      <c r="U427" s="13"/>
      <c r="V427" s="13"/>
      <c r="W427" s="13"/>
      <c r="X427" s="13"/>
      <c r="Y427" s="13"/>
    </row>
    <row r="428" spans="1:25" ht="15.75" customHeight="1" x14ac:dyDescent="0.25">
      <c r="A428" s="13"/>
      <c r="B428" s="13"/>
      <c r="C428" s="13"/>
      <c r="D428" s="13"/>
      <c r="E428" s="13"/>
      <c r="F428" s="13"/>
      <c r="G428" s="13"/>
      <c r="H428" s="13"/>
      <c r="I428" s="13"/>
      <c r="J428" s="13"/>
      <c r="K428" s="13"/>
      <c r="L428" s="13"/>
      <c r="M428" s="13"/>
      <c r="N428" s="13"/>
      <c r="O428" s="13"/>
      <c r="P428" s="13"/>
      <c r="Q428" s="13"/>
      <c r="R428" s="13"/>
      <c r="S428" s="13"/>
      <c r="T428" s="13"/>
      <c r="U428" s="13"/>
      <c r="V428" s="13"/>
      <c r="W428" s="13"/>
      <c r="X428" s="13"/>
      <c r="Y428" s="13"/>
    </row>
    <row r="429" spans="1:25" ht="15.75" customHeight="1" x14ac:dyDescent="0.25">
      <c r="A429" s="13"/>
      <c r="B429" s="13"/>
      <c r="C429" s="13"/>
      <c r="D429" s="13"/>
      <c r="E429" s="13"/>
      <c r="F429" s="13"/>
      <c r="G429" s="13"/>
      <c r="H429" s="13"/>
      <c r="I429" s="13"/>
      <c r="J429" s="13"/>
      <c r="K429" s="13"/>
      <c r="L429" s="13"/>
      <c r="M429" s="13"/>
      <c r="N429" s="13"/>
      <c r="O429" s="13"/>
      <c r="P429" s="13"/>
      <c r="Q429" s="13"/>
      <c r="R429" s="13"/>
      <c r="S429" s="13"/>
      <c r="T429" s="13"/>
      <c r="U429" s="13"/>
      <c r="V429" s="13"/>
      <c r="W429" s="13"/>
      <c r="X429" s="13"/>
      <c r="Y429" s="13"/>
    </row>
    <row r="430" spans="1:25" ht="15.75" customHeight="1" x14ac:dyDescent="0.25">
      <c r="A430" s="13"/>
      <c r="B430" s="13"/>
      <c r="C430" s="13"/>
      <c r="D430" s="13"/>
      <c r="E430" s="13"/>
      <c r="F430" s="13"/>
      <c r="G430" s="13"/>
      <c r="H430" s="13"/>
      <c r="I430" s="13"/>
      <c r="J430" s="13"/>
      <c r="K430" s="13"/>
      <c r="L430" s="13"/>
      <c r="M430" s="13"/>
      <c r="N430" s="13"/>
      <c r="O430" s="13"/>
      <c r="P430" s="13"/>
      <c r="Q430" s="13"/>
      <c r="R430" s="13"/>
      <c r="S430" s="13"/>
      <c r="T430" s="13"/>
      <c r="U430" s="13"/>
      <c r="V430" s="13"/>
      <c r="W430" s="13"/>
      <c r="X430" s="13"/>
      <c r="Y430" s="13"/>
    </row>
    <row r="431" spans="1:25" ht="15.75" customHeight="1" x14ac:dyDescent="0.25">
      <c r="A431" s="13"/>
      <c r="B431" s="13"/>
      <c r="C431" s="13"/>
      <c r="D431" s="13"/>
      <c r="E431" s="13"/>
      <c r="F431" s="13"/>
      <c r="G431" s="13"/>
      <c r="H431" s="13"/>
      <c r="I431" s="13"/>
      <c r="J431" s="13"/>
      <c r="K431" s="13"/>
      <c r="L431" s="13"/>
      <c r="M431" s="13"/>
      <c r="N431" s="13"/>
      <c r="O431" s="13"/>
      <c r="P431" s="13"/>
      <c r="Q431" s="13"/>
      <c r="R431" s="13"/>
      <c r="S431" s="13"/>
      <c r="T431" s="13"/>
      <c r="U431" s="13"/>
      <c r="V431" s="13"/>
      <c r="W431" s="13"/>
      <c r="X431" s="13"/>
      <c r="Y431" s="13"/>
    </row>
    <row r="432" spans="1:25" ht="15.75" customHeight="1" x14ac:dyDescent="0.25">
      <c r="A432" s="13"/>
      <c r="B432" s="13"/>
      <c r="C432" s="13"/>
      <c r="D432" s="13"/>
      <c r="E432" s="13"/>
      <c r="F432" s="13"/>
      <c r="G432" s="13"/>
      <c r="H432" s="13"/>
      <c r="I432" s="13"/>
      <c r="J432" s="13"/>
      <c r="K432" s="13"/>
      <c r="L432" s="13"/>
      <c r="M432" s="13"/>
      <c r="N432" s="13"/>
      <c r="O432" s="13"/>
      <c r="P432" s="13"/>
      <c r="Q432" s="13"/>
      <c r="R432" s="13"/>
      <c r="S432" s="13"/>
      <c r="T432" s="13"/>
      <c r="U432" s="13"/>
      <c r="V432" s="13"/>
      <c r="W432" s="13"/>
      <c r="X432" s="13"/>
      <c r="Y432" s="13"/>
    </row>
    <row r="433" spans="1:25" ht="15.75" customHeight="1" x14ac:dyDescent="0.25">
      <c r="A433" s="13"/>
      <c r="B433" s="13"/>
      <c r="C433" s="13"/>
      <c r="D433" s="13"/>
      <c r="E433" s="13"/>
      <c r="F433" s="13"/>
      <c r="G433" s="13"/>
      <c r="H433" s="13"/>
      <c r="I433" s="13"/>
      <c r="J433" s="13"/>
      <c r="K433" s="13"/>
      <c r="L433" s="13"/>
      <c r="M433" s="13"/>
      <c r="N433" s="13"/>
      <c r="O433" s="13"/>
      <c r="P433" s="13"/>
      <c r="Q433" s="13"/>
      <c r="R433" s="13"/>
      <c r="S433" s="13"/>
      <c r="T433" s="13"/>
      <c r="U433" s="13"/>
      <c r="V433" s="13"/>
      <c r="W433" s="13"/>
      <c r="X433" s="13"/>
      <c r="Y433" s="13"/>
    </row>
    <row r="434" spans="1:25" ht="15.75" customHeight="1" x14ac:dyDescent="0.25">
      <c r="A434" s="13"/>
      <c r="B434" s="13"/>
      <c r="C434" s="13"/>
      <c r="D434" s="13"/>
      <c r="E434" s="13"/>
      <c r="F434" s="13"/>
      <c r="G434" s="13"/>
      <c r="H434" s="13"/>
      <c r="I434" s="13"/>
      <c r="J434" s="13"/>
      <c r="K434" s="13"/>
      <c r="L434" s="13"/>
      <c r="M434" s="13"/>
      <c r="N434" s="13"/>
      <c r="O434" s="13"/>
      <c r="P434" s="13"/>
      <c r="Q434" s="13"/>
      <c r="R434" s="13"/>
      <c r="S434" s="13"/>
      <c r="T434" s="13"/>
      <c r="U434" s="13"/>
      <c r="V434" s="13"/>
      <c r="W434" s="13"/>
      <c r="X434" s="13"/>
      <c r="Y434" s="13"/>
    </row>
    <row r="435" spans="1:25" ht="15.75" customHeight="1" x14ac:dyDescent="0.25">
      <c r="A435" s="13"/>
      <c r="B435" s="13"/>
      <c r="C435" s="13"/>
      <c r="D435" s="13"/>
      <c r="E435" s="13"/>
      <c r="F435" s="13"/>
      <c r="G435" s="13"/>
      <c r="H435" s="13"/>
      <c r="I435" s="13"/>
      <c r="J435" s="13"/>
      <c r="K435" s="13"/>
      <c r="L435" s="13"/>
      <c r="M435" s="13"/>
      <c r="N435" s="13"/>
      <c r="O435" s="13"/>
      <c r="P435" s="13"/>
      <c r="Q435" s="13"/>
      <c r="R435" s="13"/>
      <c r="S435" s="13"/>
      <c r="T435" s="13"/>
      <c r="U435" s="13"/>
      <c r="V435" s="13"/>
      <c r="W435" s="13"/>
      <c r="X435" s="13"/>
      <c r="Y435" s="13"/>
    </row>
    <row r="436" spans="1:25" ht="15.75" customHeight="1" x14ac:dyDescent="0.25">
      <c r="A436" s="13"/>
      <c r="B436" s="13"/>
      <c r="C436" s="13"/>
      <c r="D436" s="13"/>
      <c r="E436" s="13"/>
      <c r="F436" s="13"/>
      <c r="G436" s="13"/>
      <c r="H436" s="13"/>
      <c r="I436" s="13"/>
      <c r="J436" s="13"/>
      <c r="K436" s="13"/>
      <c r="L436" s="13"/>
      <c r="M436" s="13"/>
      <c r="N436" s="13"/>
      <c r="O436" s="13"/>
      <c r="P436" s="13"/>
      <c r="Q436" s="13"/>
      <c r="R436" s="13"/>
      <c r="S436" s="13"/>
      <c r="T436" s="13"/>
      <c r="U436" s="13"/>
      <c r="V436" s="13"/>
      <c r="W436" s="13"/>
      <c r="X436" s="13"/>
      <c r="Y436" s="13"/>
    </row>
    <row r="437" spans="1:25" ht="15.75" customHeight="1" x14ac:dyDescent="0.25">
      <c r="A437" s="13"/>
      <c r="B437" s="13"/>
      <c r="C437" s="13"/>
      <c r="D437" s="13"/>
      <c r="E437" s="13"/>
      <c r="F437" s="13"/>
      <c r="G437" s="13"/>
      <c r="H437" s="13"/>
      <c r="I437" s="13"/>
      <c r="J437" s="13"/>
      <c r="K437" s="13"/>
      <c r="L437" s="13"/>
      <c r="M437" s="13"/>
      <c r="N437" s="13"/>
      <c r="O437" s="13"/>
      <c r="P437" s="13"/>
      <c r="Q437" s="13"/>
      <c r="R437" s="13"/>
      <c r="S437" s="13"/>
      <c r="T437" s="13"/>
      <c r="U437" s="13"/>
      <c r="V437" s="13"/>
      <c r="W437" s="13"/>
      <c r="X437" s="13"/>
      <c r="Y437" s="13"/>
    </row>
    <row r="438" spans="1:25" ht="15.75" customHeight="1" x14ac:dyDescent="0.25">
      <c r="A438" s="13"/>
      <c r="B438" s="13"/>
      <c r="C438" s="13"/>
      <c r="D438" s="13"/>
      <c r="E438" s="13"/>
      <c r="F438" s="13"/>
      <c r="G438" s="13"/>
      <c r="H438" s="13"/>
      <c r="I438" s="13"/>
      <c r="J438" s="13"/>
      <c r="K438" s="13"/>
      <c r="L438" s="13"/>
      <c r="M438" s="13"/>
      <c r="N438" s="13"/>
      <c r="O438" s="13"/>
      <c r="P438" s="13"/>
      <c r="Q438" s="13"/>
      <c r="R438" s="13"/>
      <c r="S438" s="13"/>
      <c r="T438" s="13"/>
      <c r="U438" s="13"/>
      <c r="V438" s="13"/>
      <c r="W438" s="13"/>
      <c r="X438" s="13"/>
      <c r="Y438" s="13"/>
    </row>
    <row r="439" spans="1:25" ht="15.75" customHeight="1" x14ac:dyDescent="0.25">
      <c r="A439" s="13"/>
      <c r="B439" s="13"/>
      <c r="C439" s="13"/>
      <c r="D439" s="13"/>
      <c r="E439" s="13"/>
      <c r="F439" s="13"/>
      <c r="G439" s="13"/>
      <c r="H439" s="13"/>
      <c r="I439" s="13"/>
      <c r="J439" s="13"/>
      <c r="K439" s="13"/>
      <c r="L439" s="13"/>
      <c r="M439" s="13"/>
      <c r="N439" s="13"/>
      <c r="O439" s="13"/>
      <c r="P439" s="13"/>
      <c r="Q439" s="13"/>
      <c r="R439" s="13"/>
      <c r="S439" s="13"/>
      <c r="T439" s="13"/>
      <c r="U439" s="13"/>
      <c r="V439" s="13"/>
      <c r="W439" s="13"/>
      <c r="X439" s="13"/>
      <c r="Y439" s="13"/>
    </row>
    <row r="440" spans="1:25" ht="15.75" customHeight="1" x14ac:dyDescent="0.25">
      <c r="A440" s="13"/>
      <c r="B440" s="13"/>
      <c r="C440" s="13"/>
      <c r="D440" s="13"/>
      <c r="E440" s="13"/>
      <c r="F440" s="13"/>
      <c r="G440" s="13"/>
      <c r="H440" s="13"/>
      <c r="I440" s="13"/>
      <c r="J440" s="13"/>
      <c r="K440" s="13"/>
      <c r="L440" s="13"/>
      <c r="M440" s="13"/>
      <c r="N440" s="13"/>
      <c r="O440" s="13"/>
      <c r="P440" s="13"/>
      <c r="Q440" s="13"/>
      <c r="R440" s="13"/>
      <c r="S440" s="13"/>
      <c r="T440" s="13"/>
      <c r="U440" s="13"/>
      <c r="V440" s="13"/>
      <c r="W440" s="13"/>
      <c r="X440" s="13"/>
      <c r="Y440" s="13"/>
    </row>
    <row r="441" spans="1:25" ht="15.75" customHeight="1" x14ac:dyDescent="0.25">
      <c r="A441" s="13"/>
      <c r="B441" s="13"/>
      <c r="C441" s="13"/>
      <c r="D441" s="13"/>
      <c r="E441" s="13"/>
      <c r="F441" s="13"/>
      <c r="G441" s="13"/>
      <c r="H441" s="13"/>
      <c r="I441" s="13"/>
      <c r="J441" s="13"/>
      <c r="K441" s="13"/>
      <c r="L441" s="13"/>
      <c r="M441" s="13"/>
      <c r="N441" s="13"/>
      <c r="O441" s="13"/>
      <c r="P441" s="13"/>
      <c r="Q441" s="13"/>
      <c r="R441" s="13"/>
      <c r="S441" s="13"/>
      <c r="T441" s="13"/>
      <c r="U441" s="13"/>
      <c r="V441" s="13"/>
      <c r="W441" s="13"/>
      <c r="X441" s="13"/>
      <c r="Y441" s="13"/>
    </row>
    <row r="442" spans="1:25" ht="15.75" customHeight="1" x14ac:dyDescent="0.25">
      <c r="A442" s="13"/>
      <c r="B442" s="13"/>
      <c r="C442" s="13"/>
      <c r="D442" s="13"/>
      <c r="E442" s="13"/>
      <c r="F442" s="13"/>
      <c r="G442" s="13"/>
      <c r="H442" s="13"/>
      <c r="I442" s="13"/>
      <c r="J442" s="13"/>
      <c r="K442" s="13"/>
      <c r="L442" s="13"/>
      <c r="M442" s="13"/>
      <c r="N442" s="13"/>
      <c r="O442" s="13"/>
      <c r="P442" s="13"/>
      <c r="Q442" s="13"/>
      <c r="R442" s="13"/>
      <c r="S442" s="13"/>
      <c r="T442" s="13"/>
      <c r="U442" s="13"/>
      <c r="V442" s="13"/>
      <c r="W442" s="13"/>
      <c r="X442" s="13"/>
      <c r="Y442" s="13"/>
    </row>
    <row r="443" spans="1:25" ht="15.75" customHeight="1" x14ac:dyDescent="0.25">
      <c r="A443" s="13"/>
      <c r="B443" s="13"/>
      <c r="C443" s="13"/>
      <c r="D443" s="13"/>
      <c r="E443" s="13"/>
      <c r="F443" s="13"/>
      <c r="G443" s="13"/>
      <c r="H443" s="13"/>
      <c r="I443" s="13"/>
      <c r="J443" s="13"/>
      <c r="K443" s="13"/>
      <c r="L443" s="13"/>
      <c r="M443" s="13"/>
      <c r="N443" s="13"/>
      <c r="O443" s="13"/>
      <c r="P443" s="13"/>
      <c r="Q443" s="13"/>
      <c r="R443" s="13"/>
      <c r="S443" s="13"/>
      <c r="T443" s="13"/>
      <c r="U443" s="13"/>
      <c r="V443" s="13"/>
      <c r="W443" s="13"/>
      <c r="X443" s="13"/>
      <c r="Y443" s="13"/>
    </row>
    <row r="444" spans="1:25" ht="15.75" customHeight="1" x14ac:dyDescent="0.25">
      <c r="A444" s="13"/>
      <c r="B444" s="13"/>
      <c r="C444" s="13"/>
      <c r="D444" s="13"/>
      <c r="E444" s="13"/>
      <c r="F444" s="13"/>
      <c r="G444" s="13"/>
      <c r="H444" s="13"/>
      <c r="I444" s="13"/>
      <c r="J444" s="13"/>
      <c r="K444" s="13"/>
      <c r="L444" s="13"/>
      <c r="M444" s="13"/>
      <c r="N444" s="13"/>
      <c r="O444" s="13"/>
      <c r="P444" s="13"/>
      <c r="Q444" s="13"/>
      <c r="R444" s="13"/>
      <c r="S444" s="13"/>
      <c r="T444" s="13"/>
      <c r="U444" s="13"/>
      <c r="V444" s="13"/>
      <c r="W444" s="13"/>
      <c r="X444" s="13"/>
      <c r="Y444" s="13"/>
    </row>
    <row r="445" spans="1:25" ht="15.75" customHeight="1" x14ac:dyDescent="0.25">
      <c r="A445" s="13"/>
      <c r="B445" s="13"/>
      <c r="C445" s="13"/>
      <c r="D445" s="13"/>
      <c r="E445" s="13"/>
      <c r="F445" s="13"/>
      <c r="G445" s="13"/>
      <c r="H445" s="13"/>
      <c r="I445" s="13"/>
      <c r="J445" s="13"/>
      <c r="K445" s="13"/>
      <c r="L445" s="13"/>
      <c r="M445" s="13"/>
      <c r="N445" s="13"/>
      <c r="O445" s="13"/>
      <c r="P445" s="13"/>
      <c r="Q445" s="13"/>
      <c r="R445" s="13"/>
      <c r="S445" s="13"/>
      <c r="T445" s="13"/>
      <c r="U445" s="13"/>
      <c r="V445" s="13"/>
      <c r="W445" s="13"/>
      <c r="X445" s="13"/>
      <c r="Y445" s="13"/>
    </row>
    <row r="446" spans="1:25" ht="15.75" customHeight="1" x14ac:dyDescent="0.25">
      <c r="A446" s="13"/>
      <c r="B446" s="13"/>
      <c r="C446" s="13"/>
      <c r="D446" s="13"/>
      <c r="E446" s="13"/>
      <c r="F446" s="13"/>
      <c r="G446" s="13"/>
      <c r="H446" s="13"/>
      <c r="I446" s="13"/>
      <c r="J446" s="13"/>
      <c r="K446" s="13"/>
      <c r="L446" s="13"/>
      <c r="M446" s="13"/>
      <c r="N446" s="13"/>
      <c r="O446" s="13"/>
      <c r="P446" s="13"/>
      <c r="Q446" s="13"/>
      <c r="R446" s="13"/>
      <c r="S446" s="13"/>
      <c r="T446" s="13"/>
      <c r="U446" s="13"/>
      <c r="V446" s="13"/>
      <c r="W446" s="13"/>
      <c r="X446" s="13"/>
      <c r="Y446" s="13"/>
    </row>
    <row r="447" spans="1:25" ht="15.75" customHeight="1" x14ac:dyDescent="0.25">
      <c r="A447" s="13"/>
      <c r="B447" s="13"/>
      <c r="C447" s="13"/>
      <c r="D447" s="13"/>
      <c r="E447" s="13"/>
      <c r="F447" s="13"/>
      <c r="G447" s="13"/>
      <c r="H447" s="13"/>
      <c r="I447" s="13"/>
      <c r="J447" s="13"/>
      <c r="K447" s="13"/>
      <c r="L447" s="13"/>
      <c r="M447" s="13"/>
      <c r="N447" s="13"/>
      <c r="O447" s="13"/>
      <c r="P447" s="13"/>
      <c r="Q447" s="13"/>
      <c r="R447" s="13"/>
      <c r="S447" s="13"/>
      <c r="T447" s="13"/>
      <c r="U447" s="13"/>
      <c r="V447" s="13"/>
      <c r="W447" s="13"/>
      <c r="X447" s="13"/>
      <c r="Y447" s="13"/>
    </row>
    <row r="448" spans="1:25" ht="15.75" customHeight="1" x14ac:dyDescent="0.25">
      <c r="A448" s="13"/>
      <c r="B448" s="13"/>
      <c r="C448" s="13"/>
      <c r="D448" s="13"/>
      <c r="E448" s="13"/>
      <c r="F448" s="13"/>
      <c r="G448" s="13"/>
      <c r="H448" s="13"/>
      <c r="I448" s="13"/>
      <c r="J448" s="13"/>
      <c r="K448" s="13"/>
      <c r="L448" s="13"/>
      <c r="M448" s="13"/>
      <c r="N448" s="13"/>
      <c r="O448" s="13"/>
      <c r="P448" s="13"/>
      <c r="Q448" s="13"/>
      <c r="R448" s="13"/>
      <c r="S448" s="13"/>
      <c r="T448" s="13"/>
      <c r="U448" s="13"/>
      <c r="V448" s="13"/>
      <c r="W448" s="13"/>
      <c r="X448" s="13"/>
      <c r="Y448" s="13"/>
    </row>
    <row r="449" spans="1:25" ht="15.75" customHeight="1" x14ac:dyDescent="0.25">
      <c r="A449" s="13"/>
      <c r="B449" s="13"/>
      <c r="C449" s="13"/>
      <c r="D449" s="13"/>
      <c r="E449" s="13"/>
      <c r="F449" s="13"/>
      <c r="G449" s="13"/>
      <c r="H449" s="13"/>
      <c r="I449" s="13"/>
      <c r="J449" s="13"/>
      <c r="K449" s="13"/>
      <c r="L449" s="13"/>
      <c r="M449" s="13"/>
      <c r="N449" s="13"/>
      <c r="O449" s="13"/>
      <c r="P449" s="13"/>
      <c r="Q449" s="13"/>
      <c r="R449" s="13"/>
      <c r="S449" s="13"/>
      <c r="T449" s="13"/>
      <c r="U449" s="13"/>
      <c r="V449" s="13"/>
      <c r="W449" s="13"/>
      <c r="X449" s="13"/>
      <c r="Y449" s="13"/>
    </row>
    <row r="450" spans="1:25" ht="15.75" customHeight="1" x14ac:dyDescent="0.25">
      <c r="A450" s="13"/>
      <c r="B450" s="13"/>
      <c r="C450" s="13"/>
      <c r="D450" s="13"/>
      <c r="E450" s="13"/>
      <c r="F450" s="13"/>
      <c r="G450" s="13"/>
      <c r="H450" s="13"/>
      <c r="I450" s="13"/>
      <c r="J450" s="13"/>
      <c r="K450" s="13"/>
      <c r="L450" s="13"/>
      <c r="M450" s="13"/>
      <c r="N450" s="13"/>
      <c r="O450" s="13"/>
      <c r="P450" s="13"/>
      <c r="Q450" s="13"/>
      <c r="R450" s="13"/>
      <c r="S450" s="13"/>
      <c r="T450" s="13"/>
      <c r="U450" s="13"/>
      <c r="V450" s="13"/>
      <c r="W450" s="13"/>
      <c r="X450" s="13"/>
      <c r="Y450" s="13"/>
    </row>
    <row r="451" spans="1:25" ht="15.75" customHeight="1" x14ac:dyDescent="0.25">
      <c r="A451" s="13"/>
      <c r="B451" s="13"/>
      <c r="C451" s="13"/>
      <c r="D451" s="13"/>
      <c r="E451" s="13"/>
      <c r="F451" s="13"/>
      <c r="G451" s="13"/>
      <c r="H451" s="13"/>
      <c r="I451" s="13"/>
      <c r="J451" s="13"/>
      <c r="K451" s="13"/>
      <c r="L451" s="13"/>
      <c r="M451" s="13"/>
      <c r="N451" s="13"/>
      <c r="O451" s="13"/>
      <c r="P451" s="13"/>
      <c r="Q451" s="13"/>
      <c r="R451" s="13"/>
      <c r="S451" s="13"/>
      <c r="T451" s="13"/>
      <c r="U451" s="13"/>
      <c r="V451" s="13"/>
      <c r="W451" s="13"/>
      <c r="X451" s="13"/>
      <c r="Y451" s="13"/>
    </row>
    <row r="452" spans="1:25" ht="15.75" customHeight="1" x14ac:dyDescent="0.25">
      <c r="A452" s="13"/>
      <c r="B452" s="13"/>
      <c r="C452" s="13"/>
      <c r="D452" s="13"/>
      <c r="E452" s="13"/>
      <c r="F452" s="13"/>
      <c r="G452" s="13"/>
      <c r="H452" s="13"/>
      <c r="I452" s="13"/>
      <c r="J452" s="13"/>
      <c r="K452" s="13"/>
      <c r="L452" s="13"/>
      <c r="M452" s="13"/>
      <c r="N452" s="13"/>
      <c r="O452" s="13"/>
      <c r="P452" s="13"/>
      <c r="Q452" s="13"/>
      <c r="R452" s="13"/>
      <c r="S452" s="13"/>
      <c r="T452" s="13"/>
      <c r="U452" s="13"/>
      <c r="V452" s="13"/>
      <c r="W452" s="13"/>
      <c r="X452" s="13"/>
      <c r="Y452" s="13"/>
    </row>
    <row r="453" spans="1:25" ht="15.75" customHeight="1" x14ac:dyDescent="0.25">
      <c r="A453" s="13"/>
      <c r="B453" s="13"/>
      <c r="C453" s="13"/>
      <c r="D453" s="13"/>
      <c r="E453" s="13"/>
      <c r="F453" s="13"/>
      <c r="G453" s="13"/>
      <c r="H453" s="13"/>
      <c r="I453" s="13"/>
      <c r="J453" s="13"/>
      <c r="K453" s="13"/>
      <c r="L453" s="13"/>
      <c r="M453" s="13"/>
      <c r="N453" s="13"/>
      <c r="O453" s="13"/>
      <c r="P453" s="13"/>
      <c r="Q453" s="13"/>
      <c r="R453" s="13"/>
      <c r="S453" s="13"/>
      <c r="T453" s="13"/>
      <c r="U453" s="13"/>
      <c r="V453" s="13"/>
      <c r="W453" s="13"/>
      <c r="X453" s="13"/>
      <c r="Y453" s="13"/>
    </row>
    <row r="454" spans="1:25" ht="15.75" customHeight="1" x14ac:dyDescent="0.25">
      <c r="A454" s="13"/>
      <c r="B454" s="13"/>
      <c r="C454" s="13"/>
      <c r="D454" s="13"/>
      <c r="E454" s="13"/>
      <c r="F454" s="13"/>
      <c r="G454" s="13"/>
      <c r="H454" s="13"/>
      <c r="I454" s="13"/>
      <c r="J454" s="13"/>
      <c r="K454" s="13"/>
      <c r="L454" s="13"/>
      <c r="M454" s="13"/>
      <c r="N454" s="13"/>
      <c r="O454" s="13"/>
      <c r="P454" s="13"/>
      <c r="Q454" s="13"/>
      <c r="R454" s="13"/>
      <c r="S454" s="13"/>
      <c r="T454" s="13"/>
      <c r="U454" s="13"/>
      <c r="V454" s="13"/>
      <c r="W454" s="13"/>
      <c r="X454" s="13"/>
      <c r="Y454" s="13"/>
    </row>
    <row r="455" spans="1:25" ht="15.75" customHeight="1" x14ac:dyDescent="0.25">
      <c r="A455" s="13"/>
      <c r="B455" s="13"/>
      <c r="C455" s="13"/>
      <c r="D455" s="13"/>
      <c r="E455" s="13"/>
      <c r="F455" s="13"/>
      <c r="G455" s="13"/>
      <c r="H455" s="13"/>
      <c r="I455" s="13"/>
      <c r="J455" s="13"/>
      <c r="K455" s="13"/>
      <c r="L455" s="13"/>
      <c r="M455" s="13"/>
      <c r="N455" s="13"/>
      <c r="O455" s="13"/>
      <c r="P455" s="13"/>
      <c r="Q455" s="13"/>
      <c r="R455" s="13"/>
      <c r="S455" s="13"/>
      <c r="T455" s="13"/>
      <c r="U455" s="13"/>
      <c r="V455" s="13"/>
      <c r="W455" s="13"/>
      <c r="X455" s="13"/>
      <c r="Y455" s="13"/>
    </row>
    <row r="456" spans="1:25" ht="15.75" customHeight="1" x14ac:dyDescent="0.25">
      <c r="A456" s="13"/>
      <c r="B456" s="13"/>
      <c r="C456" s="13"/>
      <c r="D456" s="13"/>
      <c r="E456" s="13"/>
      <c r="F456" s="13"/>
      <c r="G456" s="13"/>
      <c r="H456" s="13"/>
      <c r="I456" s="13"/>
      <c r="J456" s="13"/>
      <c r="K456" s="13"/>
      <c r="L456" s="13"/>
      <c r="M456" s="13"/>
      <c r="N456" s="13"/>
      <c r="O456" s="13"/>
      <c r="P456" s="13"/>
      <c r="Q456" s="13"/>
      <c r="R456" s="13"/>
      <c r="S456" s="13"/>
      <c r="T456" s="13"/>
      <c r="U456" s="13"/>
      <c r="V456" s="13"/>
      <c r="W456" s="13"/>
      <c r="X456" s="13"/>
      <c r="Y456" s="13"/>
    </row>
    <row r="457" spans="1:25" ht="15.75" customHeight="1" x14ac:dyDescent="0.25">
      <c r="A457" s="13"/>
      <c r="B457" s="13"/>
      <c r="C457" s="13"/>
      <c r="D457" s="13"/>
      <c r="E457" s="13"/>
      <c r="F457" s="13"/>
      <c r="G457" s="13"/>
      <c r="H457" s="13"/>
      <c r="I457" s="13"/>
      <c r="J457" s="13"/>
      <c r="K457" s="13"/>
      <c r="L457" s="13"/>
      <c r="M457" s="13"/>
      <c r="N457" s="13"/>
      <c r="O457" s="13"/>
      <c r="P457" s="13"/>
      <c r="Q457" s="13"/>
      <c r="R457" s="13"/>
      <c r="S457" s="13"/>
      <c r="T457" s="13"/>
      <c r="U457" s="13"/>
      <c r="V457" s="13"/>
      <c r="W457" s="13"/>
      <c r="X457" s="13"/>
      <c r="Y457" s="13"/>
    </row>
    <row r="458" spans="1:25" ht="15.75" customHeight="1" x14ac:dyDescent="0.25">
      <c r="A458" s="13"/>
      <c r="B458" s="13"/>
      <c r="C458" s="13"/>
      <c r="D458" s="13"/>
      <c r="E458" s="13"/>
      <c r="F458" s="13"/>
      <c r="G458" s="13"/>
      <c r="H458" s="13"/>
      <c r="I458" s="13"/>
      <c r="J458" s="13"/>
      <c r="K458" s="13"/>
      <c r="L458" s="13"/>
      <c r="M458" s="13"/>
      <c r="N458" s="13"/>
      <c r="O458" s="13"/>
      <c r="P458" s="13"/>
      <c r="Q458" s="13"/>
      <c r="R458" s="13"/>
      <c r="S458" s="13"/>
      <c r="T458" s="13"/>
      <c r="U458" s="13"/>
      <c r="V458" s="13"/>
      <c r="W458" s="13"/>
      <c r="X458" s="13"/>
      <c r="Y458" s="13"/>
    </row>
    <row r="459" spans="1:25" ht="15.75" customHeight="1" x14ac:dyDescent="0.25">
      <c r="A459" s="13"/>
      <c r="B459" s="13"/>
      <c r="C459" s="13"/>
      <c r="D459" s="13"/>
      <c r="E459" s="13"/>
      <c r="F459" s="13"/>
      <c r="G459" s="13"/>
      <c r="H459" s="13"/>
      <c r="I459" s="13"/>
      <c r="J459" s="13"/>
      <c r="K459" s="13"/>
      <c r="L459" s="13"/>
      <c r="M459" s="13"/>
      <c r="N459" s="13"/>
      <c r="O459" s="13"/>
      <c r="P459" s="13"/>
      <c r="Q459" s="13"/>
      <c r="R459" s="13"/>
      <c r="S459" s="13"/>
      <c r="T459" s="13"/>
      <c r="U459" s="13"/>
      <c r="V459" s="13"/>
      <c r="W459" s="13"/>
      <c r="X459" s="13"/>
      <c r="Y459" s="13"/>
    </row>
    <row r="460" spans="1:25" ht="15.75" customHeight="1" x14ac:dyDescent="0.25">
      <c r="A460" s="13"/>
      <c r="B460" s="13"/>
      <c r="C460" s="13"/>
      <c r="D460" s="13"/>
      <c r="E460" s="13"/>
      <c r="F460" s="13"/>
      <c r="G460" s="13"/>
      <c r="H460" s="13"/>
      <c r="I460" s="13"/>
      <c r="J460" s="13"/>
      <c r="K460" s="13"/>
      <c r="L460" s="13"/>
      <c r="M460" s="13"/>
      <c r="N460" s="13"/>
      <c r="O460" s="13"/>
      <c r="P460" s="13"/>
      <c r="Q460" s="13"/>
      <c r="R460" s="13"/>
      <c r="S460" s="13"/>
      <c r="T460" s="13"/>
      <c r="U460" s="13"/>
      <c r="V460" s="13"/>
      <c r="W460" s="13"/>
      <c r="X460" s="13"/>
      <c r="Y460" s="13"/>
    </row>
    <row r="461" spans="1:25" ht="15.75" customHeight="1" x14ac:dyDescent="0.25">
      <c r="A461" s="13"/>
      <c r="B461" s="13"/>
      <c r="C461" s="13"/>
      <c r="D461" s="13"/>
      <c r="E461" s="13"/>
      <c r="F461" s="13"/>
      <c r="G461" s="13"/>
      <c r="H461" s="13"/>
      <c r="I461" s="13"/>
      <c r="J461" s="13"/>
      <c r="K461" s="13"/>
      <c r="L461" s="13"/>
      <c r="M461" s="13"/>
      <c r="N461" s="13"/>
      <c r="O461" s="13"/>
      <c r="P461" s="13"/>
      <c r="Q461" s="13"/>
      <c r="R461" s="13"/>
      <c r="S461" s="13"/>
      <c r="T461" s="13"/>
      <c r="U461" s="13"/>
      <c r="V461" s="13"/>
      <c r="W461" s="13"/>
      <c r="X461" s="13"/>
      <c r="Y461" s="13"/>
    </row>
    <row r="462" spans="1:25" ht="15.75" customHeight="1" x14ac:dyDescent="0.25">
      <c r="A462" s="13"/>
      <c r="B462" s="13"/>
      <c r="C462" s="13"/>
      <c r="D462" s="13"/>
      <c r="E462" s="13"/>
      <c r="F462" s="13"/>
      <c r="G462" s="13"/>
      <c r="H462" s="13"/>
      <c r="I462" s="13"/>
      <c r="J462" s="13"/>
      <c r="K462" s="13"/>
      <c r="L462" s="13"/>
      <c r="M462" s="13"/>
      <c r="N462" s="13"/>
      <c r="O462" s="13"/>
      <c r="P462" s="13"/>
      <c r="Q462" s="13"/>
      <c r="R462" s="13"/>
      <c r="S462" s="13"/>
      <c r="T462" s="13"/>
      <c r="U462" s="13"/>
      <c r="V462" s="13"/>
      <c r="W462" s="13"/>
      <c r="X462" s="13"/>
      <c r="Y462" s="13"/>
    </row>
    <row r="463" spans="1:25" ht="15.75" customHeight="1" x14ac:dyDescent="0.25">
      <c r="A463" s="13"/>
      <c r="B463" s="13"/>
      <c r="C463" s="13"/>
      <c r="D463" s="13"/>
      <c r="E463" s="13"/>
      <c r="F463" s="13"/>
      <c r="G463" s="13"/>
      <c r="H463" s="13"/>
      <c r="I463" s="13"/>
      <c r="J463" s="13"/>
      <c r="K463" s="13"/>
      <c r="L463" s="13"/>
      <c r="M463" s="13"/>
      <c r="N463" s="13"/>
      <c r="O463" s="13"/>
      <c r="P463" s="13"/>
      <c r="Q463" s="13"/>
      <c r="R463" s="13"/>
      <c r="S463" s="13"/>
      <c r="T463" s="13"/>
      <c r="U463" s="13"/>
      <c r="V463" s="13"/>
      <c r="W463" s="13"/>
      <c r="X463" s="13"/>
      <c r="Y463" s="13"/>
    </row>
    <row r="464" spans="1:25" ht="15.75" customHeight="1" x14ac:dyDescent="0.25">
      <c r="A464" s="13"/>
      <c r="B464" s="13"/>
      <c r="C464" s="13"/>
      <c r="D464" s="13"/>
      <c r="E464" s="13"/>
      <c r="F464" s="13"/>
      <c r="G464" s="13"/>
      <c r="H464" s="13"/>
      <c r="I464" s="13"/>
      <c r="J464" s="13"/>
      <c r="K464" s="13"/>
      <c r="L464" s="13"/>
      <c r="M464" s="13"/>
      <c r="N464" s="13"/>
      <c r="O464" s="13"/>
      <c r="P464" s="13"/>
      <c r="Q464" s="13"/>
      <c r="R464" s="13"/>
      <c r="S464" s="13"/>
      <c r="T464" s="13"/>
      <c r="U464" s="13"/>
      <c r="V464" s="13"/>
      <c r="W464" s="13"/>
      <c r="X464" s="13"/>
      <c r="Y464" s="13"/>
    </row>
    <row r="465" spans="1:25" ht="15.75" customHeight="1" x14ac:dyDescent="0.25">
      <c r="A465" s="13"/>
      <c r="B465" s="13"/>
      <c r="C465" s="13"/>
      <c r="D465" s="13"/>
      <c r="E465" s="13"/>
      <c r="F465" s="13"/>
      <c r="G465" s="13"/>
      <c r="H465" s="13"/>
      <c r="I465" s="13"/>
      <c r="J465" s="13"/>
      <c r="K465" s="13"/>
      <c r="L465" s="13"/>
      <c r="M465" s="13"/>
      <c r="N465" s="13"/>
      <c r="O465" s="13"/>
      <c r="P465" s="13"/>
      <c r="Q465" s="13"/>
      <c r="R465" s="13"/>
      <c r="S465" s="13"/>
      <c r="T465" s="13"/>
      <c r="U465" s="13"/>
      <c r="V465" s="13"/>
      <c r="W465" s="13"/>
      <c r="X465" s="13"/>
      <c r="Y465" s="13"/>
    </row>
    <row r="466" spans="1:25" ht="15.75" customHeight="1" x14ac:dyDescent="0.25">
      <c r="A466" s="13"/>
      <c r="B466" s="13"/>
      <c r="C466" s="13"/>
      <c r="D466" s="13"/>
      <c r="E466" s="13"/>
      <c r="F466" s="13"/>
      <c r="G466" s="13"/>
      <c r="H466" s="13"/>
      <c r="I466" s="13"/>
      <c r="J466" s="13"/>
      <c r="K466" s="13"/>
      <c r="L466" s="13"/>
      <c r="M466" s="13"/>
      <c r="N466" s="13"/>
      <c r="O466" s="13"/>
      <c r="P466" s="13"/>
      <c r="Q466" s="13"/>
      <c r="R466" s="13"/>
      <c r="S466" s="13"/>
      <c r="T466" s="13"/>
      <c r="U466" s="13"/>
      <c r="V466" s="13"/>
      <c r="W466" s="13"/>
      <c r="X466" s="13"/>
      <c r="Y466" s="13"/>
    </row>
    <row r="467" spans="1:25" ht="15.75" customHeight="1" x14ac:dyDescent="0.25">
      <c r="A467" s="13"/>
      <c r="B467" s="13"/>
      <c r="C467" s="13"/>
      <c r="D467" s="13"/>
      <c r="E467" s="13"/>
      <c r="F467" s="13"/>
      <c r="G467" s="13"/>
      <c r="H467" s="13"/>
      <c r="I467" s="13"/>
      <c r="J467" s="13"/>
      <c r="K467" s="13"/>
      <c r="L467" s="13"/>
      <c r="M467" s="13"/>
      <c r="N467" s="13"/>
      <c r="O467" s="13"/>
      <c r="P467" s="13"/>
      <c r="Q467" s="13"/>
      <c r="R467" s="13"/>
      <c r="S467" s="13"/>
      <c r="T467" s="13"/>
      <c r="U467" s="13"/>
      <c r="V467" s="13"/>
      <c r="W467" s="13"/>
      <c r="X467" s="13"/>
      <c r="Y467" s="13"/>
    </row>
    <row r="468" spans="1:25" ht="15.75" customHeight="1" x14ac:dyDescent="0.25">
      <c r="A468" s="13"/>
      <c r="B468" s="13"/>
      <c r="C468" s="13"/>
      <c r="D468" s="13"/>
      <c r="E468" s="13"/>
      <c r="F468" s="13"/>
      <c r="G468" s="13"/>
      <c r="H468" s="13"/>
      <c r="I468" s="13"/>
      <c r="J468" s="13"/>
      <c r="K468" s="13"/>
      <c r="L468" s="13"/>
      <c r="M468" s="13"/>
      <c r="N468" s="13"/>
      <c r="O468" s="13"/>
      <c r="P468" s="13"/>
      <c r="Q468" s="13"/>
      <c r="R468" s="13"/>
      <c r="S468" s="13"/>
      <c r="T468" s="13"/>
      <c r="U468" s="13"/>
      <c r="V468" s="13"/>
      <c r="W468" s="13"/>
      <c r="X468" s="13"/>
      <c r="Y468" s="13"/>
    </row>
    <row r="469" spans="1:25" ht="15.75" customHeight="1" x14ac:dyDescent="0.25">
      <c r="A469" s="13"/>
      <c r="B469" s="13"/>
      <c r="C469" s="13"/>
      <c r="D469" s="13"/>
      <c r="E469" s="13"/>
      <c r="F469" s="13"/>
      <c r="G469" s="13"/>
      <c r="H469" s="13"/>
      <c r="I469" s="13"/>
      <c r="J469" s="13"/>
      <c r="K469" s="13"/>
      <c r="L469" s="13"/>
      <c r="M469" s="13"/>
      <c r="N469" s="13"/>
      <c r="O469" s="13"/>
      <c r="P469" s="13"/>
      <c r="Q469" s="13"/>
      <c r="R469" s="13"/>
      <c r="S469" s="13"/>
      <c r="T469" s="13"/>
      <c r="U469" s="13"/>
      <c r="V469" s="13"/>
      <c r="W469" s="13"/>
      <c r="X469" s="13"/>
      <c r="Y469" s="13"/>
    </row>
    <row r="470" spans="1:25" ht="15.75" customHeight="1" x14ac:dyDescent="0.25">
      <c r="A470" s="13"/>
      <c r="B470" s="13"/>
      <c r="C470" s="13"/>
      <c r="D470" s="13"/>
      <c r="E470" s="13"/>
      <c r="F470" s="13"/>
      <c r="G470" s="13"/>
      <c r="H470" s="13"/>
      <c r="I470" s="13"/>
      <c r="J470" s="13"/>
      <c r="K470" s="13"/>
      <c r="L470" s="13"/>
      <c r="M470" s="13"/>
      <c r="N470" s="13"/>
      <c r="O470" s="13"/>
      <c r="P470" s="13"/>
      <c r="Q470" s="13"/>
      <c r="R470" s="13"/>
      <c r="S470" s="13"/>
      <c r="T470" s="13"/>
      <c r="U470" s="13"/>
      <c r="V470" s="13"/>
      <c r="W470" s="13"/>
      <c r="X470" s="13"/>
      <c r="Y470" s="13"/>
    </row>
    <row r="471" spans="1:25" ht="15.75" customHeight="1" x14ac:dyDescent="0.25">
      <c r="A471" s="13"/>
      <c r="B471" s="13"/>
      <c r="C471" s="13"/>
      <c r="D471" s="13"/>
      <c r="E471" s="13"/>
      <c r="F471" s="13"/>
      <c r="G471" s="13"/>
      <c r="H471" s="13"/>
      <c r="I471" s="13"/>
      <c r="J471" s="13"/>
      <c r="K471" s="13"/>
      <c r="L471" s="13"/>
      <c r="M471" s="13"/>
      <c r="N471" s="13"/>
      <c r="O471" s="13"/>
      <c r="P471" s="13"/>
      <c r="Q471" s="13"/>
      <c r="R471" s="13"/>
      <c r="S471" s="13"/>
      <c r="T471" s="13"/>
      <c r="U471" s="13"/>
      <c r="V471" s="13"/>
      <c r="W471" s="13"/>
      <c r="X471" s="13"/>
      <c r="Y471" s="13"/>
    </row>
    <row r="472" spans="1:25" ht="15.75" customHeight="1" x14ac:dyDescent="0.25">
      <c r="A472" s="13"/>
      <c r="B472" s="13"/>
      <c r="C472" s="13"/>
      <c r="D472" s="13"/>
      <c r="E472" s="13"/>
      <c r="F472" s="13"/>
      <c r="G472" s="13"/>
      <c r="H472" s="13"/>
      <c r="I472" s="13"/>
      <c r="J472" s="13"/>
      <c r="K472" s="13"/>
      <c r="L472" s="13"/>
      <c r="M472" s="13"/>
      <c r="N472" s="13"/>
      <c r="O472" s="13"/>
      <c r="P472" s="13"/>
      <c r="Q472" s="13"/>
      <c r="R472" s="13"/>
      <c r="S472" s="13"/>
      <c r="T472" s="13"/>
      <c r="U472" s="13"/>
      <c r="V472" s="13"/>
      <c r="W472" s="13"/>
      <c r="X472" s="13"/>
      <c r="Y472" s="13"/>
    </row>
    <row r="473" spans="1:25" ht="15.75" customHeight="1" x14ac:dyDescent="0.25">
      <c r="A473" s="13"/>
      <c r="B473" s="13"/>
      <c r="C473" s="13"/>
      <c r="D473" s="13"/>
      <c r="E473" s="13"/>
      <c r="F473" s="13"/>
      <c r="G473" s="13"/>
      <c r="H473" s="13"/>
      <c r="I473" s="13"/>
      <c r="J473" s="13"/>
      <c r="K473" s="13"/>
      <c r="L473" s="13"/>
      <c r="M473" s="13"/>
      <c r="N473" s="13"/>
      <c r="O473" s="13"/>
      <c r="P473" s="13"/>
      <c r="Q473" s="13"/>
      <c r="R473" s="13"/>
      <c r="S473" s="13"/>
      <c r="T473" s="13"/>
      <c r="U473" s="13"/>
      <c r="V473" s="13"/>
      <c r="W473" s="13"/>
      <c r="X473" s="13"/>
      <c r="Y473" s="13"/>
    </row>
    <row r="474" spans="1:25" ht="15.75" customHeight="1" x14ac:dyDescent="0.25">
      <c r="A474" s="13"/>
      <c r="B474" s="13"/>
      <c r="C474" s="13"/>
      <c r="D474" s="13"/>
      <c r="E474" s="13"/>
      <c r="F474" s="13"/>
      <c r="G474" s="13"/>
      <c r="H474" s="13"/>
      <c r="I474" s="13"/>
      <c r="J474" s="13"/>
      <c r="K474" s="13"/>
      <c r="L474" s="13"/>
      <c r="M474" s="13"/>
      <c r="N474" s="13"/>
      <c r="O474" s="13"/>
      <c r="P474" s="13"/>
      <c r="Q474" s="13"/>
      <c r="R474" s="13"/>
      <c r="S474" s="13"/>
      <c r="T474" s="13"/>
      <c r="U474" s="13"/>
      <c r="V474" s="13"/>
      <c r="W474" s="13"/>
      <c r="X474" s="13"/>
      <c r="Y474" s="13"/>
    </row>
    <row r="475" spans="1:25" ht="15.75" customHeight="1" x14ac:dyDescent="0.25">
      <c r="A475" s="13"/>
      <c r="B475" s="13"/>
      <c r="C475" s="13"/>
      <c r="D475" s="13"/>
      <c r="E475" s="13"/>
      <c r="F475" s="13"/>
      <c r="G475" s="13"/>
      <c r="H475" s="13"/>
      <c r="I475" s="13"/>
      <c r="J475" s="13"/>
      <c r="K475" s="13"/>
      <c r="L475" s="13"/>
      <c r="M475" s="13"/>
      <c r="N475" s="13"/>
      <c r="O475" s="13"/>
      <c r="P475" s="13"/>
      <c r="Q475" s="13"/>
      <c r="R475" s="13"/>
      <c r="S475" s="13"/>
      <c r="T475" s="13"/>
      <c r="U475" s="13"/>
      <c r="V475" s="13"/>
      <c r="W475" s="13"/>
      <c r="X475" s="13"/>
      <c r="Y475" s="13"/>
    </row>
    <row r="476" spans="1:25" ht="15.75" customHeight="1" x14ac:dyDescent="0.25">
      <c r="A476" s="13"/>
      <c r="B476" s="13"/>
      <c r="C476" s="13"/>
      <c r="D476" s="13"/>
      <c r="E476" s="13"/>
      <c r="F476" s="13"/>
      <c r="G476" s="13"/>
      <c r="H476" s="13"/>
      <c r="I476" s="13"/>
      <c r="J476" s="13"/>
      <c r="K476" s="13"/>
      <c r="L476" s="13"/>
      <c r="M476" s="13"/>
      <c r="N476" s="13"/>
      <c r="O476" s="13"/>
      <c r="P476" s="13"/>
      <c r="Q476" s="13"/>
      <c r="R476" s="13"/>
      <c r="S476" s="13"/>
      <c r="T476" s="13"/>
      <c r="U476" s="13"/>
      <c r="V476" s="13"/>
      <c r="W476" s="13"/>
      <c r="X476" s="13"/>
      <c r="Y476" s="13"/>
    </row>
    <row r="477" spans="1:25" ht="15.75" customHeight="1" x14ac:dyDescent="0.25">
      <c r="A477" s="13"/>
      <c r="B477" s="13"/>
      <c r="C477" s="13"/>
      <c r="D477" s="13"/>
      <c r="E477" s="13"/>
      <c r="F477" s="13"/>
      <c r="G477" s="13"/>
      <c r="H477" s="13"/>
      <c r="I477" s="13"/>
      <c r="J477" s="13"/>
      <c r="K477" s="13"/>
      <c r="L477" s="13"/>
      <c r="M477" s="13"/>
      <c r="N477" s="13"/>
      <c r="O477" s="13"/>
      <c r="P477" s="13"/>
      <c r="Q477" s="13"/>
      <c r="R477" s="13"/>
      <c r="S477" s="13"/>
      <c r="T477" s="13"/>
      <c r="U477" s="13"/>
      <c r="V477" s="13"/>
      <c r="W477" s="13"/>
      <c r="X477" s="13"/>
      <c r="Y477" s="13"/>
    </row>
    <row r="478" spans="1:25" ht="15.75" customHeight="1" x14ac:dyDescent="0.25">
      <c r="A478" s="13"/>
      <c r="B478" s="13"/>
      <c r="C478" s="13"/>
      <c r="D478" s="13"/>
      <c r="E478" s="13"/>
      <c r="F478" s="13"/>
      <c r="G478" s="13"/>
      <c r="H478" s="13"/>
      <c r="I478" s="13"/>
      <c r="J478" s="13"/>
      <c r="K478" s="13"/>
      <c r="L478" s="13"/>
      <c r="M478" s="13"/>
      <c r="N478" s="13"/>
      <c r="O478" s="13"/>
      <c r="P478" s="13"/>
      <c r="Q478" s="13"/>
      <c r="R478" s="13"/>
      <c r="S478" s="13"/>
      <c r="T478" s="13"/>
      <c r="U478" s="13"/>
      <c r="V478" s="13"/>
      <c r="W478" s="13"/>
      <c r="X478" s="13"/>
      <c r="Y478" s="13"/>
    </row>
    <row r="479" spans="1:25" ht="15.75" customHeight="1" x14ac:dyDescent="0.25">
      <c r="A479" s="13"/>
      <c r="B479" s="13"/>
      <c r="C479" s="13"/>
      <c r="D479" s="13"/>
      <c r="E479" s="13"/>
      <c r="F479" s="13"/>
      <c r="G479" s="13"/>
      <c r="H479" s="13"/>
      <c r="I479" s="13"/>
      <c r="J479" s="13"/>
      <c r="K479" s="13"/>
      <c r="L479" s="13"/>
      <c r="M479" s="13"/>
      <c r="N479" s="13"/>
      <c r="O479" s="13"/>
      <c r="P479" s="13"/>
      <c r="Q479" s="13"/>
      <c r="R479" s="13"/>
      <c r="S479" s="13"/>
      <c r="T479" s="13"/>
      <c r="U479" s="13"/>
      <c r="V479" s="13"/>
      <c r="W479" s="13"/>
      <c r="X479" s="13"/>
      <c r="Y479" s="13"/>
    </row>
    <row r="480" spans="1:25" ht="15.75" customHeight="1" x14ac:dyDescent="0.25">
      <c r="A480" s="13"/>
      <c r="B480" s="13"/>
      <c r="C480" s="13"/>
      <c r="D480" s="13"/>
      <c r="E480" s="13"/>
      <c r="F480" s="13"/>
      <c r="G480" s="13"/>
      <c r="H480" s="13"/>
      <c r="I480" s="13"/>
      <c r="J480" s="13"/>
      <c r="K480" s="13"/>
      <c r="L480" s="13"/>
      <c r="M480" s="13"/>
      <c r="N480" s="13"/>
      <c r="O480" s="13"/>
      <c r="P480" s="13"/>
      <c r="Q480" s="13"/>
      <c r="R480" s="13"/>
      <c r="S480" s="13"/>
      <c r="T480" s="13"/>
      <c r="U480" s="13"/>
      <c r="V480" s="13"/>
      <c r="W480" s="13"/>
      <c r="X480" s="13"/>
      <c r="Y480" s="13"/>
    </row>
    <row r="481" spans="1:25" ht="15.75" customHeight="1" x14ac:dyDescent="0.25">
      <c r="A481" s="13"/>
      <c r="B481" s="13"/>
      <c r="C481" s="13"/>
      <c r="D481" s="13"/>
      <c r="E481" s="13"/>
      <c r="F481" s="13"/>
      <c r="G481" s="13"/>
      <c r="H481" s="13"/>
      <c r="I481" s="13"/>
      <c r="J481" s="13"/>
      <c r="K481" s="13"/>
      <c r="L481" s="13"/>
      <c r="M481" s="13"/>
      <c r="N481" s="13"/>
      <c r="O481" s="13"/>
      <c r="P481" s="13"/>
      <c r="Q481" s="13"/>
      <c r="R481" s="13"/>
      <c r="S481" s="13"/>
      <c r="T481" s="13"/>
      <c r="U481" s="13"/>
      <c r="V481" s="13"/>
      <c r="W481" s="13"/>
      <c r="X481" s="13"/>
      <c r="Y481" s="13"/>
    </row>
    <row r="482" spans="1:25" ht="15.75" customHeight="1" x14ac:dyDescent="0.25">
      <c r="A482" s="13"/>
      <c r="B482" s="13"/>
      <c r="C482" s="13"/>
      <c r="D482" s="13"/>
      <c r="E482" s="13"/>
      <c r="F482" s="13"/>
      <c r="G482" s="13"/>
      <c r="H482" s="13"/>
      <c r="I482" s="13"/>
      <c r="J482" s="13"/>
      <c r="K482" s="13"/>
      <c r="L482" s="13"/>
      <c r="M482" s="13"/>
      <c r="N482" s="13"/>
      <c r="O482" s="13"/>
      <c r="P482" s="13"/>
      <c r="Q482" s="13"/>
      <c r="R482" s="13"/>
      <c r="S482" s="13"/>
      <c r="T482" s="13"/>
      <c r="U482" s="13"/>
      <c r="V482" s="13"/>
      <c r="W482" s="13"/>
      <c r="X482" s="13"/>
      <c r="Y482" s="13"/>
    </row>
    <row r="483" spans="1:25" ht="15.75" customHeight="1" x14ac:dyDescent="0.25">
      <c r="A483" s="13"/>
      <c r="B483" s="13"/>
      <c r="C483" s="13"/>
      <c r="D483" s="13"/>
      <c r="E483" s="13"/>
      <c r="F483" s="13"/>
      <c r="G483" s="13"/>
      <c r="H483" s="13"/>
      <c r="I483" s="13"/>
      <c r="J483" s="13"/>
      <c r="K483" s="13"/>
      <c r="L483" s="13"/>
      <c r="M483" s="13"/>
      <c r="N483" s="13"/>
      <c r="O483" s="13"/>
      <c r="P483" s="13"/>
      <c r="Q483" s="13"/>
      <c r="R483" s="13"/>
      <c r="S483" s="13"/>
      <c r="T483" s="13"/>
      <c r="U483" s="13"/>
      <c r="V483" s="13"/>
      <c r="W483" s="13"/>
      <c r="X483" s="13"/>
      <c r="Y483" s="13"/>
    </row>
    <row r="484" spans="1:25" ht="15.75" customHeight="1" x14ac:dyDescent="0.25">
      <c r="A484" s="13"/>
      <c r="B484" s="13"/>
      <c r="C484" s="13"/>
      <c r="D484" s="13"/>
      <c r="E484" s="13"/>
      <c r="F484" s="13"/>
      <c r="G484" s="13"/>
      <c r="H484" s="13"/>
      <c r="I484" s="13"/>
      <c r="J484" s="13"/>
      <c r="K484" s="13"/>
      <c r="L484" s="13"/>
      <c r="M484" s="13"/>
      <c r="N484" s="13"/>
      <c r="O484" s="13"/>
      <c r="P484" s="13"/>
      <c r="Q484" s="13"/>
      <c r="R484" s="13"/>
      <c r="S484" s="13"/>
      <c r="T484" s="13"/>
      <c r="U484" s="13"/>
      <c r="V484" s="13"/>
      <c r="W484" s="13"/>
      <c r="X484" s="13"/>
      <c r="Y484" s="13"/>
    </row>
    <row r="485" spans="1:25" ht="15.75" customHeight="1" x14ac:dyDescent="0.25">
      <c r="A485" s="13"/>
      <c r="B485" s="13"/>
      <c r="C485" s="13"/>
      <c r="D485" s="13"/>
      <c r="E485" s="13"/>
      <c r="F485" s="13"/>
      <c r="G485" s="13"/>
      <c r="H485" s="13"/>
      <c r="I485" s="13"/>
      <c r="J485" s="13"/>
      <c r="K485" s="13"/>
      <c r="L485" s="13"/>
      <c r="M485" s="13"/>
      <c r="N485" s="13"/>
      <c r="O485" s="13"/>
      <c r="P485" s="13"/>
      <c r="Q485" s="13"/>
      <c r="R485" s="13"/>
      <c r="S485" s="13"/>
      <c r="T485" s="13"/>
      <c r="U485" s="13"/>
      <c r="V485" s="13"/>
      <c r="W485" s="13"/>
      <c r="X485" s="13"/>
      <c r="Y485" s="13"/>
    </row>
    <row r="486" spans="1:25" ht="15.75" customHeight="1" x14ac:dyDescent="0.25">
      <c r="A486" s="13"/>
      <c r="B486" s="13"/>
      <c r="C486" s="13"/>
      <c r="D486" s="13"/>
      <c r="E486" s="13"/>
      <c r="F486" s="13"/>
      <c r="G486" s="13"/>
      <c r="H486" s="13"/>
      <c r="I486" s="13"/>
      <c r="J486" s="13"/>
      <c r="K486" s="13"/>
      <c r="L486" s="13"/>
      <c r="M486" s="13"/>
      <c r="N486" s="13"/>
      <c r="O486" s="13"/>
      <c r="P486" s="13"/>
      <c r="Q486" s="13"/>
      <c r="R486" s="13"/>
      <c r="S486" s="13"/>
      <c r="T486" s="13"/>
      <c r="U486" s="13"/>
      <c r="V486" s="13"/>
      <c r="W486" s="13"/>
      <c r="X486" s="13"/>
      <c r="Y486" s="13"/>
    </row>
    <row r="487" spans="1:25" ht="15.75" customHeight="1" x14ac:dyDescent="0.25">
      <c r="A487" s="13"/>
      <c r="B487" s="13"/>
      <c r="C487" s="13"/>
      <c r="D487" s="13"/>
      <c r="E487" s="13"/>
      <c r="F487" s="13"/>
      <c r="G487" s="13"/>
      <c r="H487" s="13"/>
      <c r="I487" s="13"/>
      <c r="J487" s="13"/>
      <c r="K487" s="13"/>
      <c r="L487" s="13"/>
      <c r="M487" s="13"/>
      <c r="N487" s="13"/>
      <c r="O487" s="13"/>
      <c r="P487" s="13"/>
      <c r="Q487" s="13"/>
      <c r="R487" s="13"/>
      <c r="S487" s="13"/>
      <c r="T487" s="13"/>
      <c r="U487" s="13"/>
      <c r="V487" s="13"/>
      <c r="W487" s="13"/>
      <c r="X487" s="13"/>
      <c r="Y487" s="13"/>
    </row>
    <row r="488" spans="1:25" ht="15.75" customHeight="1" x14ac:dyDescent="0.25">
      <c r="A488" s="13"/>
      <c r="B488" s="13"/>
      <c r="C488" s="13"/>
      <c r="D488" s="13"/>
      <c r="E488" s="13"/>
      <c r="F488" s="13"/>
      <c r="G488" s="13"/>
      <c r="H488" s="13"/>
      <c r="I488" s="13"/>
      <c r="J488" s="13"/>
      <c r="K488" s="13"/>
      <c r="L488" s="13"/>
      <c r="M488" s="13"/>
      <c r="N488" s="13"/>
      <c r="O488" s="13"/>
      <c r="P488" s="13"/>
      <c r="Q488" s="13"/>
      <c r="R488" s="13"/>
      <c r="S488" s="13"/>
      <c r="T488" s="13"/>
      <c r="U488" s="13"/>
      <c r="V488" s="13"/>
      <c r="W488" s="13"/>
      <c r="X488" s="13"/>
      <c r="Y488" s="13"/>
    </row>
    <row r="489" spans="1:25" ht="15.75" customHeight="1" x14ac:dyDescent="0.25">
      <c r="A489" s="13"/>
      <c r="B489" s="13"/>
      <c r="C489" s="13"/>
      <c r="D489" s="13"/>
      <c r="E489" s="13"/>
      <c r="F489" s="13"/>
      <c r="G489" s="13"/>
      <c r="H489" s="13"/>
      <c r="I489" s="13"/>
      <c r="J489" s="13"/>
      <c r="K489" s="13"/>
      <c r="L489" s="13"/>
      <c r="M489" s="13"/>
      <c r="N489" s="13"/>
      <c r="O489" s="13"/>
      <c r="P489" s="13"/>
      <c r="Q489" s="13"/>
      <c r="R489" s="13"/>
      <c r="S489" s="13"/>
      <c r="T489" s="13"/>
      <c r="U489" s="13"/>
      <c r="V489" s="13"/>
      <c r="W489" s="13"/>
      <c r="X489" s="13"/>
      <c r="Y489" s="13"/>
    </row>
    <row r="490" spans="1:25" ht="15.75" customHeight="1" x14ac:dyDescent="0.25">
      <c r="A490" s="13"/>
      <c r="B490" s="13"/>
      <c r="C490" s="13"/>
      <c r="D490" s="13"/>
      <c r="E490" s="13"/>
      <c r="F490" s="13"/>
      <c r="G490" s="13"/>
      <c r="H490" s="13"/>
      <c r="I490" s="13"/>
      <c r="J490" s="13"/>
      <c r="K490" s="13"/>
      <c r="L490" s="13"/>
      <c r="M490" s="13"/>
      <c r="N490" s="13"/>
      <c r="O490" s="13"/>
      <c r="P490" s="13"/>
      <c r="Q490" s="13"/>
      <c r="R490" s="13"/>
      <c r="S490" s="13"/>
      <c r="T490" s="13"/>
      <c r="U490" s="13"/>
      <c r="V490" s="13"/>
      <c r="W490" s="13"/>
      <c r="X490" s="13"/>
      <c r="Y490" s="13"/>
    </row>
    <row r="491" spans="1:25" ht="15.75" customHeight="1" x14ac:dyDescent="0.25">
      <c r="A491" s="13"/>
      <c r="B491" s="13"/>
      <c r="C491" s="13"/>
      <c r="D491" s="13"/>
      <c r="E491" s="13"/>
      <c r="F491" s="13"/>
      <c r="G491" s="13"/>
      <c r="H491" s="13"/>
      <c r="I491" s="13"/>
      <c r="J491" s="13"/>
      <c r="K491" s="13"/>
      <c r="L491" s="13"/>
      <c r="M491" s="13"/>
      <c r="N491" s="13"/>
      <c r="O491" s="13"/>
      <c r="P491" s="13"/>
      <c r="Q491" s="13"/>
      <c r="R491" s="13"/>
      <c r="S491" s="13"/>
      <c r="T491" s="13"/>
      <c r="U491" s="13"/>
      <c r="V491" s="13"/>
      <c r="W491" s="13"/>
      <c r="X491" s="13"/>
      <c r="Y491" s="13"/>
    </row>
    <row r="492" spans="1:25" ht="15.75" customHeight="1" x14ac:dyDescent="0.25">
      <c r="A492" s="13"/>
      <c r="B492" s="13"/>
      <c r="C492" s="13"/>
      <c r="D492" s="13"/>
      <c r="E492" s="13"/>
      <c r="F492" s="13"/>
      <c r="G492" s="13"/>
      <c r="H492" s="13"/>
      <c r="I492" s="13"/>
      <c r="J492" s="13"/>
      <c r="K492" s="13"/>
      <c r="L492" s="13"/>
      <c r="M492" s="13"/>
      <c r="N492" s="13"/>
      <c r="O492" s="13"/>
      <c r="P492" s="13"/>
      <c r="Q492" s="13"/>
      <c r="R492" s="13"/>
      <c r="S492" s="13"/>
      <c r="T492" s="13"/>
      <c r="U492" s="13"/>
      <c r="V492" s="13"/>
      <c r="W492" s="13"/>
      <c r="X492" s="13"/>
      <c r="Y492" s="13"/>
    </row>
    <row r="493" spans="1:25" ht="15.75" customHeight="1" x14ac:dyDescent="0.25">
      <c r="A493" s="13"/>
      <c r="B493" s="13"/>
      <c r="C493" s="13"/>
      <c r="D493" s="13"/>
      <c r="E493" s="13"/>
      <c r="F493" s="13"/>
      <c r="G493" s="13"/>
      <c r="H493" s="13"/>
      <c r="I493" s="13"/>
      <c r="J493" s="13"/>
      <c r="K493" s="13"/>
      <c r="L493" s="13"/>
      <c r="M493" s="13"/>
      <c r="N493" s="13"/>
      <c r="O493" s="13"/>
      <c r="P493" s="13"/>
      <c r="Q493" s="13"/>
      <c r="R493" s="13"/>
      <c r="S493" s="13"/>
      <c r="T493" s="13"/>
      <c r="U493" s="13"/>
      <c r="V493" s="13"/>
      <c r="W493" s="13"/>
      <c r="X493" s="13"/>
      <c r="Y493" s="13"/>
    </row>
    <row r="494" spans="1:25" ht="15.75" customHeight="1" x14ac:dyDescent="0.25">
      <c r="A494" s="13"/>
      <c r="B494" s="13"/>
      <c r="C494" s="13"/>
      <c r="D494" s="13"/>
      <c r="E494" s="13"/>
      <c r="F494" s="13"/>
      <c r="G494" s="13"/>
      <c r="H494" s="13"/>
      <c r="I494" s="13"/>
      <c r="J494" s="13"/>
      <c r="K494" s="13"/>
      <c r="L494" s="13"/>
      <c r="M494" s="13"/>
      <c r="N494" s="13"/>
      <c r="O494" s="13"/>
      <c r="P494" s="13"/>
      <c r="Q494" s="13"/>
      <c r="R494" s="13"/>
      <c r="S494" s="13"/>
      <c r="T494" s="13"/>
      <c r="U494" s="13"/>
      <c r="V494" s="13"/>
      <c r="W494" s="13"/>
      <c r="X494" s="13"/>
      <c r="Y494" s="13"/>
    </row>
    <row r="495" spans="1:25" ht="15.75" customHeight="1" x14ac:dyDescent="0.25">
      <c r="A495" s="13"/>
      <c r="B495" s="13"/>
      <c r="C495" s="13"/>
      <c r="D495" s="13"/>
      <c r="E495" s="13"/>
      <c r="F495" s="13"/>
      <c r="G495" s="13"/>
      <c r="H495" s="13"/>
      <c r="I495" s="13"/>
      <c r="J495" s="13"/>
      <c r="K495" s="13"/>
      <c r="L495" s="13"/>
      <c r="M495" s="13"/>
      <c r="N495" s="13"/>
      <c r="O495" s="13"/>
      <c r="P495" s="13"/>
      <c r="Q495" s="13"/>
      <c r="R495" s="13"/>
      <c r="S495" s="13"/>
      <c r="T495" s="13"/>
      <c r="U495" s="13"/>
      <c r="V495" s="13"/>
      <c r="W495" s="13"/>
      <c r="X495" s="13"/>
      <c r="Y495" s="13"/>
    </row>
    <row r="496" spans="1:25" ht="15.75" customHeight="1" x14ac:dyDescent="0.25">
      <c r="A496" s="13"/>
      <c r="B496" s="13"/>
      <c r="C496" s="13"/>
      <c r="D496" s="13"/>
      <c r="E496" s="13"/>
      <c r="F496" s="13"/>
      <c r="G496" s="13"/>
      <c r="H496" s="13"/>
      <c r="I496" s="13"/>
      <c r="J496" s="13"/>
      <c r="K496" s="13"/>
      <c r="L496" s="13"/>
      <c r="M496" s="13"/>
      <c r="N496" s="13"/>
      <c r="O496" s="13"/>
      <c r="P496" s="13"/>
      <c r="Q496" s="13"/>
      <c r="R496" s="13"/>
      <c r="S496" s="13"/>
      <c r="T496" s="13"/>
      <c r="U496" s="13"/>
      <c r="V496" s="13"/>
      <c r="W496" s="13"/>
      <c r="X496" s="13"/>
      <c r="Y496" s="13"/>
    </row>
    <row r="497" spans="1:25" ht="15.75" customHeight="1" x14ac:dyDescent="0.25">
      <c r="A497" s="13"/>
      <c r="B497" s="13"/>
      <c r="C497" s="13"/>
      <c r="D497" s="13"/>
      <c r="E497" s="13"/>
      <c r="F497" s="13"/>
      <c r="G497" s="13"/>
      <c r="H497" s="13"/>
      <c r="I497" s="13"/>
      <c r="J497" s="13"/>
      <c r="K497" s="13"/>
      <c r="L497" s="13"/>
      <c r="M497" s="13"/>
      <c r="N497" s="13"/>
      <c r="O497" s="13"/>
      <c r="P497" s="13"/>
      <c r="Q497" s="13"/>
      <c r="R497" s="13"/>
      <c r="S497" s="13"/>
      <c r="T497" s="13"/>
      <c r="U497" s="13"/>
      <c r="V497" s="13"/>
      <c r="W497" s="13"/>
      <c r="X497" s="13"/>
      <c r="Y497" s="13"/>
    </row>
    <row r="498" spans="1:25" ht="15.75" customHeight="1" x14ac:dyDescent="0.25">
      <c r="A498" s="13"/>
      <c r="B498" s="13"/>
      <c r="C498" s="13"/>
      <c r="D498" s="13"/>
      <c r="E498" s="13"/>
      <c r="F498" s="13"/>
      <c r="G498" s="13"/>
      <c r="H498" s="13"/>
      <c r="I498" s="13"/>
      <c r="J498" s="13"/>
      <c r="K498" s="13"/>
      <c r="L498" s="13"/>
      <c r="M498" s="13"/>
      <c r="N498" s="13"/>
      <c r="O498" s="13"/>
      <c r="P498" s="13"/>
      <c r="Q498" s="13"/>
      <c r="R498" s="13"/>
      <c r="S498" s="13"/>
      <c r="T498" s="13"/>
      <c r="U498" s="13"/>
      <c r="V498" s="13"/>
      <c r="W498" s="13"/>
      <c r="X498" s="13"/>
      <c r="Y498" s="13"/>
    </row>
    <row r="499" spans="1:25" ht="15.75" customHeight="1" x14ac:dyDescent="0.25">
      <c r="A499" s="13"/>
      <c r="B499" s="13"/>
      <c r="C499" s="13"/>
      <c r="D499" s="13"/>
      <c r="E499" s="13"/>
      <c r="F499" s="13"/>
      <c r="G499" s="13"/>
      <c r="H499" s="13"/>
      <c r="I499" s="13"/>
      <c r="J499" s="13"/>
      <c r="K499" s="13"/>
      <c r="L499" s="13"/>
      <c r="M499" s="13"/>
      <c r="N499" s="13"/>
      <c r="O499" s="13"/>
      <c r="P499" s="13"/>
      <c r="Q499" s="13"/>
      <c r="R499" s="13"/>
      <c r="S499" s="13"/>
      <c r="T499" s="13"/>
      <c r="U499" s="13"/>
      <c r="V499" s="13"/>
      <c r="W499" s="13"/>
      <c r="X499" s="13"/>
      <c r="Y499" s="13"/>
    </row>
    <row r="500" spans="1:25" ht="15.75" customHeight="1" x14ac:dyDescent="0.25">
      <c r="A500" s="13"/>
      <c r="B500" s="13"/>
      <c r="C500" s="13"/>
      <c r="D500" s="13"/>
      <c r="E500" s="13"/>
      <c r="F500" s="13"/>
      <c r="G500" s="13"/>
      <c r="H500" s="13"/>
      <c r="I500" s="13"/>
      <c r="J500" s="13"/>
      <c r="K500" s="13"/>
      <c r="L500" s="13"/>
      <c r="M500" s="13"/>
      <c r="N500" s="13"/>
      <c r="O500" s="13"/>
      <c r="P500" s="13"/>
      <c r="Q500" s="13"/>
      <c r="R500" s="13"/>
      <c r="S500" s="13"/>
      <c r="T500" s="13"/>
      <c r="U500" s="13"/>
      <c r="V500" s="13"/>
      <c r="W500" s="13"/>
      <c r="X500" s="13"/>
      <c r="Y500" s="13"/>
    </row>
    <row r="501" spans="1:25" ht="15.75" customHeight="1" x14ac:dyDescent="0.25">
      <c r="A501" s="13"/>
      <c r="B501" s="13"/>
      <c r="C501" s="13"/>
      <c r="D501" s="13"/>
      <c r="E501" s="13"/>
      <c r="F501" s="13"/>
      <c r="G501" s="13"/>
      <c r="H501" s="13"/>
      <c r="I501" s="13"/>
      <c r="J501" s="13"/>
      <c r="K501" s="13"/>
      <c r="L501" s="13"/>
      <c r="M501" s="13"/>
      <c r="N501" s="13"/>
      <c r="O501" s="13"/>
      <c r="P501" s="13"/>
      <c r="Q501" s="13"/>
      <c r="R501" s="13"/>
      <c r="S501" s="13"/>
      <c r="T501" s="13"/>
      <c r="U501" s="13"/>
      <c r="V501" s="13"/>
      <c r="W501" s="13"/>
      <c r="X501" s="13"/>
      <c r="Y501" s="13"/>
    </row>
    <row r="502" spans="1:25" ht="15.75" customHeight="1" x14ac:dyDescent="0.25">
      <c r="A502" s="13"/>
      <c r="B502" s="13"/>
      <c r="C502" s="13"/>
      <c r="D502" s="13"/>
      <c r="E502" s="13"/>
      <c r="F502" s="13"/>
      <c r="G502" s="13"/>
      <c r="H502" s="13"/>
      <c r="I502" s="13"/>
      <c r="J502" s="13"/>
      <c r="K502" s="13"/>
      <c r="L502" s="13"/>
      <c r="M502" s="13"/>
      <c r="N502" s="13"/>
      <c r="O502" s="13"/>
      <c r="P502" s="13"/>
      <c r="Q502" s="13"/>
      <c r="R502" s="13"/>
      <c r="S502" s="13"/>
      <c r="T502" s="13"/>
      <c r="U502" s="13"/>
      <c r="V502" s="13"/>
      <c r="W502" s="13"/>
      <c r="X502" s="13"/>
      <c r="Y502" s="13"/>
    </row>
    <row r="503" spans="1:25" ht="15.75" customHeight="1" x14ac:dyDescent="0.25">
      <c r="A503" s="13"/>
      <c r="B503" s="13"/>
      <c r="C503" s="13"/>
      <c r="D503" s="13"/>
      <c r="E503" s="13"/>
      <c r="F503" s="13"/>
      <c r="G503" s="13"/>
      <c r="H503" s="13"/>
      <c r="I503" s="13"/>
      <c r="J503" s="13"/>
      <c r="K503" s="13"/>
      <c r="L503" s="13"/>
      <c r="M503" s="13"/>
      <c r="N503" s="13"/>
      <c r="O503" s="13"/>
      <c r="P503" s="13"/>
      <c r="Q503" s="13"/>
      <c r="R503" s="13"/>
      <c r="S503" s="13"/>
      <c r="T503" s="13"/>
      <c r="U503" s="13"/>
      <c r="V503" s="13"/>
      <c r="W503" s="13"/>
      <c r="X503" s="13"/>
      <c r="Y503" s="13"/>
    </row>
    <row r="504" spans="1:25" ht="15.75" customHeight="1" x14ac:dyDescent="0.25">
      <c r="A504" s="13"/>
      <c r="B504" s="13"/>
      <c r="C504" s="13"/>
      <c r="D504" s="13"/>
      <c r="E504" s="13"/>
      <c r="F504" s="13"/>
      <c r="G504" s="13"/>
      <c r="H504" s="13"/>
      <c r="I504" s="13"/>
      <c r="J504" s="13"/>
      <c r="K504" s="13"/>
      <c r="L504" s="13"/>
      <c r="M504" s="13"/>
      <c r="N504" s="13"/>
      <c r="O504" s="13"/>
      <c r="P504" s="13"/>
      <c r="Q504" s="13"/>
      <c r="R504" s="13"/>
      <c r="S504" s="13"/>
      <c r="T504" s="13"/>
      <c r="U504" s="13"/>
      <c r="V504" s="13"/>
      <c r="W504" s="13"/>
      <c r="X504" s="13"/>
      <c r="Y504" s="13"/>
    </row>
    <row r="505" spans="1:25" ht="15.75" customHeight="1" x14ac:dyDescent="0.25">
      <c r="A505" s="13"/>
      <c r="B505" s="13"/>
      <c r="C505" s="13"/>
      <c r="D505" s="13"/>
      <c r="E505" s="13"/>
      <c r="F505" s="13"/>
      <c r="G505" s="13"/>
      <c r="H505" s="13"/>
      <c r="I505" s="13"/>
      <c r="J505" s="13"/>
      <c r="K505" s="13"/>
      <c r="L505" s="13"/>
      <c r="M505" s="13"/>
      <c r="N505" s="13"/>
      <c r="O505" s="13"/>
      <c r="P505" s="13"/>
      <c r="Q505" s="13"/>
      <c r="R505" s="13"/>
      <c r="S505" s="13"/>
      <c r="T505" s="13"/>
      <c r="U505" s="13"/>
      <c r="V505" s="13"/>
      <c r="W505" s="13"/>
      <c r="X505" s="13"/>
      <c r="Y505" s="13"/>
    </row>
    <row r="506" spans="1:25" ht="15.75" customHeight="1" x14ac:dyDescent="0.25">
      <c r="A506" s="13"/>
      <c r="B506" s="13"/>
      <c r="C506" s="13"/>
      <c r="D506" s="13"/>
      <c r="E506" s="13"/>
      <c r="F506" s="13"/>
      <c r="G506" s="13"/>
      <c r="H506" s="13"/>
      <c r="I506" s="13"/>
      <c r="J506" s="13"/>
      <c r="K506" s="13"/>
      <c r="L506" s="13"/>
      <c r="M506" s="13"/>
      <c r="N506" s="13"/>
      <c r="O506" s="13"/>
      <c r="P506" s="13"/>
      <c r="Q506" s="13"/>
      <c r="R506" s="13"/>
      <c r="S506" s="13"/>
      <c r="T506" s="13"/>
      <c r="U506" s="13"/>
      <c r="V506" s="13"/>
      <c r="W506" s="13"/>
      <c r="X506" s="13"/>
      <c r="Y506" s="13"/>
    </row>
    <row r="507" spans="1:25" ht="15.75" customHeight="1" x14ac:dyDescent="0.25">
      <c r="A507" s="13"/>
      <c r="B507" s="13"/>
      <c r="C507" s="13"/>
      <c r="D507" s="13"/>
      <c r="E507" s="13"/>
      <c r="F507" s="13"/>
      <c r="G507" s="13"/>
      <c r="H507" s="13"/>
      <c r="I507" s="13"/>
      <c r="J507" s="13"/>
      <c r="K507" s="13"/>
      <c r="L507" s="13"/>
      <c r="M507" s="13"/>
      <c r="N507" s="13"/>
      <c r="O507" s="13"/>
      <c r="P507" s="13"/>
      <c r="Q507" s="13"/>
      <c r="R507" s="13"/>
      <c r="S507" s="13"/>
      <c r="T507" s="13"/>
      <c r="U507" s="13"/>
      <c r="V507" s="13"/>
      <c r="W507" s="13"/>
      <c r="X507" s="13"/>
      <c r="Y507" s="13"/>
    </row>
    <row r="508" spans="1:25" ht="15.75" customHeight="1" x14ac:dyDescent="0.25">
      <c r="A508" s="13"/>
      <c r="B508" s="13"/>
      <c r="C508" s="13"/>
      <c r="D508" s="13"/>
      <c r="E508" s="13"/>
      <c r="F508" s="13"/>
      <c r="G508" s="13"/>
      <c r="H508" s="13"/>
      <c r="I508" s="13"/>
      <c r="J508" s="13"/>
      <c r="K508" s="13"/>
      <c r="L508" s="13"/>
      <c r="M508" s="13"/>
      <c r="N508" s="13"/>
      <c r="O508" s="13"/>
      <c r="P508" s="13"/>
      <c r="Q508" s="13"/>
      <c r="R508" s="13"/>
      <c r="S508" s="13"/>
      <c r="T508" s="13"/>
      <c r="U508" s="13"/>
      <c r="V508" s="13"/>
      <c r="W508" s="13"/>
      <c r="X508" s="13"/>
      <c r="Y508" s="13"/>
    </row>
    <row r="509" spans="1:25" ht="15.75" customHeight="1" x14ac:dyDescent="0.25">
      <c r="A509" s="13"/>
      <c r="B509" s="13"/>
      <c r="C509" s="13"/>
      <c r="D509" s="13"/>
      <c r="E509" s="13"/>
      <c r="F509" s="13"/>
      <c r="G509" s="13"/>
      <c r="H509" s="13"/>
      <c r="I509" s="13"/>
      <c r="J509" s="13"/>
      <c r="K509" s="13"/>
      <c r="L509" s="13"/>
      <c r="M509" s="13"/>
      <c r="N509" s="13"/>
      <c r="O509" s="13"/>
      <c r="P509" s="13"/>
      <c r="Q509" s="13"/>
      <c r="R509" s="13"/>
      <c r="S509" s="13"/>
      <c r="T509" s="13"/>
      <c r="U509" s="13"/>
      <c r="V509" s="13"/>
      <c r="W509" s="13"/>
      <c r="X509" s="13"/>
      <c r="Y509" s="13"/>
    </row>
    <row r="510" spans="1:25" ht="15.75" customHeight="1" x14ac:dyDescent="0.25">
      <c r="A510" s="13"/>
      <c r="B510" s="13"/>
      <c r="C510" s="13"/>
      <c r="D510" s="13"/>
      <c r="E510" s="13"/>
      <c r="F510" s="13"/>
      <c r="G510" s="13"/>
      <c r="H510" s="13"/>
      <c r="I510" s="13"/>
      <c r="J510" s="13"/>
      <c r="K510" s="13"/>
      <c r="L510" s="13"/>
      <c r="M510" s="13"/>
      <c r="N510" s="13"/>
      <c r="O510" s="13"/>
      <c r="P510" s="13"/>
      <c r="Q510" s="13"/>
      <c r="R510" s="13"/>
      <c r="S510" s="13"/>
      <c r="T510" s="13"/>
      <c r="U510" s="13"/>
      <c r="V510" s="13"/>
      <c r="W510" s="13"/>
      <c r="X510" s="13"/>
      <c r="Y510" s="13"/>
    </row>
    <row r="511" spans="1:25" ht="15.75" customHeight="1" x14ac:dyDescent="0.25">
      <c r="A511" s="13"/>
      <c r="B511" s="13"/>
      <c r="C511" s="13"/>
      <c r="D511" s="13"/>
      <c r="E511" s="13"/>
      <c r="F511" s="13"/>
      <c r="G511" s="13"/>
      <c r="H511" s="13"/>
      <c r="I511" s="13"/>
      <c r="J511" s="13"/>
      <c r="K511" s="13"/>
      <c r="L511" s="13"/>
      <c r="M511" s="13"/>
      <c r="N511" s="13"/>
      <c r="O511" s="13"/>
      <c r="P511" s="13"/>
      <c r="Q511" s="13"/>
      <c r="R511" s="13"/>
      <c r="S511" s="13"/>
      <c r="T511" s="13"/>
      <c r="U511" s="13"/>
      <c r="V511" s="13"/>
      <c r="W511" s="13"/>
      <c r="X511" s="13"/>
      <c r="Y511" s="13"/>
    </row>
    <row r="512" spans="1:25" ht="15.75" customHeight="1" x14ac:dyDescent="0.25">
      <c r="A512" s="13"/>
      <c r="B512" s="13"/>
      <c r="C512" s="13"/>
      <c r="D512" s="13"/>
      <c r="E512" s="13"/>
      <c r="F512" s="13"/>
      <c r="G512" s="13"/>
      <c r="H512" s="13"/>
      <c r="I512" s="13"/>
      <c r="J512" s="13"/>
      <c r="K512" s="13"/>
      <c r="L512" s="13"/>
      <c r="M512" s="13"/>
      <c r="N512" s="13"/>
      <c r="O512" s="13"/>
      <c r="P512" s="13"/>
      <c r="Q512" s="13"/>
      <c r="R512" s="13"/>
      <c r="S512" s="13"/>
      <c r="T512" s="13"/>
      <c r="U512" s="13"/>
      <c r="V512" s="13"/>
      <c r="W512" s="13"/>
      <c r="X512" s="13"/>
      <c r="Y512" s="13"/>
    </row>
    <row r="513" spans="1:25" ht="15.75" customHeight="1" x14ac:dyDescent="0.25">
      <c r="A513" s="13"/>
      <c r="B513" s="13"/>
      <c r="C513" s="13"/>
      <c r="D513" s="13"/>
      <c r="E513" s="13"/>
      <c r="F513" s="13"/>
      <c r="G513" s="13"/>
      <c r="H513" s="13"/>
      <c r="I513" s="13"/>
      <c r="J513" s="13"/>
      <c r="K513" s="13"/>
      <c r="L513" s="13"/>
      <c r="M513" s="13"/>
      <c r="N513" s="13"/>
      <c r="O513" s="13"/>
      <c r="P513" s="13"/>
      <c r="Q513" s="13"/>
      <c r="R513" s="13"/>
      <c r="S513" s="13"/>
      <c r="T513" s="13"/>
      <c r="U513" s="13"/>
      <c r="V513" s="13"/>
      <c r="W513" s="13"/>
      <c r="X513" s="13"/>
      <c r="Y513" s="13"/>
    </row>
    <row r="514" spans="1:25" ht="15.75" customHeight="1" x14ac:dyDescent="0.25">
      <c r="A514" s="13"/>
      <c r="B514" s="13"/>
      <c r="C514" s="13"/>
      <c r="D514" s="13"/>
      <c r="E514" s="13"/>
      <c r="F514" s="13"/>
      <c r="G514" s="13"/>
      <c r="H514" s="13"/>
      <c r="I514" s="13"/>
      <c r="J514" s="13"/>
      <c r="K514" s="13"/>
      <c r="L514" s="13"/>
      <c r="M514" s="13"/>
      <c r="N514" s="13"/>
      <c r="O514" s="13"/>
      <c r="P514" s="13"/>
      <c r="Q514" s="13"/>
      <c r="R514" s="13"/>
      <c r="S514" s="13"/>
      <c r="T514" s="13"/>
      <c r="U514" s="13"/>
      <c r="V514" s="13"/>
      <c r="W514" s="13"/>
      <c r="X514" s="13"/>
      <c r="Y514" s="13"/>
    </row>
    <row r="515" spans="1:25" ht="15.75" customHeight="1" x14ac:dyDescent="0.25">
      <c r="A515" s="13"/>
      <c r="B515" s="13"/>
      <c r="C515" s="13"/>
      <c r="D515" s="13"/>
      <c r="E515" s="13"/>
      <c r="F515" s="13"/>
      <c r="G515" s="13"/>
      <c r="H515" s="13"/>
      <c r="I515" s="13"/>
      <c r="J515" s="13"/>
      <c r="K515" s="13"/>
      <c r="L515" s="13"/>
      <c r="M515" s="13"/>
      <c r="N515" s="13"/>
      <c r="O515" s="13"/>
      <c r="P515" s="13"/>
      <c r="Q515" s="13"/>
      <c r="R515" s="13"/>
      <c r="S515" s="13"/>
      <c r="T515" s="13"/>
      <c r="U515" s="13"/>
      <c r="V515" s="13"/>
      <c r="W515" s="13"/>
      <c r="X515" s="13"/>
      <c r="Y515" s="13"/>
    </row>
    <row r="516" spans="1:25" ht="15.75" customHeight="1" x14ac:dyDescent="0.25">
      <c r="A516" s="13"/>
      <c r="B516" s="13"/>
      <c r="C516" s="13"/>
      <c r="D516" s="13"/>
      <c r="E516" s="13"/>
      <c r="F516" s="13"/>
      <c r="G516" s="13"/>
      <c r="H516" s="13"/>
      <c r="I516" s="13"/>
      <c r="J516" s="13"/>
      <c r="K516" s="13"/>
      <c r="L516" s="13"/>
      <c r="M516" s="13"/>
      <c r="N516" s="13"/>
      <c r="O516" s="13"/>
      <c r="P516" s="13"/>
      <c r="Q516" s="13"/>
      <c r="R516" s="13"/>
      <c r="S516" s="13"/>
      <c r="T516" s="13"/>
      <c r="U516" s="13"/>
      <c r="V516" s="13"/>
      <c r="W516" s="13"/>
      <c r="X516" s="13"/>
      <c r="Y516" s="13"/>
    </row>
    <row r="517" spans="1:25" ht="15.75" customHeight="1" x14ac:dyDescent="0.25">
      <c r="A517" s="13"/>
      <c r="B517" s="13"/>
      <c r="C517" s="13"/>
      <c r="D517" s="13"/>
      <c r="E517" s="13"/>
      <c r="F517" s="13"/>
      <c r="G517" s="13"/>
      <c r="H517" s="13"/>
      <c r="I517" s="13"/>
      <c r="J517" s="13"/>
      <c r="K517" s="13"/>
      <c r="L517" s="13"/>
      <c r="M517" s="13"/>
      <c r="N517" s="13"/>
      <c r="O517" s="13"/>
      <c r="P517" s="13"/>
      <c r="Q517" s="13"/>
      <c r="R517" s="13"/>
      <c r="S517" s="13"/>
      <c r="T517" s="13"/>
      <c r="U517" s="13"/>
      <c r="V517" s="13"/>
      <c r="W517" s="13"/>
      <c r="X517" s="13"/>
      <c r="Y517" s="13"/>
    </row>
    <row r="518" spans="1:25" ht="15.75" customHeight="1" x14ac:dyDescent="0.25">
      <c r="A518" s="13"/>
      <c r="B518" s="13"/>
      <c r="C518" s="13"/>
      <c r="D518" s="13"/>
      <c r="E518" s="13"/>
      <c r="F518" s="13"/>
      <c r="G518" s="13"/>
      <c r="H518" s="13"/>
      <c r="I518" s="13"/>
      <c r="J518" s="13"/>
      <c r="K518" s="13"/>
      <c r="L518" s="13"/>
      <c r="M518" s="13"/>
      <c r="N518" s="13"/>
      <c r="O518" s="13"/>
      <c r="P518" s="13"/>
      <c r="Q518" s="13"/>
      <c r="R518" s="13"/>
      <c r="S518" s="13"/>
      <c r="T518" s="13"/>
      <c r="U518" s="13"/>
      <c r="V518" s="13"/>
      <c r="W518" s="13"/>
      <c r="X518" s="13"/>
      <c r="Y518" s="13"/>
    </row>
    <row r="519" spans="1:25" ht="15.75" customHeight="1" x14ac:dyDescent="0.25">
      <c r="A519" s="13"/>
      <c r="B519" s="13"/>
      <c r="C519" s="13"/>
      <c r="D519" s="13"/>
      <c r="E519" s="13"/>
      <c r="F519" s="13"/>
      <c r="G519" s="13"/>
      <c r="H519" s="13"/>
      <c r="I519" s="13"/>
      <c r="J519" s="13"/>
      <c r="K519" s="13"/>
      <c r="L519" s="13"/>
      <c r="M519" s="13"/>
      <c r="N519" s="13"/>
      <c r="O519" s="13"/>
      <c r="P519" s="13"/>
      <c r="Q519" s="13"/>
      <c r="R519" s="13"/>
      <c r="S519" s="13"/>
      <c r="T519" s="13"/>
      <c r="U519" s="13"/>
      <c r="V519" s="13"/>
      <c r="W519" s="13"/>
      <c r="X519" s="13"/>
      <c r="Y519" s="13"/>
    </row>
    <row r="520" spans="1:25" ht="15.75" customHeight="1" x14ac:dyDescent="0.25">
      <c r="A520" s="13"/>
      <c r="B520" s="13"/>
      <c r="C520" s="13"/>
      <c r="D520" s="13"/>
      <c r="E520" s="13"/>
      <c r="F520" s="13"/>
      <c r="G520" s="13"/>
      <c r="H520" s="13"/>
      <c r="I520" s="13"/>
      <c r="J520" s="13"/>
      <c r="K520" s="13"/>
      <c r="L520" s="13"/>
      <c r="M520" s="13"/>
      <c r="N520" s="13"/>
      <c r="O520" s="13"/>
      <c r="P520" s="13"/>
      <c r="Q520" s="13"/>
      <c r="R520" s="13"/>
      <c r="S520" s="13"/>
      <c r="T520" s="13"/>
      <c r="U520" s="13"/>
      <c r="V520" s="13"/>
      <c r="W520" s="13"/>
      <c r="X520" s="13"/>
      <c r="Y520" s="13"/>
    </row>
    <row r="521" spans="1:25" ht="15.75" customHeight="1" x14ac:dyDescent="0.25">
      <c r="A521" s="13"/>
      <c r="B521" s="13"/>
      <c r="C521" s="13"/>
      <c r="D521" s="13"/>
      <c r="E521" s="13"/>
      <c r="F521" s="13"/>
      <c r="G521" s="13"/>
      <c r="H521" s="13"/>
      <c r="I521" s="13"/>
      <c r="J521" s="13"/>
      <c r="K521" s="13"/>
      <c r="L521" s="13"/>
      <c r="M521" s="13"/>
      <c r="N521" s="13"/>
      <c r="O521" s="13"/>
      <c r="P521" s="13"/>
      <c r="Q521" s="13"/>
      <c r="R521" s="13"/>
      <c r="S521" s="13"/>
      <c r="T521" s="13"/>
      <c r="U521" s="13"/>
      <c r="V521" s="13"/>
      <c r="W521" s="13"/>
      <c r="X521" s="13"/>
      <c r="Y521" s="13"/>
    </row>
    <row r="522" spans="1:25" ht="15.75" customHeight="1" x14ac:dyDescent="0.25">
      <c r="A522" s="13"/>
      <c r="B522" s="13"/>
      <c r="C522" s="13"/>
      <c r="D522" s="13"/>
      <c r="E522" s="13"/>
      <c r="F522" s="13"/>
      <c r="G522" s="13"/>
      <c r="H522" s="13"/>
      <c r="I522" s="13"/>
      <c r="J522" s="13"/>
      <c r="K522" s="13"/>
      <c r="L522" s="13"/>
      <c r="M522" s="13"/>
      <c r="N522" s="13"/>
      <c r="O522" s="13"/>
      <c r="P522" s="13"/>
      <c r="Q522" s="13"/>
      <c r="R522" s="13"/>
      <c r="S522" s="13"/>
      <c r="T522" s="13"/>
      <c r="U522" s="13"/>
      <c r="V522" s="13"/>
      <c r="W522" s="13"/>
      <c r="X522" s="13"/>
      <c r="Y522" s="13"/>
    </row>
    <row r="523" spans="1:25" ht="15.75" customHeight="1" x14ac:dyDescent="0.25">
      <c r="A523" s="13"/>
      <c r="B523" s="13"/>
      <c r="C523" s="13"/>
      <c r="D523" s="13"/>
      <c r="E523" s="13"/>
      <c r="F523" s="13"/>
      <c r="G523" s="13"/>
      <c r="H523" s="13"/>
      <c r="I523" s="13"/>
      <c r="J523" s="13"/>
      <c r="K523" s="13"/>
      <c r="L523" s="13"/>
      <c r="M523" s="13"/>
      <c r="N523" s="13"/>
      <c r="O523" s="13"/>
      <c r="P523" s="13"/>
      <c r="Q523" s="13"/>
      <c r="R523" s="13"/>
      <c r="S523" s="13"/>
      <c r="T523" s="13"/>
      <c r="U523" s="13"/>
      <c r="V523" s="13"/>
      <c r="W523" s="13"/>
      <c r="X523" s="13"/>
      <c r="Y523" s="13"/>
    </row>
    <row r="524" spans="1:25" ht="15.75" customHeight="1" x14ac:dyDescent="0.25">
      <c r="A524" s="13"/>
      <c r="B524" s="13"/>
      <c r="C524" s="13"/>
      <c r="D524" s="13"/>
      <c r="E524" s="13"/>
      <c r="F524" s="13"/>
      <c r="G524" s="13"/>
      <c r="H524" s="13"/>
      <c r="I524" s="13"/>
      <c r="J524" s="13"/>
      <c r="K524" s="13"/>
      <c r="L524" s="13"/>
      <c r="M524" s="13"/>
      <c r="N524" s="13"/>
      <c r="O524" s="13"/>
      <c r="P524" s="13"/>
      <c r="Q524" s="13"/>
      <c r="R524" s="13"/>
      <c r="S524" s="13"/>
      <c r="T524" s="13"/>
      <c r="U524" s="13"/>
      <c r="V524" s="13"/>
      <c r="W524" s="13"/>
      <c r="X524" s="13"/>
      <c r="Y524" s="13"/>
    </row>
    <row r="525" spans="1:25" ht="15.75" customHeight="1" x14ac:dyDescent="0.25">
      <c r="A525" s="13"/>
      <c r="B525" s="13"/>
      <c r="C525" s="13"/>
      <c r="D525" s="13"/>
      <c r="E525" s="13"/>
      <c r="F525" s="13"/>
      <c r="G525" s="13"/>
      <c r="H525" s="13"/>
      <c r="I525" s="13"/>
      <c r="J525" s="13"/>
      <c r="K525" s="13"/>
      <c r="L525" s="13"/>
      <c r="M525" s="13"/>
      <c r="N525" s="13"/>
      <c r="O525" s="13"/>
      <c r="P525" s="13"/>
      <c r="Q525" s="13"/>
      <c r="R525" s="13"/>
      <c r="S525" s="13"/>
      <c r="T525" s="13"/>
      <c r="U525" s="13"/>
      <c r="V525" s="13"/>
      <c r="W525" s="13"/>
      <c r="X525" s="13"/>
      <c r="Y525" s="13"/>
    </row>
    <row r="526" spans="1:25" ht="15.75" customHeight="1" x14ac:dyDescent="0.25">
      <c r="A526" s="13"/>
      <c r="B526" s="13"/>
      <c r="C526" s="13"/>
      <c r="D526" s="13"/>
      <c r="E526" s="13"/>
      <c r="F526" s="13"/>
      <c r="G526" s="13"/>
      <c r="H526" s="13"/>
      <c r="I526" s="13"/>
      <c r="J526" s="13"/>
      <c r="K526" s="13"/>
      <c r="L526" s="13"/>
      <c r="M526" s="13"/>
      <c r="N526" s="13"/>
      <c r="O526" s="13"/>
      <c r="P526" s="13"/>
      <c r="Q526" s="13"/>
      <c r="R526" s="13"/>
      <c r="S526" s="13"/>
      <c r="T526" s="13"/>
      <c r="U526" s="13"/>
      <c r="V526" s="13"/>
      <c r="W526" s="13"/>
      <c r="X526" s="13"/>
      <c r="Y526" s="13"/>
    </row>
    <row r="527" spans="1:25" ht="15.75" customHeight="1" x14ac:dyDescent="0.25">
      <c r="A527" s="13"/>
      <c r="B527" s="13"/>
      <c r="C527" s="13"/>
      <c r="D527" s="13"/>
      <c r="E527" s="13"/>
      <c r="F527" s="13"/>
      <c r="G527" s="13"/>
      <c r="H527" s="13"/>
      <c r="I527" s="13"/>
      <c r="J527" s="13"/>
      <c r="K527" s="13"/>
      <c r="L527" s="13"/>
      <c r="M527" s="13"/>
      <c r="N527" s="13"/>
      <c r="O527" s="13"/>
      <c r="P527" s="13"/>
      <c r="Q527" s="13"/>
      <c r="R527" s="13"/>
      <c r="S527" s="13"/>
      <c r="T527" s="13"/>
      <c r="U527" s="13"/>
      <c r="V527" s="13"/>
      <c r="W527" s="13"/>
      <c r="X527" s="13"/>
      <c r="Y527" s="13"/>
    </row>
    <row r="528" spans="1:25" ht="15.75" customHeight="1" x14ac:dyDescent="0.25">
      <c r="A528" s="13"/>
      <c r="B528" s="13"/>
      <c r="C528" s="13"/>
      <c r="D528" s="13"/>
      <c r="E528" s="13"/>
      <c r="F528" s="13"/>
      <c r="G528" s="13"/>
      <c r="H528" s="13"/>
      <c r="I528" s="13"/>
      <c r="J528" s="13"/>
      <c r="K528" s="13"/>
      <c r="L528" s="13"/>
      <c r="M528" s="13"/>
      <c r="N528" s="13"/>
      <c r="O528" s="13"/>
      <c r="P528" s="13"/>
      <c r="Q528" s="13"/>
      <c r="R528" s="13"/>
      <c r="S528" s="13"/>
      <c r="T528" s="13"/>
      <c r="U528" s="13"/>
      <c r="V528" s="13"/>
      <c r="W528" s="13"/>
      <c r="X528" s="13"/>
      <c r="Y528" s="13"/>
    </row>
    <row r="529" spans="1:25" ht="15.75" customHeight="1" x14ac:dyDescent="0.25">
      <c r="A529" s="13"/>
      <c r="B529" s="13"/>
      <c r="C529" s="13"/>
      <c r="D529" s="13"/>
      <c r="E529" s="13"/>
      <c r="F529" s="13"/>
      <c r="G529" s="13"/>
      <c r="H529" s="13"/>
      <c r="I529" s="13"/>
      <c r="J529" s="13"/>
      <c r="K529" s="13"/>
      <c r="L529" s="13"/>
      <c r="M529" s="13"/>
      <c r="N529" s="13"/>
      <c r="O529" s="13"/>
      <c r="P529" s="13"/>
      <c r="Q529" s="13"/>
      <c r="R529" s="13"/>
      <c r="S529" s="13"/>
      <c r="T529" s="13"/>
      <c r="U529" s="13"/>
      <c r="V529" s="13"/>
      <c r="W529" s="13"/>
      <c r="X529" s="13"/>
      <c r="Y529" s="13"/>
    </row>
    <row r="530" spans="1:25" ht="15.75" customHeight="1" x14ac:dyDescent="0.25">
      <c r="A530" s="13"/>
      <c r="B530" s="13"/>
      <c r="C530" s="13"/>
      <c r="D530" s="13"/>
      <c r="E530" s="13"/>
      <c r="F530" s="13"/>
      <c r="G530" s="13"/>
      <c r="H530" s="13"/>
      <c r="I530" s="13"/>
      <c r="J530" s="13"/>
      <c r="K530" s="13"/>
      <c r="L530" s="13"/>
      <c r="M530" s="13"/>
      <c r="N530" s="13"/>
      <c r="O530" s="13"/>
      <c r="P530" s="13"/>
      <c r="Q530" s="13"/>
      <c r="R530" s="13"/>
      <c r="S530" s="13"/>
      <c r="T530" s="13"/>
      <c r="U530" s="13"/>
      <c r="V530" s="13"/>
      <c r="W530" s="13"/>
      <c r="X530" s="13"/>
      <c r="Y530" s="13"/>
    </row>
    <row r="531" spans="1:25" ht="15.75" customHeight="1" x14ac:dyDescent="0.25">
      <c r="A531" s="13"/>
      <c r="B531" s="13"/>
      <c r="C531" s="13"/>
      <c r="D531" s="13"/>
      <c r="E531" s="13"/>
      <c r="F531" s="13"/>
      <c r="G531" s="13"/>
      <c r="H531" s="13"/>
      <c r="I531" s="13"/>
      <c r="J531" s="13"/>
      <c r="K531" s="13"/>
      <c r="L531" s="13"/>
      <c r="M531" s="13"/>
      <c r="N531" s="13"/>
      <c r="O531" s="13"/>
      <c r="P531" s="13"/>
      <c r="Q531" s="13"/>
      <c r="R531" s="13"/>
      <c r="S531" s="13"/>
      <c r="T531" s="13"/>
      <c r="U531" s="13"/>
      <c r="V531" s="13"/>
      <c r="W531" s="13"/>
      <c r="X531" s="13"/>
      <c r="Y531" s="13"/>
    </row>
    <row r="532" spans="1:25" ht="15.75" customHeight="1" x14ac:dyDescent="0.25">
      <c r="A532" s="13"/>
      <c r="B532" s="13"/>
      <c r="C532" s="13"/>
      <c r="D532" s="13"/>
      <c r="E532" s="13"/>
      <c r="F532" s="13"/>
      <c r="G532" s="13"/>
      <c r="H532" s="13"/>
      <c r="I532" s="13"/>
      <c r="J532" s="13"/>
      <c r="K532" s="13"/>
      <c r="L532" s="13"/>
      <c r="M532" s="13"/>
      <c r="N532" s="13"/>
      <c r="O532" s="13"/>
      <c r="P532" s="13"/>
      <c r="Q532" s="13"/>
      <c r="R532" s="13"/>
      <c r="S532" s="13"/>
      <c r="T532" s="13"/>
      <c r="U532" s="13"/>
      <c r="V532" s="13"/>
      <c r="W532" s="13"/>
      <c r="X532" s="13"/>
      <c r="Y532" s="13"/>
    </row>
    <row r="533" spans="1:25" ht="15.75" customHeight="1" x14ac:dyDescent="0.25">
      <c r="A533" s="13"/>
      <c r="B533" s="13"/>
      <c r="C533" s="13"/>
      <c r="D533" s="13"/>
      <c r="E533" s="13"/>
      <c r="F533" s="13"/>
      <c r="G533" s="13"/>
      <c r="H533" s="13"/>
      <c r="I533" s="13"/>
      <c r="J533" s="13"/>
      <c r="K533" s="13"/>
      <c r="L533" s="13"/>
      <c r="M533" s="13"/>
      <c r="N533" s="13"/>
      <c r="O533" s="13"/>
      <c r="P533" s="13"/>
      <c r="Q533" s="13"/>
      <c r="R533" s="13"/>
      <c r="S533" s="13"/>
      <c r="T533" s="13"/>
      <c r="U533" s="13"/>
      <c r="V533" s="13"/>
      <c r="W533" s="13"/>
      <c r="X533" s="13"/>
      <c r="Y533" s="13"/>
    </row>
    <row r="534" spans="1:25" ht="15.75" customHeight="1" x14ac:dyDescent="0.25">
      <c r="A534" s="13"/>
      <c r="B534" s="13"/>
      <c r="C534" s="13"/>
      <c r="D534" s="13"/>
      <c r="E534" s="13"/>
      <c r="F534" s="13"/>
      <c r="G534" s="13"/>
      <c r="H534" s="13"/>
      <c r="I534" s="13"/>
      <c r="J534" s="13"/>
      <c r="K534" s="13"/>
      <c r="L534" s="13"/>
      <c r="M534" s="13"/>
      <c r="N534" s="13"/>
      <c r="O534" s="13"/>
      <c r="P534" s="13"/>
      <c r="Q534" s="13"/>
      <c r="R534" s="13"/>
      <c r="S534" s="13"/>
      <c r="T534" s="13"/>
      <c r="U534" s="13"/>
      <c r="V534" s="13"/>
      <c r="W534" s="13"/>
      <c r="X534" s="13"/>
      <c r="Y534" s="13"/>
    </row>
    <row r="535" spans="1:25" ht="15.75" customHeight="1" x14ac:dyDescent="0.25">
      <c r="A535" s="13"/>
      <c r="B535" s="13"/>
      <c r="C535" s="13"/>
      <c r="D535" s="13"/>
      <c r="E535" s="13"/>
      <c r="F535" s="13"/>
      <c r="G535" s="13"/>
      <c r="H535" s="13"/>
      <c r="I535" s="13"/>
      <c r="J535" s="13"/>
      <c r="K535" s="13"/>
      <c r="L535" s="13"/>
      <c r="M535" s="13"/>
      <c r="N535" s="13"/>
      <c r="O535" s="13"/>
      <c r="P535" s="13"/>
      <c r="Q535" s="13"/>
      <c r="R535" s="13"/>
      <c r="S535" s="13"/>
      <c r="T535" s="13"/>
      <c r="U535" s="13"/>
      <c r="V535" s="13"/>
      <c r="W535" s="13"/>
      <c r="X535" s="13"/>
      <c r="Y535" s="13"/>
    </row>
    <row r="536" spans="1:25" ht="15.75" customHeight="1" x14ac:dyDescent="0.25">
      <c r="A536" s="13"/>
      <c r="B536" s="13"/>
      <c r="C536" s="13"/>
      <c r="D536" s="13"/>
      <c r="E536" s="13"/>
      <c r="F536" s="13"/>
      <c r="G536" s="13"/>
      <c r="H536" s="13"/>
      <c r="I536" s="13"/>
      <c r="J536" s="13"/>
      <c r="K536" s="13"/>
      <c r="L536" s="13"/>
      <c r="M536" s="13"/>
      <c r="N536" s="13"/>
      <c r="O536" s="13"/>
      <c r="P536" s="13"/>
      <c r="Q536" s="13"/>
      <c r="R536" s="13"/>
      <c r="S536" s="13"/>
      <c r="T536" s="13"/>
      <c r="U536" s="13"/>
      <c r="V536" s="13"/>
      <c r="W536" s="13"/>
      <c r="X536" s="13"/>
      <c r="Y536" s="13"/>
    </row>
    <row r="537" spans="1:25" ht="15.75" customHeight="1" x14ac:dyDescent="0.25">
      <c r="A537" s="13"/>
      <c r="B537" s="13"/>
      <c r="C537" s="13"/>
      <c r="D537" s="13"/>
      <c r="E537" s="13"/>
      <c r="F537" s="13"/>
      <c r="G537" s="13"/>
      <c r="H537" s="13"/>
      <c r="I537" s="13"/>
      <c r="J537" s="13"/>
      <c r="K537" s="13"/>
      <c r="L537" s="13"/>
      <c r="M537" s="13"/>
      <c r="N537" s="13"/>
      <c r="O537" s="13"/>
      <c r="P537" s="13"/>
      <c r="Q537" s="13"/>
      <c r="R537" s="13"/>
      <c r="S537" s="13"/>
      <c r="T537" s="13"/>
      <c r="U537" s="13"/>
      <c r="V537" s="13"/>
      <c r="W537" s="13"/>
      <c r="X537" s="13"/>
      <c r="Y537" s="13"/>
    </row>
    <row r="538" spans="1:25" ht="15.75" customHeight="1" x14ac:dyDescent="0.25">
      <c r="A538" s="13"/>
      <c r="B538" s="13"/>
      <c r="C538" s="13"/>
      <c r="D538" s="13"/>
      <c r="E538" s="13"/>
      <c r="F538" s="13"/>
      <c r="G538" s="13"/>
      <c r="H538" s="13"/>
      <c r="I538" s="13"/>
      <c r="J538" s="13"/>
      <c r="K538" s="13"/>
      <c r="L538" s="13"/>
      <c r="M538" s="13"/>
      <c r="N538" s="13"/>
      <c r="O538" s="13"/>
      <c r="P538" s="13"/>
      <c r="Q538" s="13"/>
      <c r="R538" s="13"/>
      <c r="S538" s="13"/>
      <c r="T538" s="13"/>
      <c r="U538" s="13"/>
      <c r="V538" s="13"/>
      <c r="W538" s="13"/>
      <c r="X538" s="13"/>
      <c r="Y538" s="13"/>
    </row>
    <row r="539" spans="1:25" ht="15.75" customHeight="1" x14ac:dyDescent="0.25">
      <c r="A539" s="13"/>
      <c r="B539" s="13"/>
      <c r="C539" s="13"/>
      <c r="D539" s="13"/>
      <c r="E539" s="13"/>
      <c r="F539" s="13"/>
      <c r="G539" s="13"/>
      <c r="H539" s="13"/>
      <c r="I539" s="13"/>
      <c r="J539" s="13"/>
      <c r="K539" s="13"/>
      <c r="L539" s="13"/>
      <c r="M539" s="13"/>
      <c r="N539" s="13"/>
      <c r="O539" s="13"/>
      <c r="P539" s="13"/>
      <c r="Q539" s="13"/>
      <c r="R539" s="13"/>
      <c r="S539" s="13"/>
      <c r="T539" s="13"/>
      <c r="U539" s="13"/>
      <c r="V539" s="13"/>
      <c r="W539" s="13"/>
      <c r="X539" s="13"/>
      <c r="Y539" s="13"/>
    </row>
    <row r="540" spans="1:25" ht="15.75" customHeight="1" x14ac:dyDescent="0.25">
      <c r="A540" s="13"/>
      <c r="B540" s="13"/>
      <c r="C540" s="13"/>
      <c r="D540" s="13"/>
      <c r="E540" s="13"/>
      <c r="F540" s="13"/>
      <c r="G540" s="13"/>
      <c r="H540" s="13"/>
      <c r="I540" s="13"/>
      <c r="J540" s="13"/>
      <c r="K540" s="13"/>
      <c r="L540" s="13"/>
      <c r="M540" s="13"/>
      <c r="N540" s="13"/>
      <c r="O540" s="13"/>
      <c r="P540" s="13"/>
      <c r="Q540" s="13"/>
      <c r="R540" s="13"/>
      <c r="S540" s="13"/>
      <c r="T540" s="13"/>
      <c r="U540" s="13"/>
      <c r="V540" s="13"/>
      <c r="W540" s="13"/>
      <c r="X540" s="13"/>
      <c r="Y540" s="13"/>
    </row>
    <row r="541" spans="1:25" ht="15.75" customHeight="1" x14ac:dyDescent="0.25">
      <c r="A541" s="13"/>
      <c r="B541" s="13"/>
      <c r="C541" s="13"/>
      <c r="D541" s="13"/>
      <c r="E541" s="13"/>
      <c r="F541" s="13"/>
      <c r="G541" s="13"/>
      <c r="H541" s="13"/>
      <c r="I541" s="13"/>
      <c r="J541" s="13"/>
      <c r="K541" s="13"/>
      <c r="L541" s="13"/>
      <c r="M541" s="13"/>
      <c r="N541" s="13"/>
      <c r="O541" s="13"/>
      <c r="P541" s="13"/>
      <c r="Q541" s="13"/>
      <c r="R541" s="13"/>
      <c r="S541" s="13"/>
      <c r="T541" s="13"/>
      <c r="U541" s="13"/>
      <c r="V541" s="13"/>
      <c r="W541" s="13"/>
      <c r="X541" s="13"/>
      <c r="Y541" s="13"/>
    </row>
    <row r="542" spans="1:25" ht="15.75" customHeight="1" x14ac:dyDescent="0.25">
      <c r="A542" s="13"/>
      <c r="B542" s="13"/>
      <c r="C542" s="13"/>
      <c r="D542" s="13"/>
      <c r="E542" s="13"/>
      <c r="F542" s="13"/>
      <c r="G542" s="13"/>
      <c r="H542" s="13"/>
      <c r="I542" s="13"/>
      <c r="J542" s="13"/>
      <c r="K542" s="13"/>
      <c r="L542" s="13"/>
      <c r="M542" s="13"/>
      <c r="N542" s="13"/>
      <c r="O542" s="13"/>
      <c r="P542" s="13"/>
      <c r="Q542" s="13"/>
      <c r="R542" s="13"/>
      <c r="S542" s="13"/>
      <c r="T542" s="13"/>
      <c r="U542" s="13"/>
      <c r="V542" s="13"/>
      <c r="W542" s="13"/>
      <c r="X542" s="13"/>
      <c r="Y542" s="13"/>
    </row>
    <row r="543" spans="1:25" ht="15.75" customHeight="1" x14ac:dyDescent="0.25">
      <c r="A543" s="13"/>
      <c r="B543" s="13"/>
      <c r="C543" s="13"/>
      <c r="D543" s="13"/>
      <c r="E543" s="13"/>
      <c r="F543" s="13"/>
      <c r="G543" s="13"/>
      <c r="H543" s="13"/>
      <c r="I543" s="13"/>
      <c r="J543" s="13"/>
      <c r="K543" s="13"/>
      <c r="L543" s="13"/>
      <c r="M543" s="13"/>
      <c r="N543" s="13"/>
      <c r="O543" s="13"/>
      <c r="P543" s="13"/>
      <c r="Q543" s="13"/>
      <c r="R543" s="13"/>
      <c r="S543" s="13"/>
      <c r="T543" s="13"/>
      <c r="U543" s="13"/>
      <c r="V543" s="13"/>
      <c r="W543" s="13"/>
      <c r="X543" s="13"/>
      <c r="Y543" s="13"/>
    </row>
    <row r="544" spans="1:25" ht="15.75" customHeight="1" x14ac:dyDescent="0.25">
      <c r="A544" s="13"/>
      <c r="B544" s="13"/>
      <c r="C544" s="13"/>
      <c r="D544" s="13"/>
      <c r="E544" s="13"/>
      <c r="F544" s="13"/>
      <c r="G544" s="13"/>
      <c r="H544" s="13"/>
      <c r="I544" s="13"/>
      <c r="J544" s="13"/>
      <c r="K544" s="13"/>
      <c r="L544" s="13"/>
      <c r="M544" s="13"/>
      <c r="N544" s="13"/>
      <c r="O544" s="13"/>
      <c r="P544" s="13"/>
      <c r="Q544" s="13"/>
      <c r="R544" s="13"/>
      <c r="S544" s="13"/>
      <c r="T544" s="13"/>
      <c r="U544" s="13"/>
      <c r="V544" s="13"/>
      <c r="W544" s="13"/>
      <c r="X544" s="13"/>
      <c r="Y544" s="13"/>
    </row>
    <row r="545" spans="1:25" ht="15.75" customHeight="1" x14ac:dyDescent="0.25">
      <c r="A545" s="13"/>
      <c r="B545" s="13"/>
      <c r="C545" s="13"/>
      <c r="D545" s="13"/>
      <c r="E545" s="13"/>
      <c r="F545" s="13"/>
      <c r="G545" s="13"/>
      <c r="H545" s="13"/>
      <c r="I545" s="13"/>
      <c r="J545" s="13"/>
      <c r="K545" s="13"/>
      <c r="L545" s="13"/>
      <c r="M545" s="13"/>
      <c r="N545" s="13"/>
      <c r="O545" s="13"/>
      <c r="P545" s="13"/>
      <c r="Q545" s="13"/>
      <c r="R545" s="13"/>
      <c r="S545" s="13"/>
      <c r="T545" s="13"/>
      <c r="U545" s="13"/>
      <c r="V545" s="13"/>
      <c r="W545" s="13"/>
      <c r="X545" s="13"/>
      <c r="Y545" s="13"/>
    </row>
    <row r="546" spans="1:25" ht="15.75" customHeight="1" x14ac:dyDescent="0.25">
      <c r="A546" s="13"/>
      <c r="B546" s="13"/>
      <c r="C546" s="13"/>
      <c r="D546" s="13"/>
      <c r="E546" s="13"/>
      <c r="F546" s="13"/>
      <c r="G546" s="13"/>
      <c r="H546" s="13"/>
      <c r="I546" s="13"/>
      <c r="J546" s="13"/>
      <c r="K546" s="13"/>
      <c r="L546" s="13"/>
      <c r="M546" s="13"/>
      <c r="N546" s="13"/>
      <c r="O546" s="13"/>
      <c r="P546" s="13"/>
      <c r="Q546" s="13"/>
      <c r="R546" s="13"/>
      <c r="S546" s="13"/>
      <c r="T546" s="13"/>
      <c r="U546" s="13"/>
      <c r="V546" s="13"/>
      <c r="W546" s="13"/>
      <c r="X546" s="13"/>
      <c r="Y546" s="13"/>
    </row>
    <row r="547" spans="1:25" ht="15.75" customHeight="1" x14ac:dyDescent="0.25">
      <c r="A547" s="13"/>
      <c r="B547" s="13"/>
      <c r="C547" s="13"/>
      <c r="D547" s="13"/>
      <c r="E547" s="13"/>
      <c r="F547" s="13"/>
      <c r="G547" s="13"/>
      <c r="H547" s="13"/>
      <c r="I547" s="13"/>
      <c r="J547" s="13"/>
      <c r="K547" s="13"/>
      <c r="L547" s="13"/>
      <c r="M547" s="13"/>
      <c r="N547" s="13"/>
      <c r="O547" s="13"/>
      <c r="P547" s="13"/>
      <c r="Q547" s="13"/>
      <c r="R547" s="13"/>
      <c r="S547" s="13"/>
      <c r="T547" s="13"/>
      <c r="U547" s="13"/>
      <c r="V547" s="13"/>
      <c r="W547" s="13"/>
      <c r="X547" s="13"/>
      <c r="Y547" s="13"/>
    </row>
    <row r="548" spans="1:25" ht="15.75" customHeight="1" x14ac:dyDescent="0.25">
      <c r="A548" s="13"/>
      <c r="B548" s="13"/>
      <c r="C548" s="13"/>
      <c r="D548" s="13"/>
      <c r="E548" s="13"/>
      <c r="F548" s="13"/>
      <c r="G548" s="13"/>
      <c r="H548" s="13"/>
      <c r="I548" s="13"/>
      <c r="J548" s="13"/>
      <c r="K548" s="13"/>
      <c r="L548" s="13"/>
      <c r="M548" s="13"/>
      <c r="N548" s="13"/>
      <c r="O548" s="13"/>
      <c r="P548" s="13"/>
      <c r="Q548" s="13"/>
      <c r="R548" s="13"/>
      <c r="S548" s="13"/>
      <c r="T548" s="13"/>
      <c r="U548" s="13"/>
      <c r="V548" s="13"/>
      <c r="W548" s="13"/>
      <c r="X548" s="13"/>
      <c r="Y548" s="13"/>
    </row>
    <row r="549" spans="1:25" ht="15.75" customHeight="1" x14ac:dyDescent="0.25">
      <c r="A549" s="13"/>
      <c r="B549" s="13"/>
      <c r="C549" s="13"/>
      <c r="D549" s="13"/>
      <c r="E549" s="13"/>
      <c r="F549" s="13"/>
      <c r="G549" s="13"/>
      <c r="H549" s="13"/>
      <c r="I549" s="13"/>
      <c r="J549" s="13"/>
      <c r="K549" s="13"/>
      <c r="L549" s="13"/>
      <c r="M549" s="13"/>
      <c r="N549" s="13"/>
      <c r="O549" s="13"/>
      <c r="P549" s="13"/>
      <c r="Q549" s="13"/>
      <c r="R549" s="13"/>
      <c r="S549" s="13"/>
      <c r="T549" s="13"/>
      <c r="U549" s="13"/>
      <c r="V549" s="13"/>
      <c r="W549" s="13"/>
      <c r="X549" s="13"/>
      <c r="Y549" s="13"/>
    </row>
    <row r="550" spans="1:25" ht="15.75" customHeight="1" x14ac:dyDescent="0.25">
      <c r="A550" s="13"/>
      <c r="B550" s="13"/>
      <c r="C550" s="13"/>
      <c r="D550" s="13"/>
      <c r="E550" s="13"/>
      <c r="F550" s="13"/>
      <c r="G550" s="13"/>
      <c r="H550" s="13"/>
      <c r="I550" s="13"/>
      <c r="J550" s="13"/>
      <c r="K550" s="13"/>
      <c r="L550" s="13"/>
      <c r="M550" s="13"/>
      <c r="N550" s="13"/>
      <c r="O550" s="13"/>
      <c r="P550" s="13"/>
      <c r="Q550" s="13"/>
      <c r="R550" s="13"/>
      <c r="S550" s="13"/>
      <c r="T550" s="13"/>
      <c r="U550" s="13"/>
      <c r="V550" s="13"/>
      <c r="W550" s="13"/>
      <c r="X550" s="13"/>
      <c r="Y550" s="13"/>
    </row>
    <row r="551" spans="1:25" ht="15.75" customHeight="1" x14ac:dyDescent="0.25">
      <c r="A551" s="13"/>
      <c r="B551" s="13"/>
      <c r="C551" s="13"/>
      <c r="D551" s="13"/>
      <c r="E551" s="13"/>
      <c r="F551" s="13"/>
      <c r="G551" s="13"/>
      <c r="H551" s="13"/>
      <c r="I551" s="13"/>
      <c r="J551" s="13"/>
      <c r="K551" s="13"/>
      <c r="L551" s="13"/>
      <c r="M551" s="13"/>
      <c r="N551" s="13"/>
      <c r="O551" s="13"/>
      <c r="P551" s="13"/>
      <c r="Q551" s="13"/>
      <c r="R551" s="13"/>
      <c r="S551" s="13"/>
      <c r="T551" s="13"/>
      <c r="U551" s="13"/>
      <c r="V551" s="13"/>
      <c r="W551" s="13"/>
      <c r="X551" s="13"/>
      <c r="Y551" s="13"/>
    </row>
    <row r="552" spans="1:25" ht="15.75" customHeight="1" x14ac:dyDescent="0.25">
      <c r="A552" s="13"/>
      <c r="B552" s="13"/>
      <c r="C552" s="13"/>
      <c r="D552" s="13"/>
      <c r="E552" s="13"/>
      <c r="F552" s="13"/>
      <c r="G552" s="13"/>
      <c r="H552" s="13"/>
      <c r="I552" s="13"/>
      <c r="J552" s="13"/>
      <c r="K552" s="13"/>
      <c r="L552" s="13"/>
      <c r="M552" s="13"/>
      <c r="N552" s="13"/>
      <c r="O552" s="13"/>
      <c r="P552" s="13"/>
      <c r="Q552" s="13"/>
      <c r="R552" s="13"/>
      <c r="S552" s="13"/>
      <c r="T552" s="13"/>
      <c r="U552" s="13"/>
      <c r="V552" s="13"/>
      <c r="W552" s="13"/>
      <c r="X552" s="13"/>
      <c r="Y552" s="13"/>
    </row>
    <row r="553" spans="1:25" ht="15.75" customHeight="1" x14ac:dyDescent="0.25">
      <c r="A553" s="13"/>
      <c r="B553" s="13"/>
      <c r="C553" s="13"/>
      <c r="D553" s="13"/>
      <c r="E553" s="13"/>
      <c r="F553" s="13"/>
      <c r="G553" s="13"/>
      <c r="H553" s="13"/>
      <c r="I553" s="13"/>
      <c r="J553" s="13"/>
      <c r="K553" s="13"/>
      <c r="L553" s="13"/>
      <c r="M553" s="13"/>
      <c r="N553" s="13"/>
      <c r="O553" s="13"/>
      <c r="P553" s="13"/>
      <c r="Q553" s="13"/>
      <c r="R553" s="13"/>
      <c r="S553" s="13"/>
      <c r="T553" s="13"/>
      <c r="U553" s="13"/>
      <c r="V553" s="13"/>
      <c r="W553" s="13"/>
      <c r="X553" s="13"/>
      <c r="Y553" s="13"/>
    </row>
    <row r="554" spans="1:25" ht="15.75" customHeight="1" x14ac:dyDescent="0.25">
      <c r="A554" s="13"/>
      <c r="B554" s="13"/>
      <c r="C554" s="13"/>
      <c r="D554" s="13"/>
      <c r="E554" s="13"/>
      <c r="F554" s="13"/>
      <c r="G554" s="13"/>
      <c r="H554" s="13"/>
      <c r="I554" s="13"/>
      <c r="J554" s="13"/>
      <c r="K554" s="13"/>
      <c r="L554" s="13"/>
      <c r="M554" s="13"/>
      <c r="N554" s="13"/>
      <c r="O554" s="13"/>
      <c r="P554" s="13"/>
      <c r="Q554" s="13"/>
      <c r="R554" s="13"/>
      <c r="S554" s="13"/>
      <c r="T554" s="13"/>
      <c r="U554" s="13"/>
      <c r="V554" s="13"/>
      <c r="W554" s="13"/>
      <c r="X554" s="13"/>
      <c r="Y554" s="13"/>
    </row>
    <row r="555" spans="1:25" ht="15.75" customHeight="1" x14ac:dyDescent="0.25">
      <c r="A555" s="13"/>
      <c r="B555" s="13"/>
      <c r="C555" s="13"/>
      <c r="D555" s="13"/>
      <c r="E555" s="13"/>
      <c r="F555" s="13"/>
      <c r="G555" s="13"/>
      <c r="H555" s="13"/>
      <c r="I555" s="13"/>
      <c r="J555" s="13"/>
      <c r="K555" s="13"/>
      <c r="L555" s="13"/>
      <c r="M555" s="13"/>
      <c r="N555" s="13"/>
      <c r="O555" s="13"/>
      <c r="P555" s="13"/>
      <c r="Q555" s="13"/>
      <c r="R555" s="13"/>
      <c r="S555" s="13"/>
      <c r="T555" s="13"/>
      <c r="U555" s="13"/>
      <c r="V555" s="13"/>
      <c r="W555" s="13"/>
      <c r="X555" s="13"/>
      <c r="Y555" s="13"/>
    </row>
    <row r="556" spans="1:25" ht="15.75" customHeight="1" x14ac:dyDescent="0.25">
      <c r="A556" s="13"/>
      <c r="B556" s="13"/>
      <c r="C556" s="13"/>
      <c r="D556" s="13"/>
      <c r="E556" s="13"/>
      <c r="F556" s="13"/>
      <c r="G556" s="13"/>
      <c r="H556" s="13"/>
      <c r="I556" s="13"/>
      <c r="J556" s="13"/>
      <c r="K556" s="13"/>
      <c r="L556" s="13"/>
      <c r="M556" s="13"/>
      <c r="N556" s="13"/>
      <c r="O556" s="13"/>
      <c r="P556" s="13"/>
      <c r="Q556" s="13"/>
      <c r="R556" s="13"/>
      <c r="S556" s="13"/>
      <c r="T556" s="13"/>
      <c r="U556" s="13"/>
      <c r="V556" s="13"/>
      <c r="W556" s="13"/>
      <c r="X556" s="13"/>
      <c r="Y556" s="13"/>
    </row>
    <row r="557" spans="1:25" ht="15.75" customHeight="1" x14ac:dyDescent="0.25">
      <c r="A557" s="13"/>
      <c r="B557" s="13"/>
      <c r="C557" s="13"/>
      <c r="D557" s="13"/>
      <c r="E557" s="13"/>
      <c r="F557" s="13"/>
      <c r="G557" s="13"/>
      <c r="H557" s="13"/>
      <c r="I557" s="13"/>
      <c r="J557" s="13"/>
      <c r="K557" s="13"/>
      <c r="L557" s="13"/>
      <c r="M557" s="13"/>
      <c r="N557" s="13"/>
      <c r="O557" s="13"/>
      <c r="P557" s="13"/>
      <c r="Q557" s="13"/>
      <c r="R557" s="13"/>
      <c r="S557" s="13"/>
      <c r="T557" s="13"/>
      <c r="U557" s="13"/>
      <c r="V557" s="13"/>
      <c r="W557" s="13"/>
      <c r="X557" s="13"/>
      <c r="Y557" s="13"/>
    </row>
    <row r="558" spans="1:25" ht="15.75" customHeight="1" x14ac:dyDescent="0.25">
      <c r="A558" s="13"/>
      <c r="B558" s="13"/>
      <c r="C558" s="13"/>
      <c r="D558" s="13"/>
      <c r="E558" s="13"/>
      <c r="F558" s="13"/>
      <c r="G558" s="13"/>
      <c r="H558" s="13"/>
      <c r="I558" s="13"/>
      <c r="J558" s="13"/>
      <c r="K558" s="13"/>
      <c r="L558" s="13"/>
      <c r="M558" s="13"/>
      <c r="N558" s="13"/>
      <c r="O558" s="13"/>
      <c r="P558" s="13"/>
      <c r="Q558" s="13"/>
      <c r="R558" s="13"/>
      <c r="S558" s="13"/>
      <c r="T558" s="13"/>
      <c r="U558" s="13"/>
      <c r="V558" s="13"/>
      <c r="W558" s="13"/>
      <c r="X558" s="13"/>
      <c r="Y558" s="13"/>
    </row>
    <row r="559" spans="1:25" ht="15.75" customHeight="1" x14ac:dyDescent="0.25">
      <c r="A559" s="13"/>
      <c r="B559" s="13"/>
      <c r="C559" s="13"/>
      <c r="D559" s="13"/>
      <c r="E559" s="13"/>
      <c r="F559" s="13"/>
      <c r="G559" s="13"/>
      <c r="H559" s="13"/>
      <c r="I559" s="13"/>
      <c r="J559" s="13"/>
      <c r="K559" s="13"/>
      <c r="L559" s="13"/>
      <c r="M559" s="13"/>
      <c r="N559" s="13"/>
      <c r="O559" s="13"/>
      <c r="P559" s="13"/>
      <c r="Q559" s="13"/>
      <c r="R559" s="13"/>
      <c r="S559" s="13"/>
      <c r="T559" s="13"/>
      <c r="U559" s="13"/>
      <c r="V559" s="13"/>
      <c r="W559" s="13"/>
      <c r="X559" s="13"/>
      <c r="Y559" s="13"/>
    </row>
    <row r="560" spans="1:25" ht="15.75" customHeight="1" x14ac:dyDescent="0.25">
      <c r="A560" s="13"/>
      <c r="B560" s="13"/>
      <c r="C560" s="13"/>
      <c r="D560" s="13"/>
      <c r="E560" s="13"/>
      <c r="F560" s="13"/>
      <c r="G560" s="13"/>
      <c r="H560" s="13"/>
      <c r="I560" s="13"/>
      <c r="J560" s="13"/>
      <c r="K560" s="13"/>
      <c r="L560" s="13"/>
      <c r="M560" s="13"/>
      <c r="N560" s="13"/>
      <c r="O560" s="13"/>
      <c r="P560" s="13"/>
      <c r="Q560" s="13"/>
      <c r="R560" s="13"/>
      <c r="S560" s="13"/>
      <c r="T560" s="13"/>
      <c r="U560" s="13"/>
      <c r="V560" s="13"/>
      <c r="W560" s="13"/>
      <c r="X560" s="13"/>
      <c r="Y560" s="13"/>
    </row>
    <row r="561" spans="1:25" ht="15.75" customHeight="1" x14ac:dyDescent="0.25">
      <c r="A561" s="13"/>
      <c r="B561" s="13"/>
      <c r="C561" s="13"/>
      <c r="D561" s="13"/>
      <c r="E561" s="13"/>
      <c r="F561" s="13"/>
      <c r="G561" s="13"/>
      <c r="H561" s="13"/>
      <c r="I561" s="13"/>
      <c r="J561" s="13"/>
      <c r="K561" s="13"/>
      <c r="L561" s="13"/>
      <c r="M561" s="13"/>
      <c r="N561" s="13"/>
      <c r="O561" s="13"/>
      <c r="P561" s="13"/>
      <c r="Q561" s="13"/>
      <c r="R561" s="13"/>
      <c r="S561" s="13"/>
      <c r="T561" s="13"/>
      <c r="U561" s="13"/>
      <c r="V561" s="13"/>
      <c r="W561" s="13"/>
      <c r="X561" s="13"/>
      <c r="Y561" s="13"/>
    </row>
    <row r="562" spans="1:25" ht="15.75" customHeight="1" x14ac:dyDescent="0.25">
      <c r="A562" s="13"/>
      <c r="B562" s="13"/>
      <c r="C562" s="13"/>
      <c r="D562" s="13"/>
      <c r="E562" s="13"/>
      <c r="F562" s="13"/>
      <c r="G562" s="13"/>
      <c r="H562" s="13"/>
      <c r="I562" s="13"/>
      <c r="J562" s="13"/>
      <c r="K562" s="13"/>
      <c r="L562" s="13"/>
      <c r="M562" s="13"/>
      <c r="N562" s="13"/>
      <c r="O562" s="13"/>
      <c r="P562" s="13"/>
      <c r="Q562" s="13"/>
      <c r="R562" s="13"/>
      <c r="S562" s="13"/>
      <c r="T562" s="13"/>
      <c r="U562" s="13"/>
      <c r="V562" s="13"/>
      <c r="W562" s="13"/>
      <c r="X562" s="13"/>
      <c r="Y562" s="13"/>
    </row>
    <row r="563" spans="1:25" ht="15.75" customHeight="1" x14ac:dyDescent="0.25">
      <c r="A563" s="13"/>
      <c r="B563" s="13"/>
      <c r="C563" s="13"/>
      <c r="D563" s="13"/>
      <c r="E563" s="13"/>
      <c r="F563" s="13"/>
      <c r="G563" s="13"/>
      <c r="H563" s="13"/>
      <c r="I563" s="13"/>
      <c r="J563" s="13"/>
      <c r="K563" s="13"/>
      <c r="L563" s="13"/>
      <c r="M563" s="13"/>
      <c r="N563" s="13"/>
      <c r="O563" s="13"/>
      <c r="P563" s="13"/>
      <c r="Q563" s="13"/>
      <c r="R563" s="13"/>
      <c r="S563" s="13"/>
      <c r="T563" s="13"/>
      <c r="U563" s="13"/>
      <c r="V563" s="13"/>
      <c r="W563" s="13"/>
      <c r="X563" s="13"/>
      <c r="Y563" s="13"/>
    </row>
    <row r="564" spans="1:25" ht="15.75" customHeight="1" x14ac:dyDescent="0.25">
      <c r="A564" s="13"/>
      <c r="B564" s="13"/>
      <c r="C564" s="13"/>
      <c r="D564" s="13"/>
      <c r="E564" s="13"/>
      <c r="F564" s="13"/>
      <c r="G564" s="13"/>
      <c r="H564" s="13"/>
      <c r="I564" s="13"/>
      <c r="J564" s="13"/>
      <c r="K564" s="13"/>
      <c r="L564" s="13"/>
      <c r="M564" s="13"/>
      <c r="N564" s="13"/>
      <c r="O564" s="13"/>
      <c r="P564" s="13"/>
      <c r="Q564" s="13"/>
      <c r="R564" s="13"/>
      <c r="S564" s="13"/>
      <c r="T564" s="13"/>
      <c r="U564" s="13"/>
      <c r="V564" s="13"/>
      <c r="W564" s="13"/>
      <c r="X564" s="13"/>
      <c r="Y564" s="13"/>
    </row>
    <row r="565" spans="1:25" ht="15.75" customHeight="1" x14ac:dyDescent="0.25">
      <c r="A565" s="13"/>
      <c r="B565" s="13"/>
      <c r="C565" s="13"/>
      <c r="D565" s="13"/>
      <c r="E565" s="13"/>
      <c r="F565" s="13"/>
      <c r="G565" s="13"/>
      <c r="H565" s="13"/>
      <c r="I565" s="13"/>
      <c r="J565" s="13"/>
      <c r="K565" s="13"/>
      <c r="L565" s="13"/>
      <c r="M565" s="13"/>
      <c r="N565" s="13"/>
      <c r="O565" s="13"/>
      <c r="P565" s="13"/>
      <c r="Q565" s="13"/>
      <c r="R565" s="13"/>
      <c r="S565" s="13"/>
      <c r="T565" s="13"/>
      <c r="U565" s="13"/>
      <c r="V565" s="13"/>
      <c r="W565" s="13"/>
      <c r="X565" s="13"/>
      <c r="Y565" s="13"/>
    </row>
    <row r="566" spans="1:25" ht="15.75" customHeight="1" x14ac:dyDescent="0.25">
      <c r="A566" s="13"/>
      <c r="B566" s="13"/>
      <c r="C566" s="13"/>
      <c r="D566" s="13"/>
      <c r="E566" s="13"/>
      <c r="F566" s="13"/>
      <c r="G566" s="13"/>
      <c r="H566" s="13"/>
      <c r="I566" s="13"/>
      <c r="J566" s="13"/>
      <c r="K566" s="13"/>
      <c r="L566" s="13"/>
      <c r="M566" s="13"/>
      <c r="N566" s="13"/>
      <c r="O566" s="13"/>
      <c r="P566" s="13"/>
      <c r="Q566" s="13"/>
      <c r="R566" s="13"/>
      <c r="S566" s="13"/>
      <c r="T566" s="13"/>
      <c r="U566" s="13"/>
      <c r="V566" s="13"/>
      <c r="W566" s="13"/>
      <c r="X566" s="13"/>
      <c r="Y566" s="13"/>
    </row>
    <row r="567" spans="1:25" ht="15.75" customHeight="1" x14ac:dyDescent="0.25">
      <c r="A567" s="13"/>
      <c r="B567" s="13"/>
      <c r="C567" s="13"/>
      <c r="D567" s="13"/>
      <c r="E567" s="13"/>
      <c r="F567" s="13"/>
      <c r="G567" s="13"/>
      <c r="H567" s="13"/>
      <c r="I567" s="13"/>
      <c r="J567" s="13"/>
      <c r="K567" s="13"/>
      <c r="L567" s="13"/>
      <c r="M567" s="13"/>
      <c r="N567" s="13"/>
      <c r="O567" s="13"/>
      <c r="P567" s="13"/>
      <c r="Q567" s="13"/>
      <c r="R567" s="13"/>
      <c r="S567" s="13"/>
      <c r="T567" s="13"/>
      <c r="U567" s="13"/>
      <c r="V567" s="13"/>
      <c r="W567" s="13"/>
      <c r="X567" s="13"/>
      <c r="Y567" s="13"/>
    </row>
    <row r="568" spans="1:25" ht="15.75" customHeight="1" x14ac:dyDescent="0.25">
      <c r="A568" s="13"/>
      <c r="B568" s="13"/>
      <c r="C568" s="13"/>
      <c r="D568" s="13"/>
      <c r="E568" s="13"/>
      <c r="F568" s="13"/>
      <c r="G568" s="13"/>
      <c r="H568" s="13"/>
      <c r="I568" s="13"/>
      <c r="J568" s="13"/>
      <c r="K568" s="13"/>
      <c r="L568" s="13"/>
      <c r="M568" s="13"/>
      <c r="N568" s="13"/>
      <c r="O568" s="13"/>
      <c r="P568" s="13"/>
      <c r="Q568" s="13"/>
      <c r="R568" s="13"/>
      <c r="S568" s="13"/>
      <c r="T568" s="13"/>
      <c r="U568" s="13"/>
      <c r="V568" s="13"/>
      <c r="W568" s="13"/>
      <c r="X568" s="13"/>
      <c r="Y568" s="13"/>
    </row>
    <row r="569" spans="1:25" ht="15.75" customHeight="1" x14ac:dyDescent="0.25">
      <c r="A569" s="13"/>
      <c r="B569" s="13"/>
      <c r="C569" s="13"/>
      <c r="D569" s="13"/>
      <c r="E569" s="13"/>
      <c r="F569" s="13"/>
      <c r="G569" s="13"/>
      <c r="H569" s="13"/>
      <c r="I569" s="13"/>
      <c r="J569" s="13"/>
      <c r="K569" s="13"/>
      <c r="L569" s="13"/>
      <c r="M569" s="13"/>
      <c r="N569" s="13"/>
      <c r="O569" s="13"/>
      <c r="P569" s="13"/>
      <c r="Q569" s="13"/>
      <c r="R569" s="13"/>
      <c r="S569" s="13"/>
      <c r="T569" s="13"/>
      <c r="U569" s="13"/>
      <c r="V569" s="13"/>
      <c r="W569" s="13"/>
      <c r="X569" s="13"/>
      <c r="Y569" s="13"/>
    </row>
    <row r="570" spans="1:25" ht="15.75" customHeight="1" x14ac:dyDescent="0.25">
      <c r="A570" s="13"/>
      <c r="B570" s="13"/>
      <c r="C570" s="13"/>
      <c r="D570" s="13"/>
      <c r="E570" s="13"/>
      <c r="F570" s="13"/>
      <c r="G570" s="13"/>
      <c r="H570" s="13"/>
      <c r="I570" s="13"/>
      <c r="J570" s="13"/>
      <c r="K570" s="13"/>
      <c r="L570" s="13"/>
      <c r="M570" s="13"/>
      <c r="N570" s="13"/>
      <c r="O570" s="13"/>
      <c r="P570" s="13"/>
      <c r="Q570" s="13"/>
      <c r="R570" s="13"/>
      <c r="S570" s="13"/>
      <c r="T570" s="13"/>
      <c r="U570" s="13"/>
      <c r="V570" s="13"/>
      <c r="W570" s="13"/>
      <c r="X570" s="13"/>
      <c r="Y570" s="13"/>
    </row>
    <row r="571" spans="1:25" ht="15.75" customHeight="1" x14ac:dyDescent="0.25">
      <c r="A571" s="13"/>
      <c r="B571" s="13"/>
      <c r="C571" s="13"/>
      <c r="D571" s="13"/>
      <c r="E571" s="13"/>
      <c r="F571" s="13"/>
      <c r="G571" s="13"/>
      <c r="H571" s="13"/>
      <c r="I571" s="13"/>
      <c r="J571" s="13"/>
      <c r="K571" s="13"/>
      <c r="L571" s="13"/>
      <c r="M571" s="13"/>
      <c r="N571" s="13"/>
      <c r="O571" s="13"/>
      <c r="P571" s="13"/>
      <c r="Q571" s="13"/>
      <c r="R571" s="13"/>
      <c r="S571" s="13"/>
      <c r="T571" s="13"/>
      <c r="U571" s="13"/>
      <c r="V571" s="13"/>
      <c r="W571" s="13"/>
      <c r="X571" s="13"/>
      <c r="Y571" s="13"/>
    </row>
    <row r="572" spans="1:25" ht="15.75" customHeight="1" x14ac:dyDescent="0.25">
      <c r="A572" s="13"/>
      <c r="B572" s="13"/>
      <c r="C572" s="13"/>
      <c r="D572" s="13"/>
      <c r="E572" s="13"/>
      <c r="F572" s="13"/>
      <c r="G572" s="13"/>
      <c r="H572" s="13"/>
      <c r="I572" s="13"/>
      <c r="J572" s="13"/>
      <c r="K572" s="13"/>
      <c r="L572" s="13"/>
      <c r="M572" s="13"/>
      <c r="N572" s="13"/>
      <c r="O572" s="13"/>
      <c r="P572" s="13"/>
      <c r="Q572" s="13"/>
      <c r="R572" s="13"/>
      <c r="S572" s="13"/>
      <c r="T572" s="13"/>
      <c r="U572" s="13"/>
      <c r="V572" s="13"/>
      <c r="W572" s="13"/>
      <c r="X572" s="13"/>
      <c r="Y572" s="13"/>
    </row>
    <row r="573" spans="1:25" ht="15.75" customHeight="1" x14ac:dyDescent="0.25">
      <c r="A573" s="13"/>
      <c r="B573" s="13"/>
      <c r="C573" s="13"/>
      <c r="D573" s="13"/>
      <c r="E573" s="13"/>
      <c r="F573" s="13"/>
      <c r="G573" s="13"/>
      <c r="H573" s="13"/>
      <c r="I573" s="13"/>
      <c r="J573" s="13"/>
      <c r="K573" s="13"/>
      <c r="L573" s="13"/>
      <c r="M573" s="13"/>
      <c r="N573" s="13"/>
      <c r="O573" s="13"/>
      <c r="P573" s="13"/>
      <c r="Q573" s="13"/>
      <c r="R573" s="13"/>
      <c r="S573" s="13"/>
      <c r="T573" s="13"/>
      <c r="U573" s="13"/>
      <c r="V573" s="13"/>
      <c r="W573" s="13"/>
      <c r="X573" s="13"/>
      <c r="Y573" s="13"/>
    </row>
    <row r="574" spans="1:25" ht="15.75" customHeight="1" x14ac:dyDescent="0.25">
      <c r="A574" s="13"/>
      <c r="B574" s="13"/>
      <c r="C574" s="13"/>
      <c r="D574" s="13"/>
      <c r="E574" s="13"/>
      <c r="F574" s="13"/>
      <c r="G574" s="13"/>
      <c r="H574" s="13"/>
      <c r="I574" s="13"/>
      <c r="J574" s="13"/>
      <c r="K574" s="13"/>
      <c r="L574" s="13"/>
      <c r="M574" s="13"/>
      <c r="N574" s="13"/>
      <c r="O574" s="13"/>
      <c r="P574" s="13"/>
      <c r="Q574" s="13"/>
      <c r="R574" s="13"/>
      <c r="S574" s="13"/>
      <c r="T574" s="13"/>
      <c r="U574" s="13"/>
      <c r="V574" s="13"/>
      <c r="W574" s="13"/>
      <c r="X574" s="13"/>
      <c r="Y574" s="13"/>
    </row>
    <row r="575" spans="1:25" ht="15.75" customHeight="1" x14ac:dyDescent="0.25">
      <c r="A575" s="13"/>
      <c r="B575" s="13"/>
      <c r="C575" s="13"/>
      <c r="D575" s="13"/>
      <c r="E575" s="13"/>
      <c r="F575" s="13"/>
      <c r="G575" s="13"/>
      <c r="H575" s="13"/>
      <c r="I575" s="13"/>
      <c r="J575" s="13"/>
      <c r="K575" s="13"/>
      <c r="L575" s="13"/>
      <c r="M575" s="13"/>
      <c r="N575" s="13"/>
      <c r="O575" s="13"/>
      <c r="P575" s="13"/>
      <c r="Q575" s="13"/>
      <c r="R575" s="13"/>
      <c r="S575" s="13"/>
      <c r="T575" s="13"/>
      <c r="U575" s="13"/>
      <c r="V575" s="13"/>
      <c r="W575" s="13"/>
      <c r="X575" s="13"/>
      <c r="Y575" s="13"/>
    </row>
    <row r="576" spans="1:25" ht="15.75" customHeight="1" x14ac:dyDescent="0.25">
      <c r="A576" s="13"/>
      <c r="B576" s="13"/>
      <c r="C576" s="13"/>
      <c r="D576" s="13"/>
      <c r="E576" s="13"/>
      <c r="F576" s="13"/>
      <c r="G576" s="13"/>
      <c r="H576" s="13"/>
      <c r="I576" s="13"/>
      <c r="J576" s="13"/>
      <c r="K576" s="13"/>
      <c r="L576" s="13"/>
      <c r="M576" s="13"/>
      <c r="N576" s="13"/>
      <c r="O576" s="13"/>
      <c r="P576" s="13"/>
      <c r="Q576" s="13"/>
      <c r="R576" s="13"/>
      <c r="S576" s="13"/>
      <c r="T576" s="13"/>
      <c r="U576" s="13"/>
      <c r="V576" s="13"/>
      <c r="W576" s="13"/>
      <c r="X576" s="13"/>
      <c r="Y576" s="13"/>
    </row>
    <row r="577" spans="1:25" ht="15.75" customHeight="1" x14ac:dyDescent="0.25">
      <c r="A577" s="13"/>
      <c r="B577" s="13"/>
      <c r="C577" s="13"/>
      <c r="D577" s="13"/>
      <c r="E577" s="13"/>
      <c r="F577" s="13"/>
      <c r="G577" s="13"/>
      <c r="H577" s="13"/>
      <c r="I577" s="13"/>
      <c r="J577" s="13"/>
      <c r="K577" s="13"/>
      <c r="L577" s="13"/>
      <c r="M577" s="13"/>
      <c r="N577" s="13"/>
      <c r="O577" s="13"/>
      <c r="P577" s="13"/>
      <c r="Q577" s="13"/>
      <c r="R577" s="13"/>
      <c r="S577" s="13"/>
      <c r="T577" s="13"/>
      <c r="U577" s="13"/>
      <c r="V577" s="13"/>
      <c r="W577" s="13"/>
      <c r="X577" s="13"/>
      <c r="Y577" s="13"/>
    </row>
    <row r="578" spans="1:25" ht="15.75" customHeight="1" x14ac:dyDescent="0.25">
      <c r="A578" s="13"/>
      <c r="B578" s="13"/>
      <c r="C578" s="13"/>
      <c r="D578" s="13"/>
      <c r="E578" s="13"/>
      <c r="F578" s="13"/>
      <c r="G578" s="13"/>
      <c r="H578" s="13"/>
      <c r="I578" s="13"/>
      <c r="J578" s="13"/>
      <c r="K578" s="13"/>
      <c r="L578" s="13"/>
      <c r="M578" s="13"/>
      <c r="N578" s="13"/>
      <c r="O578" s="13"/>
      <c r="P578" s="13"/>
      <c r="Q578" s="13"/>
      <c r="R578" s="13"/>
      <c r="S578" s="13"/>
      <c r="T578" s="13"/>
      <c r="U578" s="13"/>
      <c r="V578" s="13"/>
      <c r="W578" s="13"/>
      <c r="X578" s="13"/>
      <c r="Y578" s="13"/>
    </row>
    <row r="579" spans="1:25" ht="15.75" customHeight="1" x14ac:dyDescent="0.25">
      <c r="A579" s="13"/>
      <c r="B579" s="13"/>
      <c r="C579" s="13"/>
      <c r="D579" s="13"/>
      <c r="E579" s="13"/>
      <c r="F579" s="13"/>
      <c r="G579" s="13"/>
      <c r="H579" s="13"/>
      <c r="I579" s="13"/>
      <c r="J579" s="13"/>
      <c r="K579" s="13"/>
      <c r="L579" s="13"/>
      <c r="M579" s="13"/>
      <c r="N579" s="13"/>
      <c r="O579" s="13"/>
      <c r="P579" s="13"/>
      <c r="Q579" s="13"/>
      <c r="R579" s="13"/>
      <c r="S579" s="13"/>
      <c r="T579" s="13"/>
      <c r="U579" s="13"/>
      <c r="V579" s="13"/>
      <c r="W579" s="13"/>
      <c r="X579" s="13"/>
      <c r="Y579" s="13"/>
    </row>
    <row r="580" spans="1:25" ht="15.75" customHeight="1" x14ac:dyDescent="0.25">
      <c r="A580" s="13"/>
      <c r="B580" s="13"/>
      <c r="C580" s="13"/>
      <c r="D580" s="13"/>
      <c r="E580" s="13"/>
      <c r="F580" s="13"/>
      <c r="G580" s="13"/>
      <c r="H580" s="13"/>
      <c r="I580" s="13"/>
      <c r="J580" s="13"/>
      <c r="K580" s="13"/>
      <c r="L580" s="13"/>
      <c r="M580" s="13"/>
      <c r="N580" s="13"/>
      <c r="O580" s="13"/>
      <c r="P580" s="13"/>
      <c r="Q580" s="13"/>
      <c r="R580" s="13"/>
      <c r="S580" s="13"/>
      <c r="T580" s="13"/>
      <c r="U580" s="13"/>
      <c r="V580" s="13"/>
      <c r="W580" s="13"/>
      <c r="X580" s="13"/>
      <c r="Y580" s="13"/>
    </row>
    <row r="581" spans="1:25" ht="15.75" customHeight="1" x14ac:dyDescent="0.25">
      <c r="A581" s="13"/>
      <c r="B581" s="13"/>
      <c r="C581" s="13"/>
      <c r="D581" s="13"/>
      <c r="E581" s="13"/>
      <c r="F581" s="13"/>
      <c r="G581" s="13"/>
      <c r="H581" s="13"/>
      <c r="I581" s="13"/>
      <c r="J581" s="13"/>
      <c r="K581" s="13"/>
      <c r="L581" s="13"/>
      <c r="M581" s="13"/>
      <c r="N581" s="13"/>
      <c r="O581" s="13"/>
      <c r="P581" s="13"/>
      <c r="Q581" s="13"/>
      <c r="R581" s="13"/>
      <c r="S581" s="13"/>
      <c r="T581" s="13"/>
      <c r="U581" s="13"/>
      <c r="V581" s="13"/>
      <c r="W581" s="13"/>
      <c r="X581" s="13"/>
      <c r="Y581" s="13"/>
    </row>
    <row r="582" spans="1:25" ht="15.75" customHeight="1" x14ac:dyDescent="0.25">
      <c r="A582" s="13"/>
      <c r="B582" s="13"/>
      <c r="C582" s="13"/>
      <c r="D582" s="13"/>
      <c r="E582" s="13"/>
      <c r="F582" s="13"/>
      <c r="G582" s="13"/>
      <c r="H582" s="13"/>
      <c r="I582" s="13"/>
      <c r="J582" s="13"/>
      <c r="K582" s="13"/>
      <c r="L582" s="13"/>
      <c r="M582" s="13"/>
      <c r="N582" s="13"/>
      <c r="O582" s="13"/>
      <c r="P582" s="13"/>
      <c r="Q582" s="13"/>
      <c r="R582" s="13"/>
      <c r="S582" s="13"/>
      <c r="T582" s="13"/>
      <c r="U582" s="13"/>
      <c r="V582" s="13"/>
      <c r="W582" s="13"/>
      <c r="X582" s="13"/>
      <c r="Y582" s="13"/>
    </row>
    <row r="583" spans="1:25" ht="15.75" customHeight="1" x14ac:dyDescent="0.25">
      <c r="A583" s="13"/>
      <c r="B583" s="13"/>
      <c r="C583" s="13"/>
      <c r="D583" s="13"/>
      <c r="E583" s="13"/>
      <c r="F583" s="13"/>
      <c r="G583" s="13"/>
      <c r="H583" s="13"/>
      <c r="I583" s="13"/>
      <c r="J583" s="13"/>
      <c r="K583" s="13"/>
      <c r="L583" s="13"/>
      <c r="M583" s="13"/>
      <c r="N583" s="13"/>
      <c r="O583" s="13"/>
      <c r="P583" s="13"/>
      <c r="Q583" s="13"/>
      <c r="R583" s="13"/>
      <c r="S583" s="13"/>
      <c r="T583" s="13"/>
      <c r="U583" s="13"/>
      <c r="V583" s="13"/>
      <c r="W583" s="13"/>
      <c r="X583" s="13"/>
      <c r="Y583" s="13"/>
    </row>
    <row r="584" spans="1:25" ht="15.75" customHeight="1" x14ac:dyDescent="0.25">
      <c r="A584" s="13"/>
      <c r="B584" s="13"/>
      <c r="C584" s="13"/>
      <c r="D584" s="13"/>
      <c r="E584" s="13"/>
      <c r="F584" s="13"/>
      <c r="G584" s="13"/>
      <c r="H584" s="13"/>
      <c r="I584" s="13"/>
      <c r="J584" s="13"/>
      <c r="K584" s="13"/>
      <c r="L584" s="13"/>
      <c r="M584" s="13"/>
      <c r="N584" s="13"/>
      <c r="O584" s="13"/>
      <c r="P584" s="13"/>
      <c r="Q584" s="13"/>
      <c r="R584" s="13"/>
      <c r="S584" s="13"/>
      <c r="T584" s="13"/>
      <c r="U584" s="13"/>
      <c r="V584" s="13"/>
      <c r="W584" s="13"/>
      <c r="X584" s="13"/>
      <c r="Y584" s="13"/>
    </row>
    <row r="585" spans="1:25" ht="15.75" customHeight="1" x14ac:dyDescent="0.25">
      <c r="A585" s="13"/>
      <c r="B585" s="13"/>
      <c r="C585" s="13"/>
      <c r="D585" s="13"/>
      <c r="E585" s="13"/>
      <c r="F585" s="13"/>
      <c r="G585" s="13"/>
      <c r="H585" s="13"/>
      <c r="I585" s="13"/>
      <c r="J585" s="13"/>
      <c r="K585" s="13"/>
      <c r="L585" s="13"/>
      <c r="M585" s="13"/>
      <c r="N585" s="13"/>
      <c r="O585" s="13"/>
      <c r="P585" s="13"/>
      <c r="Q585" s="13"/>
      <c r="R585" s="13"/>
      <c r="S585" s="13"/>
      <c r="T585" s="13"/>
      <c r="U585" s="13"/>
      <c r="V585" s="13"/>
      <c r="W585" s="13"/>
      <c r="X585" s="13"/>
      <c r="Y585" s="13"/>
    </row>
    <row r="586" spans="1:25" ht="15.75" customHeight="1" x14ac:dyDescent="0.25">
      <c r="A586" s="13"/>
      <c r="B586" s="13"/>
      <c r="C586" s="13"/>
      <c r="D586" s="13"/>
      <c r="E586" s="13"/>
      <c r="F586" s="13"/>
      <c r="G586" s="13"/>
      <c r="H586" s="13"/>
      <c r="I586" s="13"/>
      <c r="J586" s="13"/>
      <c r="K586" s="13"/>
      <c r="L586" s="13"/>
      <c r="M586" s="13"/>
      <c r="N586" s="13"/>
      <c r="O586" s="13"/>
      <c r="P586" s="13"/>
      <c r="Q586" s="13"/>
      <c r="R586" s="13"/>
      <c r="S586" s="13"/>
      <c r="T586" s="13"/>
      <c r="U586" s="13"/>
      <c r="V586" s="13"/>
      <c r="W586" s="13"/>
      <c r="X586" s="13"/>
      <c r="Y586" s="13"/>
    </row>
    <row r="587" spans="1:25" ht="15.75" customHeight="1" x14ac:dyDescent="0.25">
      <c r="A587" s="13"/>
      <c r="B587" s="13"/>
      <c r="C587" s="13"/>
      <c r="D587" s="13"/>
      <c r="E587" s="13"/>
      <c r="F587" s="13"/>
      <c r="G587" s="13"/>
      <c r="H587" s="13"/>
      <c r="I587" s="13"/>
      <c r="J587" s="13"/>
      <c r="K587" s="13"/>
      <c r="L587" s="13"/>
      <c r="M587" s="13"/>
      <c r="N587" s="13"/>
      <c r="O587" s="13"/>
      <c r="P587" s="13"/>
      <c r="Q587" s="13"/>
      <c r="R587" s="13"/>
      <c r="S587" s="13"/>
      <c r="T587" s="13"/>
      <c r="U587" s="13"/>
      <c r="V587" s="13"/>
      <c r="W587" s="13"/>
      <c r="X587" s="13"/>
      <c r="Y587" s="13"/>
    </row>
    <row r="588" spans="1:25" ht="15.75" customHeight="1" x14ac:dyDescent="0.25">
      <c r="A588" s="13"/>
      <c r="B588" s="13"/>
      <c r="C588" s="13"/>
      <c r="D588" s="13"/>
      <c r="E588" s="13"/>
      <c r="F588" s="13"/>
      <c r="G588" s="13"/>
      <c r="H588" s="13"/>
      <c r="I588" s="13"/>
      <c r="J588" s="13"/>
      <c r="K588" s="13"/>
      <c r="L588" s="13"/>
      <c r="M588" s="13"/>
      <c r="N588" s="13"/>
      <c r="O588" s="13"/>
      <c r="P588" s="13"/>
      <c r="Q588" s="13"/>
      <c r="R588" s="13"/>
      <c r="S588" s="13"/>
      <c r="T588" s="13"/>
      <c r="U588" s="13"/>
      <c r="V588" s="13"/>
      <c r="W588" s="13"/>
      <c r="X588" s="13"/>
      <c r="Y588" s="13"/>
    </row>
    <row r="589" spans="1:25" ht="15.75" customHeight="1" x14ac:dyDescent="0.25">
      <c r="A589" s="13"/>
      <c r="B589" s="13"/>
      <c r="C589" s="13"/>
      <c r="D589" s="13"/>
      <c r="E589" s="13"/>
      <c r="F589" s="13"/>
      <c r="G589" s="13"/>
      <c r="H589" s="13"/>
      <c r="I589" s="13"/>
      <c r="J589" s="13"/>
      <c r="K589" s="13"/>
      <c r="L589" s="13"/>
      <c r="M589" s="13"/>
      <c r="N589" s="13"/>
      <c r="O589" s="13"/>
      <c r="P589" s="13"/>
      <c r="Q589" s="13"/>
      <c r="R589" s="13"/>
      <c r="S589" s="13"/>
      <c r="T589" s="13"/>
      <c r="U589" s="13"/>
      <c r="V589" s="13"/>
      <c r="W589" s="13"/>
      <c r="X589" s="13"/>
      <c r="Y589" s="13"/>
    </row>
    <row r="590" spans="1:25" ht="15.75" customHeight="1" x14ac:dyDescent="0.25">
      <c r="A590" s="13"/>
      <c r="B590" s="13"/>
      <c r="C590" s="13"/>
      <c r="D590" s="13"/>
      <c r="E590" s="13"/>
      <c r="F590" s="13"/>
      <c r="G590" s="13"/>
      <c r="H590" s="13"/>
      <c r="I590" s="13"/>
      <c r="J590" s="13"/>
      <c r="K590" s="13"/>
      <c r="L590" s="13"/>
      <c r="M590" s="13"/>
      <c r="N590" s="13"/>
      <c r="O590" s="13"/>
      <c r="P590" s="13"/>
      <c r="Q590" s="13"/>
      <c r="R590" s="13"/>
      <c r="S590" s="13"/>
      <c r="T590" s="13"/>
      <c r="U590" s="13"/>
      <c r="V590" s="13"/>
      <c r="W590" s="13"/>
      <c r="X590" s="13"/>
      <c r="Y590" s="13"/>
    </row>
    <row r="591" spans="1:25" ht="15.75" customHeight="1" x14ac:dyDescent="0.25">
      <c r="A591" s="13"/>
      <c r="B591" s="13"/>
      <c r="C591" s="13"/>
      <c r="D591" s="13"/>
      <c r="E591" s="13"/>
      <c r="F591" s="13"/>
      <c r="G591" s="13"/>
      <c r="H591" s="13"/>
      <c r="I591" s="13"/>
      <c r="J591" s="13"/>
      <c r="K591" s="13"/>
      <c r="L591" s="13"/>
      <c r="M591" s="13"/>
      <c r="N591" s="13"/>
      <c r="O591" s="13"/>
      <c r="P591" s="13"/>
      <c r="Q591" s="13"/>
      <c r="R591" s="13"/>
      <c r="S591" s="13"/>
      <c r="T591" s="13"/>
      <c r="U591" s="13"/>
      <c r="V591" s="13"/>
      <c r="W591" s="13"/>
      <c r="X591" s="13"/>
      <c r="Y591" s="13"/>
    </row>
    <row r="592" spans="1:25" ht="15.75" customHeight="1" x14ac:dyDescent="0.25">
      <c r="A592" s="13"/>
      <c r="B592" s="13"/>
      <c r="C592" s="13"/>
      <c r="D592" s="13"/>
      <c r="E592" s="13"/>
      <c r="F592" s="13"/>
      <c r="G592" s="13"/>
      <c r="H592" s="13"/>
      <c r="I592" s="13"/>
      <c r="J592" s="13"/>
      <c r="K592" s="13"/>
      <c r="L592" s="13"/>
      <c r="M592" s="13"/>
      <c r="N592" s="13"/>
      <c r="O592" s="13"/>
      <c r="P592" s="13"/>
      <c r="Q592" s="13"/>
      <c r="R592" s="13"/>
      <c r="S592" s="13"/>
      <c r="T592" s="13"/>
      <c r="U592" s="13"/>
      <c r="V592" s="13"/>
      <c r="W592" s="13"/>
      <c r="X592" s="13"/>
      <c r="Y592" s="13"/>
    </row>
    <row r="593" spans="1:25" ht="15.75" customHeight="1" x14ac:dyDescent="0.25">
      <c r="A593" s="13"/>
      <c r="B593" s="13"/>
      <c r="C593" s="13"/>
      <c r="D593" s="13"/>
      <c r="E593" s="13"/>
      <c r="F593" s="13"/>
      <c r="G593" s="13"/>
      <c r="H593" s="13"/>
      <c r="I593" s="13"/>
      <c r="J593" s="13"/>
      <c r="K593" s="13"/>
      <c r="L593" s="13"/>
      <c r="M593" s="13"/>
      <c r="N593" s="13"/>
      <c r="O593" s="13"/>
      <c r="P593" s="13"/>
      <c r="Q593" s="13"/>
      <c r="R593" s="13"/>
      <c r="S593" s="13"/>
      <c r="T593" s="13"/>
      <c r="U593" s="13"/>
      <c r="V593" s="13"/>
      <c r="W593" s="13"/>
      <c r="X593" s="13"/>
      <c r="Y593" s="13"/>
    </row>
    <row r="594" spans="1:25" ht="15.75" customHeight="1" x14ac:dyDescent="0.25">
      <c r="A594" s="13"/>
      <c r="B594" s="13"/>
      <c r="C594" s="13"/>
      <c r="D594" s="13"/>
      <c r="E594" s="13"/>
      <c r="F594" s="13"/>
      <c r="G594" s="13"/>
      <c r="H594" s="13"/>
      <c r="I594" s="13"/>
      <c r="J594" s="13"/>
      <c r="K594" s="13"/>
      <c r="L594" s="13"/>
      <c r="M594" s="13"/>
      <c r="N594" s="13"/>
      <c r="O594" s="13"/>
      <c r="P594" s="13"/>
      <c r="Q594" s="13"/>
      <c r="R594" s="13"/>
      <c r="S594" s="13"/>
      <c r="T594" s="13"/>
      <c r="U594" s="13"/>
      <c r="V594" s="13"/>
      <c r="W594" s="13"/>
      <c r="X594" s="13"/>
      <c r="Y594" s="13"/>
    </row>
    <row r="595" spans="1:25" ht="15.75" customHeight="1" x14ac:dyDescent="0.25">
      <c r="A595" s="13"/>
      <c r="B595" s="13"/>
      <c r="C595" s="13"/>
      <c r="D595" s="13"/>
      <c r="E595" s="13"/>
      <c r="F595" s="13"/>
      <c r="G595" s="13"/>
      <c r="H595" s="13"/>
      <c r="I595" s="13"/>
      <c r="J595" s="13"/>
      <c r="K595" s="13"/>
      <c r="L595" s="13"/>
      <c r="M595" s="13"/>
      <c r="N595" s="13"/>
      <c r="O595" s="13"/>
      <c r="P595" s="13"/>
      <c r="Q595" s="13"/>
      <c r="R595" s="13"/>
      <c r="S595" s="13"/>
      <c r="T595" s="13"/>
      <c r="U595" s="13"/>
      <c r="V595" s="13"/>
      <c r="W595" s="13"/>
      <c r="X595" s="13"/>
      <c r="Y595" s="13"/>
    </row>
    <row r="596" spans="1:25" ht="15.75" customHeight="1" x14ac:dyDescent="0.25">
      <c r="A596" s="13"/>
      <c r="B596" s="13"/>
      <c r="C596" s="13"/>
      <c r="D596" s="13"/>
      <c r="E596" s="13"/>
      <c r="F596" s="13"/>
      <c r="G596" s="13"/>
      <c r="H596" s="13"/>
      <c r="I596" s="13"/>
      <c r="J596" s="13"/>
      <c r="K596" s="13"/>
      <c r="L596" s="13"/>
      <c r="M596" s="13"/>
      <c r="N596" s="13"/>
      <c r="O596" s="13"/>
      <c r="P596" s="13"/>
      <c r="Q596" s="13"/>
      <c r="R596" s="13"/>
      <c r="S596" s="13"/>
      <c r="T596" s="13"/>
      <c r="U596" s="13"/>
      <c r="V596" s="13"/>
      <c r="W596" s="13"/>
      <c r="X596" s="13"/>
      <c r="Y596" s="13"/>
    </row>
    <row r="597" spans="1:25" ht="15.75" customHeight="1" x14ac:dyDescent="0.25">
      <c r="A597" s="13"/>
      <c r="B597" s="13"/>
      <c r="C597" s="13"/>
      <c r="D597" s="13"/>
      <c r="E597" s="13"/>
      <c r="F597" s="13"/>
      <c r="G597" s="13"/>
      <c r="H597" s="13"/>
      <c r="I597" s="13"/>
      <c r="J597" s="13"/>
      <c r="K597" s="13"/>
      <c r="L597" s="13"/>
      <c r="M597" s="13"/>
      <c r="N597" s="13"/>
      <c r="O597" s="13"/>
      <c r="P597" s="13"/>
      <c r="Q597" s="13"/>
      <c r="R597" s="13"/>
      <c r="S597" s="13"/>
      <c r="T597" s="13"/>
      <c r="U597" s="13"/>
      <c r="V597" s="13"/>
      <c r="W597" s="13"/>
      <c r="X597" s="13"/>
      <c r="Y597" s="13"/>
    </row>
    <row r="598" spans="1:25" ht="15.75" customHeight="1" x14ac:dyDescent="0.25">
      <c r="A598" s="13"/>
      <c r="B598" s="13"/>
      <c r="C598" s="13"/>
      <c r="D598" s="13"/>
      <c r="E598" s="13"/>
      <c r="F598" s="13"/>
      <c r="G598" s="13"/>
      <c r="H598" s="13"/>
      <c r="I598" s="13"/>
      <c r="J598" s="13"/>
      <c r="K598" s="13"/>
      <c r="L598" s="13"/>
      <c r="M598" s="13"/>
      <c r="N598" s="13"/>
      <c r="O598" s="13"/>
      <c r="P598" s="13"/>
      <c r="Q598" s="13"/>
      <c r="R598" s="13"/>
      <c r="S598" s="13"/>
      <c r="T598" s="13"/>
      <c r="U598" s="13"/>
      <c r="V598" s="13"/>
      <c r="W598" s="13"/>
      <c r="X598" s="13"/>
      <c r="Y598" s="13"/>
    </row>
    <row r="599" spans="1:25" ht="15.75" customHeight="1" x14ac:dyDescent="0.25">
      <c r="A599" s="13"/>
      <c r="B599" s="13"/>
      <c r="C599" s="13"/>
      <c r="D599" s="13"/>
      <c r="E599" s="13"/>
      <c r="F599" s="13"/>
      <c r="G599" s="13"/>
      <c r="H599" s="13"/>
      <c r="I599" s="13"/>
      <c r="J599" s="13"/>
      <c r="K599" s="13"/>
      <c r="L599" s="13"/>
      <c r="M599" s="13"/>
      <c r="N599" s="13"/>
      <c r="O599" s="13"/>
      <c r="P599" s="13"/>
      <c r="Q599" s="13"/>
      <c r="R599" s="13"/>
      <c r="S599" s="13"/>
      <c r="T599" s="13"/>
      <c r="U599" s="13"/>
      <c r="V599" s="13"/>
      <c r="W599" s="13"/>
      <c r="X599" s="13"/>
      <c r="Y599" s="13"/>
    </row>
    <row r="600" spans="1:25" ht="15.75" customHeight="1" x14ac:dyDescent="0.25">
      <c r="A600" s="13"/>
      <c r="B600" s="13"/>
      <c r="C600" s="13"/>
      <c r="D600" s="13"/>
      <c r="E600" s="13"/>
      <c r="F600" s="13"/>
      <c r="G600" s="13"/>
      <c r="H600" s="13"/>
      <c r="I600" s="13"/>
      <c r="J600" s="13"/>
      <c r="K600" s="13"/>
      <c r="L600" s="13"/>
      <c r="M600" s="13"/>
      <c r="N600" s="13"/>
      <c r="O600" s="13"/>
      <c r="P600" s="13"/>
      <c r="Q600" s="13"/>
      <c r="R600" s="13"/>
      <c r="S600" s="13"/>
      <c r="T600" s="13"/>
      <c r="U600" s="13"/>
      <c r="V600" s="13"/>
      <c r="W600" s="13"/>
      <c r="X600" s="13"/>
      <c r="Y600" s="13"/>
    </row>
    <row r="601" spans="1:25" ht="15.75" customHeight="1" x14ac:dyDescent="0.25">
      <c r="A601" s="13"/>
      <c r="B601" s="13"/>
      <c r="C601" s="13"/>
      <c r="D601" s="13"/>
      <c r="E601" s="13"/>
      <c r="F601" s="13"/>
      <c r="G601" s="13"/>
      <c r="H601" s="13"/>
      <c r="I601" s="13"/>
      <c r="J601" s="13"/>
      <c r="K601" s="13"/>
      <c r="L601" s="13"/>
      <c r="M601" s="13"/>
      <c r="N601" s="13"/>
      <c r="O601" s="13"/>
      <c r="P601" s="13"/>
      <c r="Q601" s="13"/>
      <c r="R601" s="13"/>
      <c r="S601" s="13"/>
      <c r="T601" s="13"/>
      <c r="U601" s="13"/>
      <c r="V601" s="13"/>
      <c r="W601" s="13"/>
      <c r="X601" s="13"/>
      <c r="Y601" s="13"/>
    </row>
    <row r="602" spans="1:25" ht="15.75" customHeight="1" x14ac:dyDescent="0.25">
      <c r="A602" s="13"/>
      <c r="B602" s="13"/>
      <c r="C602" s="13"/>
      <c r="D602" s="13"/>
      <c r="E602" s="13"/>
      <c r="F602" s="13"/>
      <c r="G602" s="13"/>
      <c r="H602" s="13"/>
      <c r="I602" s="13"/>
      <c r="J602" s="13"/>
      <c r="K602" s="13"/>
      <c r="L602" s="13"/>
      <c r="M602" s="13"/>
      <c r="N602" s="13"/>
      <c r="O602" s="13"/>
      <c r="P602" s="13"/>
      <c r="Q602" s="13"/>
      <c r="R602" s="13"/>
      <c r="S602" s="13"/>
      <c r="T602" s="13"/>
      <c r="U602" s="13"/>
      <c r="V602" s="13"/>
      <c r="W602" s="13"/>
      <c r="X602" s="13"/>
      <c r="Y602" s="13"/>
    </row>
    <row r="603" spans="1:25" ht="15.75" customHeight="1" x14ac:dyDescent="0.25">
      <c r="A603" s="13"/>
      <c r="B603" s="13"/>
      <c r="C603" s="13"/>
      <c r="D603" s="13"/>
      <c r="E603" s="13"/>
      <c r="F603" s="13"/>
      <c r="G603" s="13"/>
      <c r="H603" s="13"/>
      <c r="I603" s="13"/>
      <c r="J603" s="13"/>
      <c r="K603" s="13"/>
      <c r="L603" s="13"/>
      <c r="M603" s="13"/>
      <c r="N603" s="13"/>
      <c r="O603" s="13"/>
      <c r="P603" s="13"/>
      <c r="Q603" s="13"/>
      <c r="R603" s="13"/>
      <c r="S603" s="13"/>
      <c r="T603" s="13"/>
      <c r="U603" s="13"/>
      <c r="V603" s="13"/>
      <c r="W603" s="13"/>
      <c r="X603" s="13"/>
      <c r="Y603" s="13"/>
    </row>
    <row r="604" spans="1:25" ht="15.75" customHeight="1" x14ac:dyDescent="0.25">
      <c r="A604" s="13"/>
      <c r="B604" s="13"/>
      <c r="C604" s="13"/>
      <c r="D604" s="13"/>
      <c r="E604" s="13"/>
      <c r="F604" s="13"/>
      <c r="G604" s="13"/>
      <c r="H604" s="13"/>
      <c r="I604" s="13"/>
      <c r="J604" s="13"/>
      <c r="K604" s="13"/>
      <c r="L604" s="13"/>
      <c r="M604" s="13"/>
      <c r="N604" s="13"/>
      <c r="O604" s="13"/>
      <c r="P604" s="13"/>
      <c r="Q604" s="13"/>
      <c r="R604" s="13"/>
      <c r="S604" s="13"/>
      <c r="T604" s="13"/>
      <c r="U604" s="13"/>
      <c r="V604" s="13"/>
      <c r="W604" s="13"/>
      <c r="X604" s="13"/>
      <c r="Y604" s="13"/>
    </row>
    <row r="605" spans="1:25" ht="15.75" customHeight="1" x14ac:dyDescent="0.25">
      <c r="A605" s="13"/>
      <c r="B605" s="13"/>
      <c r="C605" s="13"/>
      <c r="D605" s="13"/>
      <c r="E605" s="13"/>
      <c r="F605" s="13"/>
      <c r="G605" s="13"/>
      <c r="H605" s="13"/>
      <c r="I605" s="13"/>
      <c r="J605" s="13"/>
      <c r="K605" s="13"/>
      <c r="L605" s="13"/>
      <c r="M605" s="13"/>
      <c r="N605" s="13"/>
      <c r="O605" s="13"/>
      <c r="P605" s="13"/>
      <c r="Q605" s="13"/>
      <c r="R605" s="13"/>
      <c r="S605" s="13"/>
      <c r="T605" s="13"/>
      <c r="U605" s="13"/>
      <c r="V605" s="13"/>
      <c r="W605" s="13"/>
      <c r="X605" s="13"/>
      <c r="Y605" s="13"/>
    </row>
    <row r="606" spans="1:25" ht="15.75" customHeight="1" x14ac:dyDescent="0.25">
      <c r="A606" s="13"/>
      <c r="B606" s="13"/>
      <c r="C606" s="13"/>
      <c r="D606" s="13"/>
      <c r="E606" s="13"/>
      <c r="F606" s="13"/>
      <c r="G606" s="13"/>
      <c r="H606" s="13"/>
      <c r="I606" s="13"/>
      <c r="J606" s="13"/>
      <c r="K606" s="13"/>
      <c r="L606" s="13"/>
      <c r="M606" s="13"/>
      <c r="N606" s="13"/>
      <c r="O606" s="13"/>
      <c r="P606" s="13"/>
      <c r="Q606" s="13"/>
      <c r="R606" s="13"/>
      <c r="S606" s="13"/>
      <c r="T606" s="13"/>
      <c r="U606" s="13"/>
      <c r="V606" s="13"/>
      <c r="W606" s="13"/>
      <c r="X606" s="13"/>
      <c r="Y606" s="13"/>
    </row>
    <row r="607" spans="1:25" ht="15.75" customHeight="1" x14ac:dyDescent="0.25">
      <c r="A607" s="13"/>
      <c r="B607" s="13"/>
      <c r="C607" s="13"/>
      <c r="D607" s="13"/>
      <c r="E607" s="13"/>
      <c r="F607" s="13"/>
      <c r="G607" s="13"/>
      <c r="H607" s="13"/>
      <c r="I607" s="13"/>
      <c r="J607" s="13"/>
      <c r="K607" s="13"/>
      <c r="L607" s="13"/>
      <c r="M607" s="13"/>
      <c r="N607" s="13"/>
      <c r="O607" s="13"/>
      <c r="P607" s="13"/>
      <c r="Q607" s="13"/>
      <c r="R607" s="13"/>
      <c r="S607" s="13"/>
      <c r="T607" s="13"/>
      <c r="U607" s="13"/>
      <c r="V607" s="13"/>
      <c r="W607" s="13"/>
      <c r="X607" s="13"/>
      <c r="Y607" s="13"/>
    </row>
    <row r="608" spans="1:25" ht="15.75" customHeight="1" x14ac:dyDescent="0.25">
      <c r="A608" s="13"/>
      <c r="B608" s="13"/>
      <c r="C608" s="13"/>
      <c r="D608" s="13"/>
      <c r="E608" s="13"/>
      <c r="F608" s="13"/>
      <c r="G608" s="13"/>
      <c r="H608" s="13"/>
      <c r="I608" s="13"/>
      <c r="J608" s="13"/>
      <c r="K608" s="13"/>
      <c r="L608" s="13"/>
      <c r="M608" s="13"/>
      <c r="N608" s="13"/>
      <c r="O608" s="13"/>
      <c r="P608" s="13"/>
      <c r="Q608" s="13"/>
      <c r="R608" s="13"/>
      <c r="S608" s="13"/>
      <c r="T608" s="13"/>
      <c r="U608" s="13"/>
      <c r="V608" s="13"/>
      <c r="W608" s="13"/>
      <c r="X608" s="13"/>
      <c r="Y608" s="13"/>
    </row>
    <row r="609" spans="1:25" ht="15.75" customHeight="1" x14ac:dyDescent="0.25">
      <c r="A609" s="13"/>
      <c r="B609" s="13"/>
      <c r="C609" s="13"/>
      <c r="D609" s="13"/>
      <c r="E609" s="13"/>
      <c r="F609" s="13"/>
      <c r="G609" s="13"/>
      <c r="H609" s="13"/>
      <c r="I609" s="13"/>
      <c r="J609" s="13"/>
      <c r="K609" s="13"/>
      <c r="L609" s="13"/>
      <c r="M609" s="13"/>
      <c r="N609" s="13"/>
      <c r="O609" s="13"/>
      <c r="P609" s="13"/>
      <c r="Q609" s="13"/>
      <c r="R609" s="13"/>
      <c r="S609" s="13"/>
      <c r="T609" s="13"/>
      <c r="U609" s="13"/>
      <c r="V609" s="13"/>
      <c r="W609" s="13"/>
      <c r="X609" s="13"/>
      <c r="Y609" s="13"/>
    </row>
    <row r="610" spans="1:25" ht="15.75" customHeight="1" x14ac:dyDescent="0.25">
      <c r="A610" s="13"/>
      <c r="B610" s="13"/>
      <c r="C610" s="13"/>
      <c r="D610" s="13"/>
      <c r="E610" s="13"/>
      <c r="F610" s="13"/>
      <c r="G610" s="13"/>
      <c r="H610" s="13"/>
      <c r="I610" s="13"/>
      <c r="J610" s="13"/>
      <c r="K610" s="13"/>
      <c r="L610" s="13"/>
      <c r="M610" s="13"/>
      <c r="N610" s="13"/>
      <c r="O610" s="13"/>
      <c r="P610" s="13"/>
      <c r="Q610" s="13"/>
      <c r="R610" s="13"/>
      <c r="S610" s="13"/>
      <c r="T610" s="13"/>
      <c r="U610" s="13"/>
      <c r="V610" s="13"/>
      <c r="W610" s="13"/>
      <c r="X610" s="13"/>
      <c r="Y610" s="13"/>
    </row>
    <row r="611" spans="1:25" ht="15.75" customHeight="1" x14ac:dyDescent="0.25">
      <c r="A611" s="13"/>
      <c r="B611" s="13"/>
      <c r="C611" s="13"/>
      <c r="D611" s="13"/>
      <c r="E611" s="13"/>
      <c r="F611" s="13"/>
      <c r="G611" s="13"/>
      <c r="H611" s="13"/>
      <c r="I611" s="13"/>
      <c r="J611" s="13"/>
      <c r="K611" s="13"/>
      <c r="L611" s="13"/>
      <c r="M611" s="13"/>
      <c r="N611" s="13"/>
      <c r="O611" s="13"/>
      <c r="P611" s="13"/>
      <c r="Q611" s="13"/>
      <c r="R611" s="13"/>
      <c r="S611" s="13"/>
      <c r="T611" s="13"/>
      <c r="U611" s="13"/>
      <c r="V611" s="13"/>
      <c r="W611" s="13"/>
      <c r="X611" s="13"/>
      <c r="Y611" s="13"/>
    </row>
    <row r="612" spans="1:25" ht="15.75" customHeight="1" x14ac:dyDescent="0.25">
      <c r="A612" s="13"/>
      <c r="B612" s="13"/>
      <c r="C612" s="13"/>
      <c r="D612" s="13"/>
      <c r="E612" s="13"/>
      <c r="F612" s="13"/>
      <c r="G612" s="13"/>
      <c r="H612" s="13"/>
      <c r="I612" s="13"/>
      <c r="J612" s="13"/>
      <c r="K612" s="13"/>
      <c r="L612" s="13"/>
      <c r="M612" s="13"/>
      <c r="N612" s="13"/>
      <c r="O612" s="13"/>
      <c r="P612" s="13"/>
      <c r="Q612" s="13"/>
      <c r="R612" s="13"/>
      <c r="S612" s="13"/>
      <c r="T612" s="13"/>
      <c r="U612" s="13"/>
      <c r="V612" s="13"/>
      <c r="W612" s="13"/>
      <c r="X612" s="13"/>
      <c r="Y612" s="13"/>
    </row>
    <row r="613" spans="1:25" ht="15.75" customHeight="1" x14ac:dyDescent="0.25">
      <c r="A613" s="13"/>
      <c r="B613" s="13"/>
      <c r="C613" s="13"/>
      <c r="D613" s="13"/>
      <c r="E613" s="13"/>
      <c r="F613" s="13"/>
      <c r="G613" s="13"/>
      <c r="H613" s="13"/>
      <c r="I613" s="13"/>
      <c r="J613" s="13"/>
      <c r="K613" s="13"/>
      <c r="L613" s="13"/>
      <c r="M613" s="13"/>
      <c r="N613" s="13"/>
      <c r="O613" s="13"/>
      <c r="P613" s="13"/>
      <c r="Q613" s="13"/>
      <c r="R613" s="13"/>
      <c r="S613" s="13"/>
      <c r="T613" s="13"/>
      <c r="U613" s="13"/>
      <c r="V613" s="13"/>
      <c r="W613" s="13"/>
      <c r="X613" s="13"/>
      <c r="Y613" s="13"/>
    </row>
    <row r="614" spans="1:25" ht="15.75" customHeight="1" x14ac:dyDescent="0.25">
      <c r="A614" s="13"/>
      <c r="B614" s="13"/>
      <c r="C614" s="13"/>
      <c r="D614" s="13"/>
      <c r="E614" s="13"/>
      <c r="F614" s="13"/>
      <c r="G614" s="13"/>
      <c r="H614" s="13"/>
      <c r="I614" s="13"/>
      <c r="J614" s="13"/>
      <c r="K614" s="13"/>
      <c r="L614" s="13"/>
      <c r="M614" s="13"/>
      <c r="N614" s="13"/>
      <c r="O614" s="13"/>
      <c r="P614" s="13"/>
      <c r="Q614" s="13"/>
      <c r="R614" s="13"/>
      <c r="S614" s="13"/>
      <c r="T614" s="13"/>
      <c r="U614" s="13"/>
      <c r="V614" s="13"/>
      <c r="W614" s="13"/>
      <c r="X614" s="13"/>
      <c r="Y614" s="13"/>
    </row>
    <row r="615" spans="1:25" ht="15.75" customHeight="1" x14ac:dyDescent="0.25">
      <c r="A615" s="13"/>
      <c r="B615" s="13"/>
      <c r="C615" s="13"/>
      <c r="D615" s="13"/>
      <c r="E615" s="13"/>
      <c r="F615" s="13"/>
      <c r="G615" s="13"/>
      <c r="H615" s="13"/>
      <c r="I615" s="13"/>
      <c r="J615" s="13"/>
      <c r="K615" s="13"/>
      <c r="L615" s="13"/>
      <c r="M615" s="13"/>
      <c r="N615" s="13"/>
      <c r="O615" s="13"/>
      <c r="P615" s="13"/>
      <c r="Q615" s="13"/>
      <c r="R615" s="13"/>
      <c r="S615" s="13"/>
      <c r="T615" s="13"/>
      <c r="U615" s="13"/>
      <c r="V615" s="13"/>
      <c r="W615" s="13"/>
      <c r="X615" s="13"/>
      <c r="Y615" s="13"/>
    </row>
    <row r="616" spans="1:25" ht="15.75" customHeight="1" x14ac:dyDescent="0.25">
      <c r="A616" s="13"/>
      <c r="B616" s="13"/>
      <c r="C616" s="13"/>
      <c r="D616" s="13"/>
      <c r="E616" s="13"/>
      <c r="F616" s="13"/>
      <c r="G616" s="13"/>
      <c r="H616" s="13"/>
      <c r="I616" s="13"/>
      <c r="J616" s="13"/>
      <c r="K616" s="13"/>
      <c r="L616" s="13"/>
      <c r="M616" s="13"/>
      <c r="N616" s="13"/>
      <c r="O616" s="13"/>
      <c r="P616" s="13"/>
      <c r="Q616" s="13"/>
      <c r="R616" s="13"/>
      <c r="S616" s="13"/>
      <c r="T616" s="13"/>
      <c r="U616" s="13"/>
      <c r="V616" s="13"/>
      <c r="W616" s="13"/>
      <c r="X616" s="13"/>
      <c r="Y616" s="13"/>
    </row>
    <row r="617" spans="1:25" ht="15.75" customHeight="1" x14ac:dyDescent="0.25">
      <c r="A617" s="13"/>
      <c r="B617" s="13"/>
      <c r="C617" s="13"/>
      <c r="D617" s="13"/>
      <c r="E617" s="13"/>
      <c r="F617" s="13"/>
      <c r="G617" s="13"/>
      <c r="H617" s="13"/>
      <c r="I617" s="13"/>
      <c r="J617" s="13"/>
      <c r="K617" s="13"/>
      <c r="L617" s="13"/>
      <c r="M617" s="13"/>
      <c r="N617" s="13"/>
      <c r="O617" s="13"/>
      <c r="P617" s="13"/>
      <c r="Q617" s="13"/>
      <c r="R617" s="13"/>
      <c r="S617" s="13"/>
      <c r="T617" s="13"/>
      <c r="U617" s="13"/>
      <c r="V617" s="13"/>
      <c r="W617" s="13"/>
      <c r="X617" s="13"/>
      <c r="Y617" s="13"/>
    </row>
    <row r="618" spans="1:25" ht="15.75" customHeight="1" x14ac:dyDescent="0.25">
      <c r="A618" s="13"/>
      <c r="B618" s="13"/>
      <c r="C618" s="13"/>
      <c r="D618" s="13"/>
      <c r="E618" s="13"/>
      <c r="F618" s="13"/>
      <c r="G618" s="13"/>
      <c r="H618" s="13"/>
      <c r="I618" s="13"/>
      <c r="J618" s="13"/>
      <c r="K618" s="13"/>
      <c r="L618" s="13"/>
      <c r="M618" s="13"/>
      <c r="N618" s="13"/>
      <c r="O618" s="13"/>
      <c r="P618" s="13"/>
      <c r="Q618" s="13"/>
      <c r="R618" s="13"/>
      <c r="S618" s="13"/>
      <c r="T618" s="13"/>
      <c r="U618" s="13"/>
      <c r="V618" s="13"/>
      <c r="W618" s="13"/>
      <c r="X618" s="13"/>
      <c r="Y618" s="13"/>
    </row>
    <row r="619" spans="1:25" ht="15.75" customHeight="1" x14ac:dyDescent="0.25">
      <c r="A619" s="13"/>
      <c r="B619" s="13"/>
      <c r="C619" s="13"/>
      <c r="D619" s="13"/>
      <c r="E619" s="13"/>
      <c r="F619" s="13"/>
      <c r="G619" s="13"/>
      <c r="H619" s="13"/>
      <c r="I619" s="13"/>
      <c r="J619" s="13"/>
      <c r="K619" s="13"/>
      <c r="L619" s="13"/>
      <c r="M619" s="13"/>
      <c r="N619" s="13"/>
      <c r="O619" s="13"/>
      <c r="P619" s="13"/>
      <c r="Q619" s="13"/>
      <c r="R619" s="13"/>
      <c r="S619" s="13"/>
      <c r="T619" s="13"/>
      <c r="U619" s="13"/>
      <c r="V619" s="13"/>
      <c r="W619" s="13"/>
      <c r="X619" s="13"/>
      <c r="Y619" s="13"/>
    </row>
    <row r="620" spans="1:25" ht="15.75" customHeight="1" x14ac:dyDescent="0.25">
      <c r="A620" s="13"/>
      <c r="B620" s="13"/>
      <c r="C620" s="13"/>
      <c r="D620" s="13"/>
      <c r="E620" s="13"/>
      <c r="F620" s="13"/>
      <c r="G620" s="13"/>
      <c r="H620" s="13"/>
      <c r="I620" s="13"/>
      <c r="J620" s="13"/>
      <c r="K620" s="13"/>
      <c r="L620" s="13"/>
      <c r="M620" s="13"/>
      <c r="N620" s="13"/>
      <c r="O620" s="13"/>
      <c r="P620" s="13"/>
      <c r="Q620" s="13"/>
      <c r="R620" s="13"/>
      <c r="S620" s="13"/>
      <c r="T620" s="13"/>
      <c r="U620" s="13"/>
      <c r="V620" s="13"/>
      <c r="W620" s="13"/>
      <c r="X620" s="13"/>
      <c r="Y620" s="13"/>
    </row>
    <row r="621" spans="1:25" ht="15.75" customHeight="1" x14ac:dyDescent="0.25">
      <c r="A621" s="13"/>
      <c r="B621" s="13"/>
      <c r="C621" s="13"/>
      <c r="D621" s="13"/>
      <c r="E621" s="13"/>
      <c r="F621" s="13"/>
      <c r="G621" s="13"/>
      <c r="H621" s="13"/>
      <c r="I621" s="13"/>
      <c r="J621" s="13"/>
      <c r="K621" s="13"/>
      <c r="L621" s="13"/>
      <c r="M621" s="13"/>
      <c r="N621" s="13"/>
      <c r="O621" s="13"/>
      <c r="P621" s="13"/>
      <c r="Q621" s="13"/>
      <c r="R621" s="13"/>
      <c r="S621" s="13"/>
      <c r="T621" s="13"/>
      <c r="U621" s="13"/>
      <c r="V621" s="13"/>
      <c r="W621" s="13"/>
      <c r="X621" s="13"/>
      <c r="Y621" s="13"/>
    </row>
    <row r="622" spans="1:25" ht="15.75" customHeight="1" x14ac:dyDescent="0.25">
      <c r="A622" s="13"/>
      <c r="B622" s="13"/>
      <c r="C622" s="13"/>
      <c r="D622" s="13"/>
      <c r="E622" s="13"/>
      <c r="F622" s="13"/>
      <c r="G622" s="13"/>
      <c r="H622" s="13"/>
      <c r="I622" s="13"/>
      <c r="J622" s="13"/>
      <c r="K622" s="13"/>
      <c r="L622" s="13"/>
      <c r="M622" s="13"/>
      <c r="N622" s="13"/>
      <c r="O622" s="13"/>
      <c r="P622" s="13"/>
      <c r="Q622" s="13"/>
      <c r="R622" s="13"/>
      <c r="S622" s="13"/>
      <c r="T622" s="13"/>
      <c r="U622" s="13"/>
      <c r="V622" s="13"/>
      <c r="W622" s="13"/>
      <c r="X622" s="13"/>
      <c r="Y622" s="13"/>
    </row>
    <row r="623" spans="1:25" ht="15.75" customHeight="1" x14ac:dyDescent="0.25">
      <c r="A623" s="13"/>
      <c r="B623" s="13"/>
      <c r="C623" s="13"/>
      <c r="D623" s="13"/>
      <c r="E623" s="13"/>
      <c r="F623" s="13"/>
      <c r="G623" s="13"/>
      <c r="H623" s="13"/>
      <c r="I623" s="13"/>
      <c r="J623" s="13"/>
      <c r="K623" s="13"/>
      <c r="L623" s="13"/>
      <c r="M623" s="13"/>
      <c r="N623" s="13"/>
      <c r="O623" s="13"/>
      <c r="P623" s="13"/>
      <c r="Q623" s="13"/>
      <c r="R623" s="13"/>
      <c r="S623" s="13"/>
      <c r="T623" s="13"/>
      <c r="U623" s="13"/>
      <c r="V623" s="13"/>
      <c r="W623" s="13"/>
      <c r="X623" s="13"/>
      <c r="Y623" s="13"/>
    </row>
    <row r="624" spans="1:25" ht="15.75" customHeight="1" x14ac:dyDescent="0.25">
      <c r="A624" s="13"/>
      <c r="B624" s="13"/>
      <c r="C624" s="13"/>
      <c r="D624" s="13"/>
      <c r="E624" s="13"/>
      <c r="F624" s="13"/>
      <c r="G624" s="13"/>
      <c r="H624" s="13"/>
      <c r="I624" s="13"/>
      <c r="J624" s="13"/>
      <c r="K624" s="13"/>
      <c r="L624" s="13"/>
      <c r="M624" s="13"/>
      <c r="N624" s="13"/>
      <c r="O624" s="13"/>
      <c r="P624" s="13"/>
      <c r="Q624" s="13"/>
      <c r="R624" s="13"/>
      <c r="S624" s="13"/>
      <c r="T624" s="13"/>
      <c r="U624" s="13"/>
      <c r="V624" s="13"/>
      <c r="W624" s="13"/>
      <c r="X624" s="13"/>
      <c r="Y624" s="13"/>
    </row>
    <row r="625" spans="1:25" ht="15.75" customHeight="1" x14ac:dyDescent="0.25">
      <c r="A625" s="13"/>
      <c r="B625" s="13"/>
      <c r="C625" s="13"/>
      <c r="D625" s="13"/>
      <c r="E625" s="13"/>
      <c r="F625" s="13"/>
      <c r="G625" s="13"/>
      <c r="H625" s="13"/>
      <c r="I625" s="13"/>
      <c r="J625" s="13"/>
      <c r="K625" s="13"/>
      <c r="L625" s="13"/>
      <c r="M625" s="13"/>
      <c r="N625" s="13"/>
      <c r="O625" s="13"/>
      <c r="P625" s="13"/>
      <c r="Q625" s="13"/>
      <c r="R625" s="13"/>
      <c r="S625" s="13"/>
      <c r="T625" s="13"/>
      <c r="U625" s="13"/>
      <c r="V625" s="13"/>
      <c r="W625" s="13"/>
      <c r="X625" s="13"/>
      <c r="Y625" s="13"/>
    </row>
    <row r="626" spans="1:25" ht="15.75" customHeight="1" x14ac:dyDescent="0.25">
      <c r="A626" s="13"/>
      <c r="B626" s="13"/>
      <c r="C626" s="13"/>
      <c r="D626" s="13"/>
      <c r="E626" s="13"/>
      <c r="F626" s="13"/>
      <c r="G626" s="13"/>
      <c r="H626" s="13"/>
      <c r="I626" s="13"/>
      <c r="J626" s="13"/>
      <c r="K626" s="13"/>
      <c r="L626" s="13"/>
      <c r="M626" s="13"/>
      <c r="N626" s="13"/>
      <c r="O626" s="13"/>
      <c r="P626" s="13"/>
      <c r="Q626" s="13"/>
      <c r="R626" s="13"/>
      <c r="S626" s="13"/>
      <c r="T626" s="13"/>
      <c r="U626" s="13"/>
      <c r="V626" s="13"/>
      <c r="W626" s="13"/>
      <c r="X626" s="13"/>
      <c r="Y626" s="13"/>
    </row>
    <row r="627" spans="1:25" ht="15.75" customHeight="1" x14ac:dyDescent="0.25">
      <c r="A627" s="13"/>
      <c r="B627" s="13"/>
      <c r="C627" s="13"/>
      <c r="D627" s="13"/>
      <c r="E627" s="13"/>
      <c r="F627" s="13"/>
      <c r="G627" s="13"/>
      <c r="H627" s="13"/>
      <c r="I627" s="13"/>
      <c r="J627" s="13"/>
      <c r="K627" s="13"/>
      <c r="L627" s="13"/>
      <c r="M627" s="13"/>
      <c r="N627" s="13"/>
      <c r="O627" s="13"/>
      <c r="P627" s="13"/>
      <c r="Q627" s="13"/>
      <c r="R627" s="13"/>
      <c r="S627" s="13"/>
      <c r="T627" s="13"/>
      <c r="U627" s="13"/>
      <c r="V627" s="13"/>
      <c r="W627" s="13"/>
      <c r="X627" s="13"/>
      <c r="Y627" s="13"/>
    </row>
    <row r="628" spans="1:25" ht="15.75" customHeight="1" x14ac:dyDescent="0.25">
      <c r="A628" s="13"/>
      <c r="B628" s="13"/>
      <c r="C628" s="13"/>
      <c r="D628" s="13"/>
      <c r="E628" s="13"/>
      <c r="F628" s="13"/>
      <c r="G628" s="13"/>
      <c r="H628" s="13"/>
      <c r="I628" s="13"/>
      <c r="J628" s="13"/>
      <c r="K628" s="13"/>
      <c r="L628" s="13"/>
      <c r="M628" s="13"/>
      <c r="N628" s="13"/>
      <c r="O628" s="13"/>
      <c r="P628" s="13"/>
      <c r="Q628" s="13"/>
      <c r="R628" s="13"/>
      <c r="S628" s="13"/>
      <c r="T628" s="13"/>
      <c r="U628" s="13"/>
      <c r="V628" s="13"/>
      <c r="W628" s="13"/>
      <c r="X628" s="13"/>
      <c r="Y628" s="13"/>
    </row>
    <row r="629" spans="1:25" ht="15.75" customHeight="1" x14ac:dyDescent="0.25">
      <c r="A629" s="13"/>
      <c r="B629" s="13"/>
      <c r="C629" s="13"/>
      <c r="D629" s="13"/>
      <c r="E629" s="13"/>
      <c r="F629" s="13"/>
      <c r="G629" s="13"/>
      <c r="H629" s="13"/>
      <c r="I629" s="13"/>
      <c r="J629" s="13"/>
      <c r="K629" s="13"/>
      <c r="L629" s="13"/>
      <c r="M629" s="13"/>
      <c r="N629" s="13"/>
      <c r="O629" s="13"/>
      <c r="P629" s="13"/>
      <c r="Q629" s="13"/>
      <c r="R629" s="13"/>
      <c r="S629" s="13"/>
      <c r="T629" s="13"/>
      <c r="U629" s="13"/>
      <c r="V629" s="13"/>
      <c r="W629" s="13"/>
      <c r="X629" s="13"/>
      <c r="Y629" s="13"/>
    </row>
    <row r="630" spans="1:25" ht="15.75" customHeight="1" x14ac:dyDescent="0.25">
      <c r="A630" s="13"/>
      <c r="B630" s="13"/>
      <c r="C630" s="13"/>
      <c r="D630" s="13"/>
      <c r="E630" s="13"/>
      <c r="F630" s="13"/>
      <c r="G630" s="13"/>
      <c r="H630" s="13"/>
      <c r="I630" s="13"/>
      <c r="J630" s="13"/>
      <c r="K630" s="13"/>
      <c r="L630" s="13"/>
      <c r="M630" s="13"/>
      <c r="N630" s="13"/>
      <c r="O630" s="13"/>
      <c r="P630" s="13"/>
      <c r="Q630" s="13"/>
      <c r="R630" s="13"/>
      <c r="S630" s="13"/>
      <c r="T630" s="13"/>
      <c r="U630" s="13"/>
      <c r="V630" s="13"/>
      <c r="W630" s="13"/>
      <c r="X630" s="13"/>
      <c r="Y630" s="13"/>
    </row>
    <row r="631" spans="1:25" ht="15.75" customHeight="1" x14ac:dyDescent="0.25">
      <c r="A631" s="13"/>
      <c r="B631" s="13"/>
      <c r="C631" s="13"/>
      <c r="D631" s="13"/>
      <c r="E631" s="13"/>
      <c r="F631" s="13"/>
      <c r="G631" s="13"/>
      <c r="H631" s="13"/>
      <c r="I631" s="13"/>
      <c r="J631" s="13"/>
      <c r="K631" s="13"/>
      <c r="L631" s="13"/>
      <c r="M631" s="13"/>
      <c r="N631" s="13"/>
      <c r="O631" s="13"/>
      <c r="P631" s="13"/>
      <c r="Q631" s="13"/>
      <c r="R631" s="13"/>
      <c r="S631" s="13"/>
      <c r="T631" s="13"/>
      <c r="U631" s="13"/>
      <c r="V631" s="13"/>
      <c r="W631" s="13"/>
      <c r="X631" s="13"/>
      <c r="Y631" s="13"/>
    </row>
    <row r="632" spans="1:25" ht="15.75" customHeight="1" x14ac:dyDescent="0.25">
      <c r="A632" s="13"/>
      <c r="B632" s="13"/>
      <c r="C632" s="13"/>
      <c r="D632" s="13"/>
      <c r="E632" s="13"/>
      <c r="F632" s="13"/>
      <c r="G632" s="13"/>
      <c r="H632" s="13"/>
      <c r="I632" s="13"/>
      <c r="J632" s="13"/>
      <c r="K632" s="13"/>
      <c r="L632" s="13"/>
      <c r="M632" s="13"/>
      <c r="N632" s="13"/>
      <c r="O632" s="13"/>
      <c r="P632" s="13"/>
      <c r="Q632" s="13"/>
      <c r="R632" s="13"/>
      <c r="S632" s="13"/>
      <c r="T632" s="13"/>
      <c r="U632" s="13"/>
      <c r="V632" s="13"/>
      <c r="W632" s="13"/>
      <c r="X632" s="13"/>
      <c r="Y632" s="13"/>
    </row>
    <row r="633" spans="1:25" ht="15.75" customHeight="1" x14ac:dyDescent="0.25">
      <c r="A633" s="13"/>
      <c r="B633" s="13"/>
      <c r="C633" s="13"/>
      <c r="D633" s="13"/>
      <c r="E633" s="13"/>
      <c r="F633" s="13"/>
      <c r="G633" s="13"/>
      <c r="H633" s="13"/>
      <c r="I633" s="13"/>
      <c r="J633" s="13"/>
      <c r="K633" s="13"/>
      <c r="L633" s="13"/>
      <c r="M633" s="13"/>
      <c r="N633" s="13"/>
      <c r="O633" s="13"/>
      <c r="P633" s="13"/>
      <c r="Q633" s="13"/>
      <c r="R633" s="13"/>
      <c r="S633" s="13"/>
      <c r="T633" s="13"/>
      <c r="U633" s="13"/>
      <c r="V633" s="13"/>
      <c r="W633" s="13"/>
      <c r="X633" s="13"/>
      <c r="Y633" s="13"/>
    </row>
    <row r="634" spans="1:25" ht="15.75" customHeight="1" x14ac:dyDescent="0.25">
      <c r="A634" s="13"/>
      <c r="B634" s="13"/>
      <c r="C634" s="13"/>
      <c r="D634" s="13"/>
      <c r="E634" s="13"/>
      <c r="F634" s="13"/>
      <c r="G634" s="13"/>
      <c r="H634" s="13"/>
      <c r="I634" s="13"/>
      <c r="J634" s="13"/>
      <c r="K634" s="13"/>
      <c r="L634" s="13"/>
      <c r="M634" s="13"/>
      <c r="N634" s="13"/>
      <c r="O634" s="13"/>
      <c r="P634" s="13"/>
      <c r="Q634" s="13"/>
      <c r="R634" s="13"/>
      <c r="S634" s="13"/>
      <c r="T634" s="13"/>
      <c r="U634" s="13"/>
      <c r="V634" s="13"/>
      <c r="W634" s="13"/>
      <c r="X634" s="13"/>
      <c r="Y634" s="13"/>
    </row>
    <row r="635" spans="1:25" ht="15.75" customHeight="1" x14ac:dyDescent="0.25">
      <c r="A635" s="13"/>
      <c r="B635" s="13"/>
      <c r="C635" s="13"/>
      <c r="D635" s="13"/>
      <c r="E635" s="13"/>
      <c r="F635" s="13"/>
      <c r="G635" s="13"/>
      <c r="H635" s="13"/>
      <c r="I635" s="13"/>
      <c r="J635" s="13"/>
      <c r="K635" s="13"/>
      <c r="L635" s="13"/>
      <c r="M635" s="13"/>
      <c r="N635" s="13"/>
      <c r="O635" s="13"/>
      <c r="P635" s="13"/>
      <c r="Q635" s="13"/>
      <c r="R635" s="13"/>
      <c r="S635" s="13"/>
      <c r="T635" s="13"/>
      <c r="U635" s="13"/>
      <c r="V635" s="13"/>
      <c r="W635" s="13"/>
      <c r="X635" s="13"/>
      <c r="Y635" s="13"/>
    </row>
    <row r="636" spans="1:25" ht="15.75" customHeight="1" x14ac:dyDescent="0.25">
      <c r="A636" s="13"/>
      <c r="B636" s="13"/>
      <c r="C636" s="13"/>
      <c r="D636" s="13"/>
      <c r="E636" s="13"/>
      <c r="F636" s="13"/>
      <c r="G636" s="13"/>
      <c r="H636" s="13"/>
      <c r="I636" s="13"/>
      <c r="J636" s="13"/>
      <c r="K636" s="13"/>
      <c r="L636" s="13"/>
      <c r="M636" s="13"/>
      <c r="N636" s="13"/>
      <c r="O636" s="13"/>
      <c r="P636" s="13"/>
      <c r="Q636" s="13"/>
      <c r="R636" s="13"/>
      <c r="S636" s="13"/>
      <c r="T636" s="13"/>
      <c r="U636" s="13"/>
      <c r="V636" s="13"/>
      <c r="W636" s="13"/>
      <c r="X636" s="13"/>
      <c r="Y636" s="13"/>
    </row>
    <row r="637" spans="1:25" ht="15.75" customHeight="1" x14ac:dyDescent="0.25">
      <c r="A637" s="13"/>
      <c r="B637" s="13"/>
      <c r="C637" s="13"/>
      <c r="D637" s="13"/>
      <c r="E637" s="13"/>
      <c r="F637" s="13"/>
      <c r="G637" s="13"/>
      <c r="H637" s="13"/>
      <c r="I637" s="13"/>
      <c r="J637" s="13"/>
      <c r="K637" s="13"/>
      <c r="L637" s="13"/>
      <c r="M637" s="13"/>
      <c r="N637" s="13"/>
      <c r="O637" s="13"/>
      <c r="P637" s="13"/>
      <c r="Q637" s="13"/>
      <c r="R637" s="13"/>
      <c r="S637" s="13"/>
      <c r="T637" s="13"/>
      <c r="U637" s="13"/>
      <c r="V637" s="13"/>
      <c r="W637" s="13"/>
      <c r="X637" s="13"/>
      <c r="Y637" s="13"/>
    </row>
    <row r="638" spans="1:25" ht="15.75" customHeight="1" x14ac:dyDescent="0.25">
      <c r="A638" s="13"/>
      <c r="B638" s="13"/>
      <c r="C638" s="13"/>
      <c r="D638" s="13"/>
      <c r="E638" s="13"/>
      <c r="F638" s="13"/>
      <c r="G638" s="13"/>
      <c r="H638" s="13"/>
      <c r="I638" s="13"/>
      <c r="J638" s="13"/>
      <c r="K638" s="13"/>
      <c r="L638" s="13"/>
      <c r="M638" s="13"/>
      <c r="N638" s="13"/>
      <c r="O638" s="13"/>
      <c r="P638" s="13"/>
      <c r="Q638" s="13"/>
      <c r="R638" s="13"/>
      <c r="S638" s="13"/>
      <c r="T638" s="13"/>
      <c r="U638" s="13"/>
      <c r="V638" s="13"/>
      <c r="W638" s="13"/>
      <c r="X638" s="13"/>
      <c r="Y638" s="13"/>
    </row>
    <row r="639" spans="1:25" ht="15.75" customHeight="1" x14ac:dyDescent="0.25">
      <c r="A639" s="13"/>
      <c r="B639" s="13"/>
      <c r="C639" s="13"/>
      <c r="D639" s="13"/>
      <c r="E639" s="13"/>
      <c r="F639" s="13"/>
      <c r="G639" s="13"/>
      <c r="H639" s="13"/>
      <c r="I639" s="13"/>
      <c r="J639" s="13"/>
      <c r="K639" s="13"/>
      <c r="L639" s="13"/>
      <c r="M639" s="13"/>
      <c r="N639" s="13"/>
      <c r="O639" s="13"/>
      <c r="P639" s="13"/>
      <c r="Q639" s="13"/>
      <c r="R639" s="13"/>
      <c r="S639" s="13"/>
      <c r="T639" s="13"/>
      <c r="U639" s="13"/>
      <c r="V639" s="13"/>
      <c r="W639" s="13"/>
      <c r="X639" s="13"/>
      <c r="Y639" s="13"/>
    </row>
    <row r="640" spans="1:25" ht="15.75" customHeight="1" x14ac:dyDescent="0.25">
      <c r="A640" s="13"/>
      <c r="B640" s="13"/>
      <c r="C640" s="13"/>
      <c r="D640" s="13"/>
      <c r="E640" s="13"/>
      <c r="F640" s="13"/>
      <c r="G640" s="13"/>
      <c r="H640" s="13"/>
      <c r="I640" s="13"/>
      <c r="J640" s="13"/>
      <c r="K640" s="13"/>
      <c r="L640" s="13"/>
      <c r="M640" s="13"/>
      <c r="N640" s="13"/>
      <c r="O640" s="13"/>
      <c r="P640" s="13"/>
      <c r="Q640" s="13"/>
      <c r="R640" s="13"/>
      <c r="S640" s="13"/>
      <c r="T640" s="13"/>
      <c r="U640" s="13"/>
      <c r="V640" s="13"/>
      <c r="W640" s="13"/>
      <c r="X640" s="13"/>
      <c r="Y640" s="13"/>
    </row>
    <row r="641" spans="1:25" ht="15.75" customHeight="1" x14ac:dyDescent="0.25">
      <c r="A641" s="13"/>
      <c r="B641" s="13"/>
      <c r="C641" s="13"/>
      <c r="D641" s="13"/>
      <c r="E641" s="13"/>
      <c r="F641" s="13"/>
      <c r="G641" s="13"/>
      <c r="H641" s="13"/>
      <c r="I641" s="13"/>
      <c r="J641" s="13"/>
      <c r="K641" s="13"/>
      <c r="L641" s="13"/>
      <c r="M641" s="13"/>
      <c r="N641" s="13"/>
      <c r="O641" s="13"/>
      <c r="P641" s="13"/>
      <c r="Q641" s="13"/>
      <c r="R641" s="13"/>
      <c r="S641" s="13"/>
      <c r="T641" s="13"/>
      <c r="U641" s="13"/>
      <c r="V641" s="13"/>
      <c r="W641" s="13"/>
      <c r="X641" s="13"/>
      <c r="Y641" s="13"/>
    </row>
    <row r="642" spans="1:25" ht="15.75" customHeight="1" x14ac:dyDescent="0.25">
      <c r="A642" s="13"/>
      <c r="B642" s="13"/>
      <c r="C642" s="13"/>
      <c r="D642" s="13"/>
      <c r="E642" s="13"/>
      <c r="F642" s="13"/>
      <c r="G642" s="13"/>
      <c r="H642" s="13"/>
      <c r="I642" s="13"/>
      <c r="J642" s="13"/>
      <c r="K642" s="13"/>
      <c r="L642" s="13"/>
      <c r="M642" s="13"/>
      <c r="N642" s="13"/>
      <c r="O642" s="13"/>
      <c r="P642" s="13"/>
      <c r="Q642" s="13"/>
      <c r="R642" s="13"/>
      <c r="S642" s="13"/>
      <c r="T642" s="13"/>
      <c r="U642" s="13"/>
      <c r="V642" s="13"/>
      <c r="W642" s="13"/>
      <c r="X642" s="13"/>
      <c r="Y642" s="13"/>
    </row>
    <row r="643" spans="1:25" ht="15.75" customHeight="1" x14ac:dyDescent="0.25">
      <c r="A643" s="13"/>
      <c r="B643" s="13"/>
      <c r="C643" s="13"/>
      <c r="D643" s="13"/>
      <c r="E643" s="13"/>
      <c r="F643" s="13"/>
      <c r="G643" s="13"/>
      <c r="H643" s="13"/>
      <c r="I643" s="13"/>
      <c r="J643" s="13"/>
      <c r="K643" s="13"/>
      <c r="L643" s="13"/>
      <c r="M643" s="13"/>
      <c r="N643" s="13"/>
      <c r="O643" s="13"/>
      <c r="P643" s="13"/>
      <c r="Q643" s="13"/>
      <c r="R643" s="13"/>
      <c r="S643" s="13"/>
      <c r="T643" s="13"/>
      <c r="U643" s="13"/>
      <c r="V643" s="13"/>
      <c r="W643" s="13"/>
      <c r="X643" s="13"/>
      <c r="Y643" s="13"/>
    </row>
    <row r="644" spans="1:25" ht="15.75" customHeight="1" x14ac:dyDescent="0.25">
      <c r="A644" s="13"/>
      <c r="B644" s="13"/>
      <c r="C644" s="13"/>
      <c r="D644" s="13"/>
      <c r="E644" s="13"/>
      <c r="F644" s="13"/>
      <c r="G644" s="13"/>
      <c r="H644" s="13"/>
      <c r="I644" s="13"/>
      <c r="J644" s="13"/>
      <c r="K644" s="13"/>
      <c r="L644" s="13"/>
      <c r="M644" s="13"/>
      <c r="N644" s="13"/>
      <c r="O644" s="13"/>
      <c r="P644" s="13"/>
      <c r="Q644" s="13"/>
      <c r="R644" s="13"/>
      <c r="S644" s="13"/>
      <c r="T644" s="13"/>
      <c r="U644" s="13"/>
      <c r="V644" s="13"/>
      <c r="W644" s="13"/>
      <c r="X644" s="13"/>
      <c r="Y644" s="13"/>
    </row>
    <row r="645" spans="1:25" ht="15.75" customHeight="1" x14ac:dyDescent="0.25">
      <c r="A645" s="13"/>
      <c r="B645" s="13"/>
      <c r="C645" s="13"/>
      <c r="D645" s="13"/>
      <c r="E645" s="13"/>
      <c r="F645" s="13"/>
      <c r="G645" s="13"/>
      <c r="H645" s="13"/>
      <c r="I645" s="13"/>
      <c r="J645" s="13"/>
      <c r="K645" s="13"/>
      <c r="L645" s="13"/>
      <c r="M645" s="13"/>
      <c r="N645" s="13"/>
      <c r="O645" s="13"/>
      <c r="P645" s="13"/>
      <c r="Q645" s="13"/>
      <c r="R645" s="13"/>
      <c r="S645" s="13"/>
      <c r="T645" s="13"/>
      <c r="U645" s="13"/>
      <c r="V645" s="13"/>
      <c r="W645" s="13"/>
      <c r="X645" s="13"/>
      <c r="Y645" s="13"/>
    </row>
    <row r="646" spans="1:25" ht="15.75" customHeight="1" x14ac:dyDescent="0.25">
      <c r="A646" s="13"/>
      <c r="B646" s="13"/>
      <c r="C646" s="13"/>
      <c r="D646" s="13"/>
      <c r="E646" s="13"/>
      <c r="F646" s="13"/>
      <c r="G646" s="13"/>
      <c r="H646" s="13"/>
      <c r="I646" s="13"/>
      <c r="J646" s="13"/>
      <c r="K646" s="13"/>
      <c r="L646" s="13"/>
      <c r="M646" s="13"/>
      <c r="N646" s="13"/>
      <c r="O646" s="13"/>
      <c r="P646" s="13"/>
      <c r="Q646" s="13"/>
      <c r="R646" s="13"/>
      <c r="S646" s="13"/>
      <c r="T646" s="13"/>
      <c r="U646" s="13"/>
      <c r="V646" s="13"/>
      <c r="W646" s="13"/>
      <c r="X646" s="13"/>
      <c r="Y646" s="13"/>
    </row>
    <row r="647" spans="1:25" ht="15.75" customHeight="1" x14ac:dyDescent="0.25">
      <c r="A647" s="13"/>
      <c r="B647" s="13"/>
      <c r="C647" s="13"/>
      <c r="D647" s="13"/>
      <c r="E647" s="13"/>
      <c r="F647" s="13"/>
      <c r="G647" s="13"/>
      <c r="H647" s="13"/>
      <c r="I647" s="13"/>
      <c r="J647" s="13"/>
      <c r="K647" s="13"/>
      <c r="L647" s="13"/>
      <c r="M647" s="13"/>
      <c r="N647" s="13"/>
      <c r="O647" s="13"/>
      <c r="P647" s="13"/>
      <c r="Q647" s="13"/>
      <c r="R647" s="13"/>
      <c r="S647" s="13"/>
      <c r="T647" s="13"/>
      <c r="U647" s="13"/>
      <c r="V647" s="13"/>
      <c r="W647" s="13"/>
      <c r="X647" s="13"/>
      <c r="Y647" s="13"/>
    </row>
    <row r="648" spans="1:25" ht="15.75" customHeight="1" x14ac:dyDescent="0.25">
      <c r="A648" s="13"/>
      <c r="B648" s="13"/>
      <c r="C648" s="13"/>
      <c r="D648" s="13"/>
      <c r="E648" s="13"/>
      <c r="F648" s="13"/>
      <c r="G648" s="13"/>
      <c r="H648" s="13"/>
      <c r="I648" s="13"/>
      <c r="J648" s="13"/>
      <c r="K648" s="13"/>
      <c r="L648" s="13"/>
      <c r="M648" s="13"/>
      <c r="N648" s="13"/>
      <c r="O648" s="13"/>
      <c r="P648" s="13"/>
      <c r="Q648" s="13"/>
      <c r="R648" s="13"/>
      <c r="S648" s="13"/>
      <c r="T648" s="13"/>
      <c r="U648" s="13"/>
      <c r="V648" s="13"/>
      <c r="W648" s="13"/>
      <c r="X648" s="13"/>
      <c r="Y648" s="13"/>
    </row>
    <row r="649" spans="1:25" ht="15.75" customHeight="1" x14ac:dyDescent="0.25">
      <c r="A649" s="13"/>
      <c r="B649" s="13"/>
      <c r="C649" s="13"/>
      <c r="D649" s="13"/>
      <c r="E649" s="13"/>
      <c r="F649" s="13"/>
      <c r="G649" s="13"/>
      <c r="H649" s="13"/>
      <c r="I649" s="13"/>
      <c r="J649" s="13"/>
      <c r="K649" s="13"/>
      <c r="L649" s="13"/>
      <c r="M649" s="13"/>
      <c r="N649" s="13"/>
      <c r="O649" s="13"/>
      <c r="P649" s="13"/>
      <c r="Q649" s="13"/>
      <c r="R649" s="13"/>
      <c r="S649" s="13"/>
      <c r="T649" s="13"/>
      <c r="U649" s="13"/>
      <c r="V649" s="13"/>
      <c r="W649" s="13"/>
      <c r="X649" s="13"/>
      <c r="Y649" s="13"/>
    </row>
    <row r="650" spans="1:25" ht="15.75" customHeight="1" x14ac:dyDescent="0.25">
      <c r="A650" s="13"/>
      <c r="B650" s="13"/>
      <c r="C650" s="13"/>
      <c r="D650" s="13"/>
      <c r="E650" s="13"/>
      <c r="F650" s="13"/>
      <c r="G650" s="13"/>
      <c r="H650" s="13"/>
      <c r="I650" s="13"/>
      <c r="J650" s="13"/>
      <c r="K650" s="13"/>
      <c r="L650" s="13"/>
      <c r="M650" s="13"/>
      <c r="N650" s="13"/>
      <c r="O650" s="13"/>
      <c r="P650" s="13"/>
      <c r="Q650" s="13"/>
      <c r="R650" s="13"/>
      <c r="S650" s="13"/>
      <c r="T650" s="13"/>
      <c r="U650" s="13"/>
      <c r="V650" s="13"/>
      <c r="W650" s="13"/>
      <c r="X650" s="13"/>
      <c r="Y650" s="13"/>
    </row>
    <row r="651" spans="1:25" ht="15.75" customHeight="1" x14ac:dyDescent="0.25">
      <c r="A651" s="13"/>
      <c r="B651" s="13"/>
      <c r="C651" s="13"/>
      <c r="D651" s="13"/>
      <c r="E651" s="13"/>
      <c r="F651" s="13"/>
      <c r="G651" s="13"/>
      <c r="H651" s="13"/>
      <c r="I651" s="13"/>
      <c r="J651" s="13"/>
      <c r="K651" s="13"/>
      <c r="L651" s="13"/>
      <c r="M651" s="13"/>
      <c r="N651" s="13"/>
      <c r="O651" s="13"/>
      <c r="P651" s="13"/>
      <c r="Q651" s="13"/>
      <c r="R651" s="13"/>
      <c r="S651" s="13"/>
      <c r="T651" s="13"/>
      <c r="U651" s="13"/>
      <c r="V651" s="13"/>
      <c r="W651" s="13"/>
      <c r="X651" s="13"/>
      <c r="Y651" s="13"/>
    </row>
    <row r="652" spans="1:25" ht="15.75" customHeight="1" x14ac:dyDescent="0.25">
      <c r="A652" s="13"/>
      <c r="B652" s="13"/>
      <c r="C652" s="13"/>
      <c r="D652" s="13"/>
      <c r="E652" s="13"/>
      <c r="F652" s="13"/>
      <c r="G652" s="13"/>
      <c r="H652" s="13"/>
      <c r="I652" s="13"/>
      <c r="J652" s="13"/>
      <c r="K652" s="13"/>
      <c r="L652" s="13"/>
      <c r="M652" s="13"/>
      <c r="N652" s="13"/>
      <c r="O652" s="13"/>
      <c r="P652" s="13"/>
      <c r="Q652" s="13"/>
      <c r="R652" s="13"/>
      <c r="S652" s="13"/>
      <c r="T652" s="13"/>
      <c r="U652" s="13"/>
      <c r="V652" s="13"/>
      <c r="W652" s="13"/>
      <c r="X652" s="13"/>
      <c r="Y652" s="13"/>
    </row>
    <row r="653" spans="1:25" ht="15.75" customHeight="1" x14ac:dyDescent="0.25">
      <c r="A653" s="13"/>
      <c r="B653" s="13"/>
      <c r="C653" s="13"/>
      <c r="D653" s="13"/>
      <c r="E653" s="13"/>
      <c r="F653" s="13"/>
      <c r="G653" s="13"/>
      <c r="H653" s="13"/>
      <c r="I653" s="13"/>
      <c r="J653" s="13"/>
      <c r="K653" s="13"/>
      <c r="L653" s="13"/>
      <c r="M653" s="13"/>
      <c r="N653" s="13"/>
      <c r="O653" s="13"/>
      <c r="P653" s="13"/>
      <c r="Q653" s="13"/>
      <c r="R653" s="13"/>
      <c r="S653" s="13"/>
      <c r="T653" s="13"/>
      <c r="U653" s="13"/>
      <c r="V653" s="13"/>
      <c r="W653" s="13"/>
      <c r="X653" s="13"/>
      <c r="Y653" s="13"/>
    </row>
    <row r="654" spans="1:25" ht="15.75" customHeight="1" x14ac:dyDescent="0.25">
      <c r="A654" s="13"/>
      <c r="B654" s="13"/>
      <c r="C654" s="13"/>
      <c r="D654" s="13"/>
      <c r="E654" s="13"/>
      <c r="F654" s="13"/>
      <c r="G654" s="13"/>
      <c r="H654" s="13"/>
      <c r="I654" s="13"/>
      <c r="J654" s="13"/>
      <c r="K654" s="13"/>
      <c r="L654" s="13"/>
      <c r="M654" s="13"/>
      <c r="N654" s="13"/>
      <c r="O654" s="13"/>
      <c r="P654" s="13"/>
      <c r="Q654" s="13"/>
      <c r="R654" s="13"/>
      <c r="S654" s="13"/>
      <c r="T654" s="13"/>
      <c r="U654" s="13"/>
      <c r="V654" s="13"/>
      <c r="W654" s="13"/>
      <c r="X654" s="13"/>
      <c r="Y654" s="13"/>
    </row>
    <row r="655" spans="1:25" ht="15.75" customHeight="1" x14ac:dyDescent="0.25">
      <c r="A655" s="13"/>
      <c r="B655" s="13"/>
      <c r="C655" s="13"/>
      <c r="D655" s="13"/>
      <c r="E655" s="13"/>
      <c r="F655" s="13"/>
      <c r="G655" s="13"/>
      <c r="H655" s="13"/>
      <c r="I655" s="13"/>
      <c r="J655" s="13"/>
      <c r="K655" s="13"/>
      <c r="L655" s="13"/>
      <c r="M655" s="13"/>
      <c r="N655" s="13"/>
      <c r="O655" s="13"/>
      <c r="P655" s="13"/>
      <c r="Q655" s="13"/>
      <c r="R655" s="13"/>
      <c r="S655" s="13"/>
      <c r="T655" s="13"/>
      <c r="U655" s="13"/>
      <c r="V655" s="13"/>
      <c r="W655" s="13"/>
      <c r="X655" s="13"/>
      <c r="Y655" s="13"/>
    </row>
    <row r="656" spans="1:25" ht="15.75" customHeight="1" x14ac:dyDescent="0.25">
      <c r="A656" s="13"/>
      <c r="B656" s="13"/>
      <c r="C656" s="13"/>
      <c r="D656" s="13"/>
      <c r="E656" s="13"/>
      <c r="F656" s="13"/>
      <c r="G656" s="13"/>
      <c r="H656" s="13"/>
      <c r="I656" s="13"/>
      <c r="J656" s="13"/>
      <c r="K656" s="13"/>
      <c r="L656" s="13"/>
      <c r="M656" s="13"/>
      <c r="N656" s="13"/>
      <c r="O656" s="13"/>
      <c r="P656" s="13"/>
      <c r="Q656" s="13"/>
      <c r="R656" s="13"/>
      <c r="S656" s="13"/>
      <c r="T656" s="13"/>
      <c r="U656" s="13"/>
      <c r="V656" s="13"/>
      <c r="W656" s="13"/>
      <c r="X656" s="13"/>
      <c r="Y656" s="13"/>
    </row>
    <row r="657" spans="1:25" ht="15.75" customHeight="1" x14ac:dyDescent="0.25">
      <c r="A657" s="13"/>
      <c r="B657" s="13"/>
      <c r="C657" s="13"/>
      <c r="D657" s="13"/>
      <c r="E657" s="13"/>
      <c r="F657" s="13"/>
      <c r="G657" s="13"/>
      <c r="H657" s="13"/>
      <c r="I657" s="13"/>
      <c r="J657" s="13"/>
      <c r="K657" s="13"/>
      <c r="L657" s="13"/>
      <c r="M657" s="13"/>
      <c r="N657" s="13"/>
      <c r="O657" s="13"/>
      <c r="P657" s="13"/>
      <c r="Q657" s="13"/>
      <c r="R657" s="13"/>
      <c r="S657" s="13"/>
      <c r="T657" s="13"/>
      <c r="U657" s="13"/>
      <c r="V657" s="13"/>
      <c r="W657" s="13"/>
      <c r="X657" s="13"/>
      <c r="Y657" s="13"/>
    </row>
    <row r="658" spans="1:25" ht="15.75" customHeight="1" x14ac:dyDescent="0.25">
      <c r="A658" s="13"/>
      <c r="B658" s="13"/>
      <c r="C658" s="13"/>
      <c r="D658" s="13"/>
      <c r="E658" s="13"/>
      <c r="F658" s="13"/>
      <c r="G658" s="13"/>
      <c r="H658" s="13"/>
      <c r="I658" s="13"/>
      <c r="J658" s="13"/>
      <c r="K658" s="13"/>
      <c r="L658" s="13"/>
      <c r="M658" s="13"/>
      <c r="N658" s="13"/>
      <c r="O658" s="13"/>
      <c r="P658" s="13"/>
      <c r="Q658" s="13"/>
      <c r="R658" s="13"/>
      <c r="S658" s="13"/>
      <c r="T658" s="13"/>
      <c r="U658" s="13"/>
      <c r="V658" s="13"/>
      <c r="W658" s="13"/>
      <c r="X658" s="13"/>
      <c r="Y658" s="13"/>
    </row>
    <row r="659" spans="1:25" ht="15.75" customHeight="1" x14ac:dyDescent="0.25">
      <c r="A659" s="13"/>
      <c r="B659" s="13"/>
      <c r="C659" s="13"/>
      <c r="D659" s="13"/>
      <c r="E659" s="13"/>
      <c r="F659" s="13"/>
      <c r="G659" s="13"/>
      <c r="H659" s="13"/>
      <c r="I659" s="13"/>
      <c r="J659" s="13"/>
      <c r="K659" s="13"/>
      <c r="L659" s="13"/>
      <c r="M659" s="13"/>
      <c r="N659" s="13"/>
      <c r="O659" s="13"/>
      <c r="P659" s="13"/>
      <c r="Q659" s="13"/>
      <c r="R659" s="13"/>
      <c r="S659" s="13"/>
      <c r="T659" s="13"/>
      <c r="U659" s="13"/>
      <c r="V659" s="13"/>
      <c r="W659" s="13"/>
      <c r="X659" s="13"/>
      <c r="Y659" s="13"/>
    </row>
    <row r="660" spans="1:25" ht="15.75" customHeight="1" x14ac:dyDescent="0.25">
      <c r="A660" s="13"/>
      <c r="B660" s="13"/>
      <c r="C660" s="13"/>
      <c r="D660" s="13"/>
      <c r="E660" s="13"/>
      <c r="F660" s="13"/>
      <c r="G660" s="13"/>
      <c r="H660" s="13"/>
      <c r="I660" s="13"/>
      <c r="J660" s="13"/>
      <c r="K660" s="13"/>
      <c r="L660" s="13"/>
      <c r="M660" s="13"/>
      <c r="N660" s="13"/>
      <c r="O660" s="13"/>
      <c r="P660" s="13"/>
      <c r="Q660" s="13"/>
      <c r="R660" s="13"/>
      <c r="S660" s="13"/>
      <c r="T660" s="13"/>
      <c r="U660" s="13"/>
      <c r="V660" s="13"/>
      <c r="W660" s="13"/>
      <c r="X660" s="13"/>
      <c r="Y660" s="13"/>
    </row>
    <row r="661" spans="1:25" ht="15.75" customHeight="1" x14ac:dyDescent="0.25">
      <c r="A661" s="13"/>
      <c r="B661" s="13"/>
      <c r="C661" s="13"/>
      <c r="D661" s="13"/>
      <c r="E661" s="13"/>
      <c r="F661" s="13"/>
      <c r="G661" s="13"/>
      <c r="H661" s="13"/>
      <c r="I661" s="13"/>
      <c r="J661" s="13"/>
      <c r="K661" s="13"/>
      <c r="L661" s="13"/>
      <c r="M661" s="13"/>
      <c r="N661" s="13"/>
      <c r="O661" s="13"/>
      <c r="P661" s="13"/>
      <c r="Q661" s="13"/>
      <c r="R661" s="13"/>
      <c r="S661" s="13"/>
      <c r="T661" s="13"/>
      <c r="U661" s="13"/>
      <c r="V661" s="13"/>
      <c r="W661" s="13"/>
      <c r="X661" s="13"/>
      <c r="Y661" s="13"/>
    </row>
    <row r="662" spans="1:25" ht="15.75" customHeight="1" x14ac:dyDescent="0.25">
      <c r="A662" s="13"/>
      <c r="B662" s="13"/>
      <c r="C662" s="13"/>
      <c r="D662" s="13"/>
      <c r="E662" s="13"/>
      <c r="F662" s="13"/>
      <c r="G662" s="13"/>
      <c r="H662" s="13"/>
      <c r="I662" s="13"/>
      <c r="J662" s="13"/>
      <c r="K662" s="13"/>
      <c r="L662" s="13"/>
      <c r="M662" s="13"/>
      <c r="N662" s="13"/>
      <c r="O662" s="13"/>
      <c r="P662" s="13"/>
      <c r="Q662" s="13"/>
      <c r="R662" s="13"/>
      <c r="S662" s="13"/>
      <c r="T662" s="13"/>
      <c r="U662" s="13"/>
      <c r="V662" s="13"/>
      <c r="W662" s="13"/>
      <c r="X662" s="13"/>
      <c r="Y662" s="13"/>
    </row>
    <row r="663" spans="1:25" ht="15.75" customHeight="1" x14ac:dyDescent="0.25">
      <c r="A663" s="13"/>
      <c r="B663" s="13"/>
      <c r="C663" s="13"/>
      <c r="D663" s="13"/>
      <c r="E663" s="13"/>
      <c r="F663" s="13"/>
      <c r="G663" s="13"/>
      <c r="H663" s="13"/>
      <c r="I663" s="13"/>
      <c r="J663" s="13"/>
      <c r="K663" s="13"/>
      <c r="L663" s="13"/>
      <c r="M663" s="13"/>
      <c r="N663" s="13"/>
      <c r="O663" s="13"/>
      <c r="P663" s="13"/>
      <c r="Q663" s="13"/>
      <c r="R663" s="13"/>
      <c r="S663" s="13"/>
      <c r="T663" s="13"/>
      <c r="U663" s="13"/>
      <c r="V663" s="13"/>
      <c r="W663" s="13"/>
      <c r="X663" s="13"/>
      <c r="Y663" s="13"/>
    </row>
    <row r="664" spans="1:25" ht="15.75" customHeight="1" x14ac:dyDescent="0.25">
      <c r="A664" s="13"/>
      <c r="B664" s="13"/>
      <c r="C664" s="13"/>
      <c r="D664" s="13"/>
      <c r="E664" s="13"/>
      <c r="F664" s="13"/>
      <c r="G664" s="13"/>
      <c r="H664" s="13"/>
      <c r="I664" s="13"/>
      <c r="J664" s="13"/>
      <c r="K664" s="13"/>
      <c r="L664" s="13"/>
      <c r="M664" s="13"/>
      <c r="N664" s="13"/>
      <c r="O664" s="13"/>
      <c r="P664" s="13"/>
      <c r="Q664" s="13"/>
      <c r="R664" s="13"/>
      <c r="S664" s="13"/>
      <c r="T664" s="13"/>
      <c r="U664" s="13"/>
      <c r="V664" s="13"/>
      <c r="W664" s="13"/>
      <c r="X664" s="13"/>
      <c r="Y664" s="13"/>
    </row>
    <row r="665" spans="1:25" ht="15.75" customHeight="1" x14ac:dyDescent="0.25">
      <c r="A665" s="13"/>
      <c r="B665" s="13"/>
      <c r="C665" s="13"/>
      <c r="D665" s="13"/>
      <c r="E665" s="13"/>
      <c r="F665" s="13"/>
      <c r="G665" s="13"/>
      <c r="H665" s="13"/>
      <c r="I665" s="13"/>
      <c r="J665" s="13"/>
      <c r="K665" s="13"/>
      <c r="L665" s="13"/>
      <c r="M665" s="13"/>
      <c r="N665" s="13"/>
      <c r="O665" s="13"/>
      <c r="P665" s="13"/>
      <c r="Q665" s="13"/>
      <c r="R665" s="13"/>
      <c r="S665" s="13"/>
      <c r="T665" s="13"/>
      <c r="U665" s="13"/>
      <c r="V665" s="13"/>
      <c r="W665" s="13"/>
      <c r="X665" s="13"/>
      <c r="Y665" s="13"/>
    </row>
    <row r="666" spans="1:25" ht="15.75" customHeight="1" x14ac:dyDescent="0.25">
      <c r="A666" s="13"/>
      <c r="B666" s="13"/>
      <c r="C666" s="13"/>
      <c r="D666" s="13"/>
      <c r="E666" s="13"/>
      <c r="F666" s="13"/>
      <c r="G666" s="13"/>
      <c r="H666" s="13"/>
      <c r="I666" s="13"/>
      <c r="J666" s="13"/>
      <c r="K666" s="13"/>
      <c r="L666" s="13"/>
      <c r="M666" s="13"/>
      <c r="N666" s="13"/>
      <c r="O666" s="13"/>
      <c r="P666" s="13"/>
      <c r="Q666" s="13"/>
      <c r="R666" s="13"/>
      <c r="S666" s="13"/>
      <c r="T666" s="13"/>
      <c r="U666" s="13"/>
      <c r="V666" s="13"/>
      <c r="W666" s="13"/>
      <c r="X666" s="13"/>
      <c r="Y666" s="13"/>
    </row>
    <row r="667" spans="1:25" ht="15.75" customHeight="1" x14ac:dyDescent="0.25">
      <c r="A667" s="13"/>
      <c r="B667" s="13"/>
      <c r="C667" s="13"/>
      <c r="D667" s="13"/>
      <c r="E667" s="13"/>
      <c r="F667" s="13"/>
      <c r="G667" s="13"/>
      <c r="H667" s="13"/>
      <c r="I667" s="13"/>
      <c r="J667" s="13"/>
      <c r="K667" s="13"/>
      <c r="L667" s="13"/>
      <c r="M667" s="13"/>
      <c r="N667" s="13"/>
      <c r="O667" s="13"/>
      <c r="P667" s="13"/>
      <c r="Q667" s="13"/>
      <c r="R667" s="13"/>
      <c r="S667" s="13"/>
      <c r="T667" s="13"/>
      <c r="U667" s="13"/>
      <c r="V667" s="13"/>
      <c r="W667" s="13"/>
      <c r="X667" s="13"/>
      <c r="Y667" s="13"/>
    </row>
    <row r="668" spans="1:25" ht="15.75" customHeight="1" x14ac:dyDescent="0.25">
      <c r="A668" s="13"/>
      <c r="B668" s="13"/>
      <c r="C668" s="13"/>
      <c r="D668" s="13"/>
      <c r="E668" s="13"/>
      <c r="F668" s="13"/>
      <c r="G668" s="13"/>
      <c r="H668" s="13"/>
      <c r="I668" s="13"/>
      <c r="J668" s="13"/>
      <c r="K668" s="13"/>
      <c r="L668" s="13"/>
      <c r="M668" s="13"/>
      <c r="N668" s="13"/>
      <c r="O668" s="13"/>
      <c r="P668" s="13"/>
      <c r="Q668" s="13"/>
      <c r="R668" s="13"/>
      <c r="S668" s="13"/>
      <c r="T668" s="13"/>
      <c r="U668" s="13"/>
      <c r="V668" s="13"/>
      <c r="W668" s="13"/>
      <c r="X668" s="13"/>
      <c r="Y668" s="13"/>
    </row>
    <row r="669" spans="1:25" ht="15.75" customHeight="1" x14ac:dyDescent="0.25">
      <c r="A669" s="13"/>
      <c r="B669" s="13"/>
      <c r="C669" s="13"/>
      <c r="D669" s="13"/>
      <c r="E669" s="13"/>
      <c r="F669" s="13"/>
      <c r="G669" s="13"/>
      <c r="H669" s="13"/>
      <c r="I669" s="13"/>
      <c r="J669" s="13"/>
      <c r="K669" s="13"/>
      <c r="L669" s="13"/>
      <c r="M669" s="13"/>
      <c r="N669" s="13"/>
      <c r="O669" s="13"/>
      <c r="P669" s="13"/>
      <c r="Q669" s="13"/>
      <c r="R669" s="13"/>
      <c r="S669" s="13"/>
      <c r="T669" s="13"/>
      <c r="U669" s="13"/>
      <c r="V669" s="13"/>
      <c r="W669" s="13"/>
      <c r="X669" s="13"/>
      <c r="Y669" s="13"/>
    </row>
    <row r="670" spans="1:25" ht="15.75" customHeight="1" x14ac:dyDescent="0.25">
      <c r="A670" s="13"/>
      <c r="B670" s="13"/>
      <c r="C670" s="13"/>
      <c r="D670" s="13"/>
      <c r="E670" s="13"/>
      <c r="F670" s="13"/>
      <c r="G670" s="13"/>
      <c r="H670" s="13"/>
      <c r="I670" s="13"/>
      <c r="J670" s="13"/>
      <c r="K670" s="13"/>
      <c r="L670" s="13"/>
      <c r="M670" s="13"/>
      <c r="N670" s="13"/>
      <c r="O670" s="13"/>
      <c r="P670" s="13"/>
      <c r="Q670" s="13"/>
      <c r="R670" s="13"/>
      <c r="S670" s="13"/>
      <c r="T670" s="13"/>
      <c r="U670" s="13"/>
      <c r="V670" s="13"/>
      <c r="W670" s="13"/>
      <c r="X670" s="13"/>
      <c r="Y670" s="13"/>
    </row>
    <row r="671" spans="1:25" ht="15.75" customHeight="1" x14ac:dyDescent="0.25">
      <c r="A671" s="13"/>
      <c r="B671" s="13"/>
      <c r="C671" s="13"/>
      <c r="D671" s="13"/>
      <c r="E671" s="13"/>
      <c r="F671" s="13"/>
      <c r="G671" s="13"/>
      <c r="H671" s="13"/>
      <c r="I671" s="13"/>
      <c r="J671" s="13"/>
      <c r="K671" s="13"/>
      <c r="L671" s="13"/>
      <c r="M671" s="13"/>
      <c r="N671" s="13"/>
      <c r="O671" s="13"/>
      <c r="P671" s="13"/>
      <c r="Q671" s="13"/>
      <c r="R671" s="13"/>
      <c r="S671" s="13"/>
      <c r="T671" s="13"/>
      <c r="U671" s="13"/>
      <c r="V671" s="13"/>
      <c r="W671" s="13"/>
      <c r="X671" s="13"/>
      <c r="Y671" s="13"/>
    </row>
    <row r="672" spans="1:25" ht="15.75" customHeight="1" x14ac:dyDescent="0.25">
      <c r="A672" s="13"/>
      <c r="B672" s="13"/>
      <c r="C672" s="13"/>
      <c r="D672" s="13"/>
      <c r="E672" s="13"/>
      <c r="F672" s="13"/>
      <c r="G672" s="13"/>
      <c r="H672" s="13"/>
      <c r="I672" s="13"/>
      <c r="J672" s="13"/>
      <c r="K672" s="13"/>
      <c r="L672" s="13"/>
      <c r="M672" s="13"/>
      <c r="N672" s="13"/>
      <c r="O672" s="13"/>
      <c r="P672" s="13"/>
      <c r="Q672" s="13"/>
      <c r="R672" s="13"/>
      <c r="S672" s="13"/>
      <c r="T672" s="13"/>
      <c r="U672" s="13"/>
      <c r="V672" s="13"/>
      <c r="W672" s="13"/>
      <c r="X672" s="13"/>
      <c r="Y672" s="13"/>
    </row>
    <row r="673" spans="1:25" ht="15.75" customHeight="1" x14ac:dyDescent="0.25">
      <c r="A673" s="13"/>
      <c r="B673" s="13"/>
      <c r="C673" s="13"/>
      <c r="D673" s="13"/>
      <c r="E673" s="13"/>
      <c r="F673" s="13"/>
      <c r="G673" s="13"/>
      <c r="H673" s="13"/>
      <c r="I673" s="13"/>
      <c r="J673" s="13"/>
      <c r="K673" s="13"/>
      <c r="L673" s="13"/>
      <c r="M673" s="13"/>
      <c r="N673" s="13"/>
      <c r="O673" s="13"/>
      <c r="P673" s="13"/>
      <c r="Q673" s="13"/>
      <c r="R673" s="13"/>
      <c r="S673" s="13"/>
      <c r="T673" s="13"/>
      <c r="U673" s="13"/>
      <c r="V673" s="13"/>
      <c r="W673" s="13"/>
      <c r="X673" s="13"/>
      <c r="Y673" s="13"/>
    </row>
    <row r="674" spans="1:25" ht="15.75" customHeight="1" x14ac:dyDescent="0.25">
      <c r="A674" s="13"/>
      <c r="B674" s="13"/>
      <c r="C674" s="13"/>
      <c r="D674" s="13"/>
      <c r="E674" s="13"/>
      <c r="F674" s="13"/>
      <c r="G674" s="13"/>
      <c r="H674" s="13"/>
      <c r="I674" s="13"/>
      <c r="J674" s="13"/>
      <c r="K674" s="13"/>
      <c r="L674" s="13"/>
      <c r="M674" s="13"/>
      <c r="N674" s="13"/>
      <c r="O674" s="13"/>
      <c r="P674" s="13"/>
      <c r="Q674" s="13"/>
      <c r="R674" s="13"/>
      <c r="S674" s="13"/>
      <c r="T674" s="13"/>
      <c r="U674" s="13"/>
      <c r="V674" s="13"/>
      <c r="W674" s="13"/>
      <c r="X674" s="13"/>
      <c r="Y674" s="13"/>
    </row>
    <row r="675" spans="1:25" ht="15.75" customHeight="1" x14ac:dyDescent="0.25">
      <c r="A675" s="13"/>
      <c r="B675" s="13"/>
      <c r="C675" s="13"/>
      <c r="D675" s="13"/>
      <c r="E675" s="13"/>
      <c r="F675" s="13"/>
      <c r="G675" s="13"/>
      <c r="H675" s="13"/>
      <c r="I675" s="13"/>
      <c r="J675" s="13"/>
      <c r="K675" s="13"/>
      <c r="L675" s="13"/>
      <c r="M675" s="13"/>
      <c r="N675" s="13"/>
      <c r="O675" s="13"/>
      <c r="P675" s="13"/>
      <c r="Q675" s="13"/>
      <c r="R675" s="13"/>
      <c r="S675" s="13"/>
      <c r="T675" s="13"/>
      <c r="U675" s="13"/>
      <c r="V675" s="13"/>
      <c r="W675" s="13"/>
      <c r="X675" s="13"/>
      <c r="Y675" s="13"/>
    </row>
    <row r="676" spans="1:25" ht="15.75" customHeight="1" x14ac:dyDescent="0.25">
      <c r="A676" s="13"/>
      <c r="B676" s="13"/>
      <c r="C676" s="13"/>
      <c r="D676" s="13"/>
      <c r="E676" s="13"/>
      <c r="F676" s="13"/>
      <c r="G676" s="13"/>
      <c r="H676" s="13"/>
      <c r="I676" s="13"/>
      <c r="J676" s="13"/>
      <c r="K676" s="13"/>
      <c r="L676" s="13"/>
      <c r="M676" s="13"/>
      <c r="N676" s="13"/>
      <c r="O676" s="13"/>
      <c r="P676" s="13"/>
      <c r="Q676" s="13"/>
      <c r="R676" s="13"/>
      <c r="S676" s="13"/>
      <c r="T676" s="13"/>
      <c r="U676" s="13"/>
      <c r="V676" s="13"/>
      <c r="W676" s="13"/>
      <c r="X676" s="13"/>
      <c r="Y676" s="13"/>
    </row>
    <row r="677" spans="1:25" ht="15.75" customHeight="1" x14ac:dyDescent="0.25">
      <c r="A677" s="13"/>
      <c r="B677" s="13"/>
      <c r="C677" s="13"/>
      <c r="D677" s="13"/>
      <c r="E677" s="13"/>
      <c r="F677" s="13"/>
      <c r="G677" s="13"/>
      <c r="H677" s="13"/>
      <c r="I677" s="13"/>
      <c r="J677" s="13"/>
      <c r="K677" s="13"/>
      <c r="L677" s="13"/>
      <c r="M677" s="13"/>
      <c r="N677" s="13"/>
      <c r="O677" s="13"/>
      <c r="P677" s="13"/>
      <c r="Q677" s="13"/>
      <c r="R677" s="13"/>
      <c r="S677" s="13"/>
      <c r="T677" s="13"/>
      <c r="U677" s="13"/>
      <c r="V677" s="13"/>
      <c r="W677" s="13"/>
      <c r="X677" s="13"/>
      <c r="Y677" s="13"/>
    </row>
    <row r="678" spans="1:25" ht="15.75" customHeight="1" x14ac:dyDescent="0.25">
      <c r="A678" s="13"/>
      <c r="B678" s="13"/>
      <c r="C678" s="13"/>
      <c r="D678" s="13"/>
      <c r="E678" s="13"/>
      <c r="F678" s="13"/>
      <c r="G678" s="13"/>
      <c r="H678" s="13"/>
      <c r="I678" s="13"/>
      <c r="J678" s="13"/>
      <c r="K678" s="13"/>
      <c r="L678" s="13"/>
      <c r="M678" s="13"/>
      <c r="N678" s="13"/>
      <c r="O678" s="13"/>
      <c r="P678" s="13"/>
      <c r="Q678" s="13"/>
      <c r="R678" s="13"/>
      <c r="S678" s="13"/>
      <c r="T678" s="13"/>
      <c r="U678" s="13"/>
      <c r="V678" s="13"/>
      <c r="W678" s="13"/>
      <c r="X678" s="13"/>
      <c r="Y678" s="13"/>
    </row>
    <row r="679" spans="1:25" ht="15.75" customHeight="1" x14ac:dyDescent="0.25">
      <c r="A679" s="13"/>
      <c r="B679" s="13"/>
      <c r="C679" s="13"/>
      <c r="D679" s="13"/>
      <c r="E679" s="13"/>
      <c r="F679" s="13"/>
      <c r="G679" s="13"/>
      <c r="H679" s="13"/>
      <c r="I679" s="13"/>
      <c r="J679" s="13"/>
      <c r="K679" s="13"/>
      <c r="L679" s="13"/>
      <c r="M679" s="13"/>
      <c r="N679" s="13"/>
      <c r="O679" s="13"/>
      <c r="P679" s="13"/>
      <c r="Q679" s="13"/>
      <c r="R679" s="13"/>
      <c r="S679" s="13"/>
      <c r="T679" s="13"/>
      <c r="U679" s="13"/>
      <c r="V679" s="13"/>
      <c r="W679" s="13"/>
      <c r="X679" s="13"/>
      <c r="Y679" s="13"/>
    </row>
    <row r="680" spans="1:25" ht="15.75" customHeight="1" x14ac:dyDescent="0.25">
      <c r="A680" s="13"/>
      <c r="B680" s="13"/>
      <c r="C680" s="13"/>
      <c r="D680" s="13"/>
      <c r="E680" s="13"/>
      <c r="F680" s="13"/>
      <c r="G680" s="13"/>
      <c r="H680" s="13"/>
      <c r="I680" s="13"/>
      <c r="J680" s="13"/>
      <c r="K680" s="13"/>
      <c r="L680" s="13"/>
      <c r="M680" s="13"/>
      <c r="N680" s="13"/>
      <c r="O680" s="13"/>
      <c r="P680" s="13"/>
      <c r="Q680" s="13"/>
      <c r="R680" s="13"/>
      <c r="S680" s="13"/>
      <c r="T680" s="13"/>
      <c r="U680" s="13"/>
      <c r="V680" s="13"/>
      <c r="W680" s="13"/>
      <c r="X680" s="13"/>
      <c r="Y680" s="13"/>
    </row>
    <row r="681" spans="1:25" ht="15.75" customHeight="1" x14ac:dyDescent="0.25">
      <c r="A681" s="13"/>
      <c r="B681" s="13"/>
      <c r="C681" s="13"/>
      <c r="D681" s="13"/>
      <c r="E681" s="13"/>
      <c r="F681" s="13"/>
      <c r="G681" s="13"/>
      <c r="H681" s="13"/>
      <c r="I681" s="13"/>
      <c r="J681" s="13"/>
      <c r="K681" s="13"/>
      <c r="L681" s="13"/>
      <c r="M681" s="13"/>
      <c r="N681" s="13"/>
      <c r="O681" s="13"/>
      <c r="P681" s="13"/>
      <c r="Q681" s="13"/>
      <c r="R681" s="13"/>
      <c r="S681" s="13"/>
      <c r="T681" s="13"/>
      <c r="U681" s="13"/>
      <c r="V681" s="13"/>
      <c r="W681" s="13"/>
      <c r="X681" s="13"/>
      <c r="Y681" s="13"/>
    </row>
    <row r="682" spans="1:25" ht="15.75" customHeight="1" x14ac:dyDescent="0.25">
      <c r="A682" s="13"/>
      <c r="B682" s="13"/>
      <c r="C682" s="13"/>
      <c r="D682" s="13"/>
      <c r="E682" s="13"/>
      <c r="F682" s="13"/>
      <c r="G682" s="13"/>
      <c r="H682" s="13"/>
      <c r="I682" s="13"/>
      <c r="J682" s="13"/>
      <c r="K682" s="13"/>
      <c r="L682" s="13"/>
      <c r="M682" s="13"/>
      <c r="N682" s="13"/>
      <c r="O682" s="13"/>
      <c r="P682" s="13"/>
      <c r="Q682" s="13"/>
      <c r="R682" s="13"/>
      <c r="S682" s="13"/>
      <c r="T682" s="13"/>
      <c r="U682" s="13"/>
      <c r="V682" s="13"/>
      <c r="W682" s="13"/>
      <c r="X682" s="13"/>
      <c r="Y682" s="13"/>
    </row>
    <row r="683" spans="1:25" ht="15.75" customHeight="1" x14ac:dyDescent="0.25">
      <c r="A683" s="13"/>
      <c r="B683" s="13"/>
      <c r="C683" s="13"/>
      <c r="D683" s="13"/>
      <c r="E683" s="13"/>
      <c r="F683" s="13"/>
      <c r="G683" s="13"/>
      <c r="H683" s="13"/>
      <c r="I683" s="13"/>
      <c r="J683" s="13"/>
      <c r="K683" s="13"/>
      <c r="L683" s="13"/>
      <c r="M683" s="13"/>
      <c r="N683" s="13"/>
      <c r="O683" s="13"/>
      <c r="P683" s="13"/>
      <c r="Q683" s="13"/>
      <c r="R683" s="13"/>
      <c r="S683" s="13"/>
      <c r="T683" s="13"/>
      <c r="U683" s="13"/>
      <c r="V683" s="13"/>
      <c r="W683" s="13"/>
      <c r="X683" s="13"/>
      <c r="Y683" s="13"/>
    </row>
    <row r="684" spans="1:25" ht="15.75" customHeight="1" x14ac:dyDescent="0.25">
      <c r="A684" s="13"/>
      <c r="B684" s="13"/>
      <c r="C684" s="13"/>
      <c r="D684" s="13"/>
      <c r="E684" s="13"/>
      <c r="F684" s="13"/>
      <c r="G684" s="13"/>
      <c r="H684" s="13"/>
      <c r="I684" s="13"/>
      <c r="J684" s="13"/>
      <c r="K684" s="13"/>
      <c r="L684" s="13"/>
      <c r="M684" s="13"/>
      <c r="N684" s="13"/>
      <c r="O684" s="13"/>
      <c r="P684" s="13"/>
      <c r="Q684" s="13"/>
      <c r="R684" s="13"/>
      <c r="S684" s="13"/>
      <c r="T684" s="13"/>
      <c r="U684" s="13"/>
      <c r="V684" s="13"/>
      <c r="W684" s="13"/>
      <c r="X684" s="13"/>
      <c r="Y684" s="13"/>
    </row>
    <row r="685" spans="1:25" ht="15.75" customHeight="1" x14ac:dyDescent="0.25">
      <c r="A685" s="13"/>
      <c r="B685" s="13"/>
      <c r="C685" s="13"/>
      <c r="D685" s="13"/>
      <c r="E685" s="13"/>
      <c r="F685" s="13"/>
      <c r="G685" s="13"/>
      <c r="H685" s="13"/>
      <c r="I685" s="13"/>
      <c r="J685" s="13"/>
      <c r="K685" s="13"/>
      <c r="L685" s="13"/>
      <c r="M685" s="13"/>
      <c r="N685" s="13"/>
      <c r="O685" s="13"/>
      <c r="P685" s="13"/>
      <c r="Q685" s="13"/>
      <c r="R685" s="13"/>
      <c r="S685" s="13"/>
      <c r="T685" s="13"/>
      <c r="U685" s="13"/>
      <c r="V685" s="13"/>
      <c r="W685" s="13"/>
      <c r="X685" s="13"/>
      <c r="Y685" s="13"/>
    </row>
    <row r="686" spans="1:25" ht="15.75" customHeight="1" x14ac:dyDescent="0.25">
      <c r="A686" s="13"/>
      <c r="B686" s="13"/>
      <c r="C686" s="13"/>
      <c r="D686" s="13"/>
      <c r="E686" s="13"/>
      <c r="F686" s="13"/>
      <c r="G686" s="13"/>
      <c r="H686" s="13"/>
      <c r="I686" s="13"/>
      <c r="J686" s="13"/>
      <c r="K686" s="13"/>
      <c r="L686" s="13"/>
      <c r="M686" s="13"/>
      <c r="N686" s="13"/>
      <c r="O686" s="13"/>
      <c r="P686" s="13"/>
      <c r="Q686" s="13"/>
      <c r="R686" s="13"/>
      <c r="S686" s="13"/>
      <c r="T686" s="13"/>
      <c r="U686" s="13"/>
      <c r="V686" s="13"/>
      <c r="W686" s="13"/>
      <c r="X686" s="13"/>
      <c r="Y686" s="13"/>
    </row>
    <row r="687" spans="1:25" ht="15.75" customHeight="1" x14ac:dyDescent="0.25">
      <c r="A687" s="13"/>
      <c r="B687" s="13"/>
      <c r="C687" s="13"/>
      <c r="D687" s="13"/>
      <c r="E687" s="13"/>
      <c r="F687" s="13"/>
      <c r="G687" s="13"/>
      <c r="H687" s="13"/>
      <c r="I687" s="13"/>
      <c r="J687" s="13"/>
      <c r="K687" s="13"/>
      <c r="L687" s="13"/>
      <c r="M687" s="13"/>
      <c r="N687" s="13"/>
      <c r="O687" s="13"/>
      <c r="P687" s="13"/>
      <c r="Q687" s="13"/>
      <c r="R687" s="13"/>
      <c r="S687" s="13"/>
      <c r="T687" s="13"/>
      <c r="U687" s="13"/>
      <c r="V687" s="13"/>
      <c r="W687" s="13"/>
      <c r="X687" s="13"/>
      <c r="Y687" s="13"/>
    </row>
    <row r="688" spans="1:25" ht="15.75" customHeight="1" x14ac:dyDescent="0.25">
      <c r="A688" s="13"/>
      <c r="B688" s="13"/>
      <c r="C688" s="13"/>
      <c r="D688" s="13"/>
      <c r="E688" s="13"/>
      <c r="F688" s="13"/>
      <c r="G688" s="13"/>
      <c r="H688" s="13"/>
      <c r="I688" s="13"/>
      <c r="J688" s="13"/>
      <c r="K688" s="13"/>
      <c r="L688" s="13"/>
      <c r="M688" s="13"/>
      <c r="N688" s="13"/>
      <c r="O688" s="13"/>
      <c r="P688" s="13"/>
      <c r="Q688" s="13"/>
      <c r="R688" s="13"/>
      <c r="S688" s="13"/>
      <c r="T688" s="13"/>
      <c r="U688" s="13"/>
      <c r="V688" s="13"/>
      <c r="W688" s="13"/>
      <c r="X688" s="13"/>
      <c r="Y688" s="13"/>
    </row>
    <row r="689" spans="1:25" ht="15.75" customHeight="1" x14ac:dyDescent="0.25">
      <c r="A689" s="13"/>
      <c r="B689" s="13"/>
      <c r="C689" s="13"/>
      <c r="D689" s="13"/>
      <c r="E689" s="13"/>
      <c r="F689" s="13"/>
      <c r="G689" s="13"/>
      <c r="H689" s="13"/>
      <c r="I689" s="13"/>
      <c r="J689" s="13"/>
      <c r="K689" s="13"/>
      <c r="L689" s="13"/>
      <c r="M689" s="13"/>
      <c r="N689" s="13"/>
      <c r="O689" s="13"/>
      <c r="P689" s="13"/>
      <c r="Q689" s="13"/>
      <c r="R689" s="13"/>
      <c r="S689" s="13"/>
      <c r="T689" s="13"/>
      <c r="U689" s="13"/>
      <c r="V689" s="13"/>
      <c r="W689" s="13"/>
      <c r="X689" s="13"/>
      <c r="Y689" s="13"/>
    </row>
    <row r="690" spans="1:25" ht="15.75" customHeight="1" x14ac:dyDescent="0.25">
      <c r="A690" s="13"/>
      <c r="B690" s="13"/>
      <c r="C690" s="13"/>
      <c r="D690" s="13"/>
      <c r="E690" s="13"/>
      <c r="F690" s="13"/>
      <c r="G690" s="13"/>
      <c r="H690" s="13"/>
      <c r="I690" s="13"/>
      <c r="J690" s="13"/>
      <c r="K690" s="13"/>
      <c r="L690" s="13"/>
      <c r="M690" s="13"/>
      <c r="N690" s="13"/>
      <c r="O690" s="13"/>
      <c r="P690" s="13"/>
      <c r="Q690" s="13"/>
      <c r="R690" s="13"/>
      <c r="S690" s="13"/>
      <c r="T690" s="13"/>
      <c r="U690" s="13"/>
      <c r="V690" s="13"/>
      <c r="W690" s="13"/>
      <c r="X690" s="13"/>
      <c r="Y690" s="13"/>
    </row>
    <row r="691" spans="1:25" ht="15.75" customHeight="1" x14ac:dyDescent="0.25">
      <c r="A691" s="13"/>
      <c r="B691" s="13"/>
      <c r="C691" s="13"/>
      <c r="D691" s="13"/>
      <c r="E691" s="13"/>
      <c r="F691" s="13"/>
      <c r="G691" s="13"/>
      <c r="H691" s="13"/>
      <c r="I691" s="13"/>
      <c r="J691" s="13"/>
      <c r="K691" s="13"/>
      <c r="L691" s="13"/>
      <c r="M691" s="13"/>
      <c r="N691" s="13"/>
      <c r="O691" s="13"/>
      <c r="P691" s="13"/>
      <c r="Q691" s="13"/>
      <c r="R691" s="13"/>
      <c r="S691" s="13"/>
      <c r="T691" s="13"/>
      <c r="U691" s="13"/>
      <c r="V691" s="13"/>
      <c r="W691" s="13"/>
      <c r="X691" s="13"/>
      <c r="Y691" s="13"/>
    </row>
    <row r="692" spans="1:25" ht="15.75" customHeight="1" x14ac:dyDescent="0.25">
      <c r="A692" s="13"/>
      <c r="B692" s="13"/>
      <c r="C692" s="13"/>
      <c r="D692" s="13"/>
      <c r="E692" s="13"/>
      <c r="F692" s="13"/>
      <c r="G692" s="13"/>
      <c r="H692" s="13"/>
      <c r="I692" s="13"/>
      <c r="J692" s="13"/>
      <c r="K692" s="13"/>
      <c r="L692" s="13"/>
      <c r="M692" s="13"/>
      <c r="N692" s="13"/>
      <c r="O692" s="13"/>
      <c r="P692" s="13"/>
      <c r="Q692" s="13"/>
      <c r="R692" s="13"/>
      <c r="S692" s="13"/>
      <c r="T692" s="13"/>
      <c r="U692" s="13"/>
      <c r="V692" s="13"/>
      <c r="W692" s="13"/>
      <c r="X692" s="13"/>
      <c r="Y692" s="13"/>
    </row>
    <row r="693" spans="1:25" ht="15.75" customHeight="1" x14ac:dyDescent="0.25">
      <c r="A693" s="13"/>
      <c r="B693" s="13"/>
      <c r="C693" s="13"/>
      <c r="D693" s="13"/>
      <c r="E693" s="13"/>
      <c r="F693" s="13"/>
      <c r="G693" s="13"/>
      <c r="H693" s="13"/>
      <c r="I693" s="13"/>
      <c r="J693" s="13"/>
      <c r="K693" s="13"/>
      <c r="L693" s="13"/>
      <c r="M693" s="13"/>
      <c r="N693" s="13"/>
      <c r="O693" s="13"/>
      <c r="P693" s="13"/>
      <c r="Q693" s="13"/>
      <c r="R693" s="13"/>
      <c r="S693" s="13"/>
      <c r="T693" s="13"/>
      <c r="U693" s="13"/>
      <c r="V693" s="13"/>
      <c r="W693" s="13"/>
      <c r="X693" s="13"/>
      <c r="Y693" s="13"/>
    </row>
    <row r="694" spans="1:25" ht="15.75" customHeight="1" x14ac:dyDescent="0.25">
      <c r="A694" s="13"/>
      <c r="B694" s="13"/>
      <c r="C694" s="13"/>
      <c r="D694" s="13"/>
      <c r="E694" s="13"/>
      <c r="F694" s="13"/>
      <c r="G694" s="13"/>
      <c r="H694" s="13"/>
      <c r="I694" s="13"/>
      <c r="J694" s="13"/>
      <c r="K694" s="13"/>
      <c r="L694" s="13"/>
      <c r="M694" s="13"/>
      <c r="N694" s="13"/>
      <c r="O694" s="13"/>
      <c r="P694" s="13"/>
      <c r="Q694" s="13"/>
      <c r="R694" s="13"/>
      <c r="S694" s="13"/>
      <c r="T694" s="13"/>
      <c r="U694" s="13"/>
      <c r="V694" s="13"/>
      <c r="W694" s="13"/>
      <c r="X694" s="13"/>
      <c r="Y694" s="13"/>
    </row>
    <row r="695" spans="1:25" ht="15.75" customHeight="1" x14ac:dyDescent="0.25">
      <c r="A695" s="13"/>
      <c r="B695" s="13"/>
      <c r="C695" s="13"/>
      <c r="D695" s="13"/>
      <c r="E695" s="13"/>
      <c r="F695" s="13"/>
      <c r="G695" s="13"/>
      <c r="H695" s="13"/>
      <c r="I695" s="13"/>
      <c r="J695" s="13"/>
      <c r="K695" s="13"/>
      <c r="L695" s="13"/>
      <c r="M695" s="13"/>
      <c r="N695" s="13"/>
      <c r="O695" s="13"/>
      <c r="P695" s="13"/>
      <c r="Q695" s="13"/>
      <c r="R695" s="13"/>
      <c r="S695" s="13"/>
      <c r="T695" s="13"/>
      <c r="U695" s="13"/>
      <c r="V695" s="13"/>
      <c r="W695" s="13"/>
      <c r="X695" s="13"/>
      <c r="Y695" s="13"/>
    </row>
    <row r="696" spans="1:25" ht="15.75" customHeight="1" x14ac:dyDescent="0.25">
      <c r="A696" s="13"/>
      <c r="B696" s="13"/>
      <c r="C696" s="13"/>
      <c r="D696" s="13"/>
      <c r="E696" s="13"/>
      <c r="F696" s="13"/>
      <c r="G696" s="13"/>
      <c r="H696" s="13"/>
      <c r="I696" s="13"/>
      <c r="J696" s="13"/>
      <c r="K696" s="13"/>
      <c r="L696" s="13"/>
      <c r="M696" s="13"/>
      <c r="N696" s="13"/>
      <c r="O696" s="13"/>
      <c r="P696" s="13"/>
      <c r="Q696" s="13"/>
      <c r="R696" s="13"/>
      <c r="S696" s="13"/>
      <c r="T696" s="13"/>
      <c r="U696" s="13"/>
      <c r="V696" s="13"/>
      <c r="W696" s="13"/>
      <c r="X696" s="13"/>
      <c r="Y696" s="13"/>
    </row>
    <row r="697" spans="1:25" ht="15.75" customHeight="1" x14ac:dyDescent="0.25">
      <c r="A697" s="13"/>
      <c r="B697" s="13"/>
      <c r="C697" s="13"/>
      <c r="D697" s="13"/>
      <c r="E697" s="13"/>
      <c r="F697" s="13"/>
      <c r="G697" s="13"/>
      <c r="H697" s="13"/>
      <c r="I697" s="13"/>
      <c r="J697" s="13"/>
      <c r="K697" s="13"/>
      <c r="L697" s="13"/>
      <c r="M697" s="13"/>
      <c r="N697" s="13"/>
      <c r="O697" s="13"/>
      <c r="P697" s="13"/>
      <c r="Q697" s="13"/>
      <c r="R697" s="13"/>
      <c r="S697" s="13"/>
      <c r="T697" s="13"/>
      <c r="U697" s="13"/>
      <c r="V697" s="13"/>
      <c r="W697" s="13"/>
      <c r="X697" s="13"/>
      <c r="Y697" s="13"/>
    </row>
    <row r="698" spans="1:25" ht="15.75" customHeight="1" x14ac:dyDescent="0.25">
      <c r="A698" s="13"/>
      <c r="B698" s="13"/>
      <c r="C698" s="13"/>
      <c r="D698" s="13"/>
      <c r="E698" s="13"/>
      <c r="F698" s="13"/>
      <c r="G698" s="13"/>
      <c r="H698" s="13"/>
      <c r="I698" s="13"/>
      <c r="J698" s="13"/>
      <c r="K698" s="13"/>
      <c r="L698" s="13"/>
      <c r="M698" s="13"/>
      <c r="N698" s="13"/>
      <c r="O698" s="13"/>
      <c r="P698" s="13"/>
      <c r="Q698" s="13"/>
      <c r="R698" s="13"/>
      <c r="S698" s="13"/>
      <c r="T698" s="13"/>
      <c r="U698" s="13"/>
      <c r="V698" s="13"/>
      <c r="W698" s="13"/>
      <c r="X698" s="13"/>
      <c r="Y698" s="13"/>
    </row>
    <row r="699" spans="1:25" ht="15.75" customHeight="1" x14ac:dyDescent="0.25">
      <c r="A699" s="13"/>
      <c r="B699" s="13"/>
      <c r="C699" s="13"/>
      <c r="D699" s="13"/>
      <c r="E699" s="13"/>
      <c r="F699" s="13"/>
      <c r="G699" s="13"/>
      <c r="H699" s="13"/>
      <c r="I699" s="13"/>
      <c r="J699" s="13"/>
      <c r="K699" s="13"/>
      <c r="L699" s="13"/>
      <c r="M699" s="13"/>
      <c r="N699" s="13"/>
      <c r="O699" s="13"/>
      <c r="P699" s="13"/>
      <c r="Q699" s="13"/>
      <c r="R699" s="13"/>
      <c r="S699" s="13"/>
      <c r="T699" s="13"/>
      <c r="U699" s="13"/>
      <c r="V699" s="13"/>
      <c r="W699" s="13"/>
      <c r="X699" s="13"/>
      <c r="Y699" s="13"/>
    </row>
    <row r="700" spans="1:25" ht="15.75" customHeight="1" x14ac:dyDescent="0.25">
      <c r="A700" s="13"/>
      <c r="B700" s="13"/>
      <c r="C700" s="13"/>
      <c r="D700" s="13"/>
      <c r="E700" s="13"/>
      <c r="F700" s="13"/>
      <c r="G700" s="13"/>
      <c r="H700" s="13"/>
      <c r="I700" s="13"/>
      <c r="J700" s="13"/>
      <c r="K700" s="13"/>
      <c r="L700" s="13"/>
      <c r="M700" s="13"/>
      <c r="N700" s="13"/>
      <c r="O700" s="13"/>
      <c r="P700" s="13"/>
      <c r="Q700" s="13"/>
      <c r="R700" s="13"/>
      <c r="S700" s="13"/>
      <c r="T700" s="13"/>
      <c r="U700" s="13"/>
      <c r="V700" s="13"/>
      <c r="W700" s="13"/>
      <c r="X700" s="13"/>
      <c r="Y700" s="13"/>
    </row>
    <row r="701" spans="1:25" ht="15.75" customHeight="1" x14ac:dyDescent="0.25">
      <c r="A701" s="13"/>
      <c r="B701" s="13"/>
      <c r="C701" s="13"/>
      <c r="D701" s="13"/>
      <c r="E701" s="13"/>
      <c r="F701" s="13"/>
      <c r="G701" s="13"/>
      <c r="H701" s="13"/>
      <c r="I701" s="13"/>
      <c r="J701" s="13"/>
      <c r="K701" s="13"/>
      <c r="L701" s="13"/>
      <c r="M701" s="13"/>
      <c r="N701" s="13"/>
      <c r="O701" s="13"/>
      <c r="P701" s="13"/>
      <c r="Q701" s="13"/>
      <c r="R701" s="13"/>
      <c r="S701" s="13"/>
      <c r="T701" s="13"/>
      <c r="U701" s="13"/>
      <c r="V701" s="13"/>
      <c r="W701" s="13"/>
      <c r="X701" s="13"/>
      <c r="Y701" s="13"/>
    </row>
    <row r="702" spans="1:25" ht="15.75" customHeight="1" x14ac:dyDescent="0.25">
      <c r="A702" s="13"/>
      <c r="B702" s="13"/>
      <c r="C702" s="13"/>
      <c r="D702" s="13"/>
      <c r="E702" s="13"/>
      <c r="F702" s="13"/>
      <c r="G702" s="13"/>
      <c r="H702" s="13"/>
      <c r="I702" s="13"/>
      <c r="J702" s="13"/>
      <c r="K702" s="13"/>
      <c r="L702" s="13"/>
      <c r="M702" s="13"/>
      <c r="N702" s="13"/>
      <c r="O702" s="13"/>
      <c r="P702" s="13"/>
      <c r="Q702" s="13"/>
      <c r="R702" s="13"/>
      <c r="S702" s="13"/>
      <c r="T702" s="13"/>
      <c r="U702" s="13"/>
      <c r="V702" s="13"/>
      <c r="W702" s="13"/>
      <c r="X702" s="13"/>
      <c r="Y702" s="13"/>
    </row>
    <row r="703" spans="1:25" ht="15.75" customHeight="1" x14ac:dyDescent="0.25">
      <c r="A703" s="13"/>
      <c r="B703" s="13"/>
      <c r="C703" s="13"/>
      <c r="D703" s="13"/>
      <c r="E703" s="13"/>
      <c r="F703" s="13"/>
      <c r="G703" s="13"/>
      <c r="H703" s="13"/>
      <c r="I703" s="13"/>
      <c r="J703" s="13"/>
      <c r="K703" s="13"/>
      <c r="L703" s="13"/>
      <c r="M703" s="13"/>
      <c r="N703" s="13"/>
      <c r="O703" s="13"/>
      <c r="P703" s="13"/>
      <c r="Q703" s="13"/>
      <c r="R703" s="13"/>
      <c r="S703" s="13"/>
      <c r="T703" s="13"/>
      <c r="U703" s="13"/>
      <c r="V703" s="13"/>
      <c r="W703" s="13"/>
      <c r="X703" s="13"/>
      <c r="Y703" s="13"/>
    </row>
    <row r="704" spans="1:25" ht="15.75" customHeight="1" x14ac:dyDescent="0.25">
      <c r="A704" s="13"/>
      <c r="B704" s="13"/>
      <c r="C704" s="13"/>
      <c r="D704" s="13"/>
      <c r="E704" s="13"/>
      <c r="F704" s="13"/>
      <c r="G704" s="13"/>
      <c r="H704" s="13"/>
      <c r="I704" s="13"/>
      <c r="J704" s="13"/>
      <c r="K704" s="13"/>
      <c r="L704" s="13"/>
      <c r="M704" s="13"/>
      <c r="N704" s="13"/>
      <c r="O704" s="13"/>
      <c r="P704" s="13"/>
      <c r="Q704" s="13"/>
      <c r="R704" s="13"/>
      <c r="S704" s="13"/>
      <c r="T704" s="13"/>
      <c r="U704" s="13"/>
      <c r="V704" s="13"/>
      <c r="W704" s="13"/>
      <c r="X704" s="13"/>
      <c r="Y704" s="13"/>
    </row>
    <row r="705" spans="1:25" ht="15.75" customHeight="1" x14ac:dyDescent="0.25">
      <c r="A705" s="13"/>
      <c r="B705" s="13"/>
      <c r="C705" s="13"/>
      <c r="D705" s="13"/>
      <c r="E705" s="13"/>
      <c r="F705" s="13"/>
      <c r="G705" s="13"/>
      <c r="H705" s="13"/>
      <c r="I705" s="13"/>
      <c r="J705" s="13"/>
      <c r="K705" s="13"/>
      <c r="L705" s="13"/>
      <c r="M705" s="13"/>
      <c r="N705" s="13"/>
      <c r="O705" s="13"/>
      <c r="P705" s="13"/>
      <c r="Q705" s="13"/>
      <c r="R705" s="13"/>
      <c r="S705" s="13"/>
      <c r="T705" s="13"/>
      <c r="U705" s="13"/>
      <c r="V705" s="13"/>
      <c r="W705" s="13"/>
      <c r="X705" s="13"/>
      <c r="Y705" s="13"/>
    </row>
    <row r="706" spans="1:25" ht="15.75" customHeight="1" x14ac:dyDescent="0.25">
      <c r="A706" s="13"/>
      <c r="B706" s="13"/>
      <c r="C706" s="13"/>
      <c r="D706" s="13"/>
      <c r="E706" s="13"/>
      <c r="F706" s="13"/>
      <c r="G706" s="13"/>
      <c r="H706" s="13"/>
      <c r="I706" s="13"/>
      <c r="J706" s="13"/>
      <c r="K706" s="13"/>
      <c r="L706" s="13"/>
      <c r="M706" s="13"/>
      <c r="N706" s="13"/>
      <c r="O706" s="13"/>
      <c r="P706" s="13"/>
      <c r="Q706" s="13"/>
      <c r="R706" s="13"/>
      <c r="S706" s="13"/>
      <c r="T706" s="13"/>
      <c r="U706" s="13"/>
      <c r="V706" s="13"/>
      <c r="W706" s="13"/>
      <c r="X706" s="13"/>
      <c r="Y706" s="13"/>
    </row>
    <row r="707" spans="1:25" ht="15.75" customHeight="1" x14ac:dyDescent="0.25">
      <c r="A707" s="13"/>
      <c r="B707" s="13"/>
      <c r="C707" s="13"/>
      <c r="D707" s="13"/>
      <c r="E707" s="13"/>
      <c r="F707" s="13"/>
      <c r="G707" s="13"/>
      <c r="H707" s="13"/>
      <c r="I707" s="13"/>
      <c r="J707" s="13"/>
      <c r="K707" s="13"/>
      <c r="L707" s="13"/>
      <c r="M707" s="13"/>
      <c r="N707" s="13"/>
      <c r="O707" s="13"/>
      <c r="P707" s="13"/>
      <c r="Q707" s="13"/>
      <c r="R707" s="13"/>
      <c r="S707" s="13"/>
      <c r="T707" s="13"/>
      <c r="U707" s="13"/>
      <c r="V707" s="13"/>
      <c r="W707" s="13"/>
      <c r="X707" s="13"/>
      <c r="Y707" s="13"/>
    </row>
    <row r="708" spans="1:25" ht="15.75" customHeight="1" x14ac:dyDescent="0.25">
      <c r="A708" s="13"/>
      <c r="B708" s="13"/>
      <c r="C708" s="13"/>
      <c r="D708" s="13"/>
      <c r="E708" s="13"/>
      <c r="F708" s="13"/>
      <c r="G708" s="13"/>
      <c r="H708" s="13"/>
      <c r="I708" s="13"/>
      <c r="J708" s="13"/>
      <c r="K708" s="13"/>
      <c r="L708" s="13"/>
      <c r="M708" s="13"/>
      <c r="N708" s="13"/>
      <c r="O708" s="13"/>
      <c r="P708" s="13"/>
      <c r="Q708" s="13"/>
      <c r="R708" s="13"/>
      <c r="S708" s="13"/>
      <c r="T708" s="13"/>
      <c r="U708" s="13"/>
      <c r="V708" s="13"/>
      <c r="W708" s="13"/>
      <c r="X708" s="13"/>
      <c r="Y708" s="13"/>
    </row>
    <row r="709" spans="1:25" ht="15.75" customHeight="1" x14ac:dyDescent="0.25">
      <c r="A709" s="13"/>
      <c r="B709" s="13"/>
      <c r="C709" s="13"/>
      <c r="D709" s="13"/>
      <c r="E709" s="13"/>
      <c r="F709" s="13"/>
      <c r="G709" s="13"/>
      <c r="H709" s="13"/>
      <c r="I709" s="13"/>
      <c r="J709" s="13"/>
      <c r="K709" s="13"/>
      <c r="L709" s="13"/>
      <c r="M709" s="13"/>
      <c r="N709" s="13"/>
      <c r="O709" s="13"/>
      <c r="P709" s="13"/>
      <c r="Q709" s="13"/>
      <c r="R709" s="13"/>
      <c r="S709" s="13"/>
      <c r="T709" s="13"/>
      <c r="U709" s="13"/>
      <c r="V709" s="13"/>
      <c r="W709" s="13"/>
      <c r="X709" s="13"/>
      <c r="Y709" s="13"/>
    </row>
    <row r="710" spans="1:25" ht="15.75" customHeight="1" x14ac:dyDescent="0.25">
      <c r="A710" s="13"/>
      <c r="B710" s="13"/>
      <c r="C710" s="13"/>
      <c r="D710" s="13"/>
      <c r="E710" s="13"/>
      <c r="F710" s="13"/>
      <c r="G710" s="13"/>
      <c r="H710" s="13"/>
      <c r="I710" s="13"/>
      <c r="J710" s="13"/>
      <c r="K710" s="13"/>
      <c r="L710" s="13"/>
      <c r="M710" s="13"/>
      <c r="N710" s="13"/>
      <c r="O710" s="13"/>
      <c r="P710" s="13"/>
      <c r="Q710" s="13"/>
      <c r="R710" s="13"/>
      <c r="S710" s="13"/>
      <c r="T710" s="13"/>
      <c r="U710" s="13"/>
      <c r="V710" s="13"/>
      <c r="W710" s="13"/>
      <c r="X710" s="13"/>
      <c r="Y710" s="13"/>
    </row>
    <row r="711" spans="1:25" ht="15.75" customHeight="1" x14ac:dyDescent="0.25">
      <c r="A711" s="13"/>
      <c r="B711" s="13"/>
      <c r="C711" s="13"/>
      <c r="D711" s="13"/>
      <c r="E711" s="13"/>
      <c r="F711" s="13"/>
      <c r="G711" s="13"/>
      <c r="H711" s="13"/>
      <c r="I711" s="13"/>
      <c r="J711" s="13"/>
      <c r="K711" s="13"/>
      <c r="L711" s="13"/>
      <c r="M711" s="13"/>
      <c r="N711" s="13"/>
      <c r="O711" s="13"/>
      <c r="P711" s="13"/>
      <c r="Q711" s="13"/>
      <c r="R711" s="13"/>
      <c r="S711" s="13"/>
      <c r="T711" s="13"/>
      <c r="U711" s="13"/>
      <c r="V711" s="13"/>
      <c r="W711" s="13"/>
      <c r="X711" s="13"/>
      <c r="Y711" s="13"/>
    </row>
    <row r="712" spans="1:25" ht="15.75" customHeight="1" x14ac:dyDescent="0.25">
      <c r="A712" s="13"/>
      <c r="B712" s="13"/>
      <c r="C712" s="13"/>
      <c r="D712" s="13"/>
      <c r="E712" s="13"/>
      <c r="F712" s="13"/>
      <c r="G712" s="13"/>
      <c r="H712" s="13"/>
      <c r="I712" s="13"/>
      <c r="J712" s="13"/>
      <c r="K712" s="13"/>
      <c r="L712" s="13"/>
      <c r="M712" s="13"/>
      <c r="N712" s="13"/>
      <c r="O712" s="13"/>
      <c r="P712" s="13"/>
      <c r="Q712" s="13"/>
      <c r="R712" s="13"/>
      <c r="S712" s="13"/>
      <c r="T712" s="13"/>
      <c r="U712" s="13"/>
      <c r="V712" s="13"/>
      <c r="W712" s="13"/>
      <c r="X712" s="13"/>
      <c r="Y712" s="13"/>
    </row>
    <row r="713" spans="1:25" ht="15.75" customHeight="1" x14ac:dyDescent="0.25">
      <c r="A713" s="13"/>
      <c r="B713" s="13"/>
      <c r="C713" s="13"/>
      <c r="D713" s="13"/>
      <c r="E713" s="13"/>
      <c r="F713" s="13"/>
      <c r="G713" s="13"/>
      <c r="H713" s="13"/>
      <c r="I713" s="13"/>
      <c r="J713" s="13"/>
      <c r="K713" s="13"/>
      <c r="L713" s="13"/>
      <c r="M713" s="13"/>
      <c r="N713" s="13"/>
      <c r="O713" s="13"/>
      <c r="P713" s="13"/>
      <c r="Q713" s="13"/>
      <c r="R713" s="13"/>
      <c r="S713" s="13"/>
      <c r="T713" s="13"/>
      <c r="U713" s="13"/>
      <c r="V713" s="13"/>
      <c r="W713" s="13"/>
      <c r="X713" s="13"/>
      <c r="Y713" s="13"/>
    </row>
    <row r="714" spans="1:25" ht="15.75" customHeight="1" x14ac:dyDescent="0.25">
      <c r="A714" s="13"/>
      <c r="B714" s="13"/>
      <c r="C714" s="13"/>
      <c r="D714" s="13"/>
      <c r="E714" s="13"/>
      <c r="F714" s="13"/>
      <c r="G714" s="13"/>
      <c r="H714" s="13"/>
      <c r="I714" s="13"/>
      <c r="J714" s="13"/>
      <c r="K714" s="13"/>
      <c r="L714" s="13"/>
      <c r="M714" s="13"/>
      <c r="N714" s="13"/>
      <c r="O714" s="13"/>
      <c r="P714" s="13"/>
      <c r="Q714" s="13"/>
      <c r="R714" s="13"/>
      <c r="S714" s="13"/>
      <c r="T714" s="13"/>
      <c r="U714" s="13"/>
      <c r="V714" s="13"/>
      <c r="W714" s="13"/>
      <c r="X714" s="13"/>
      <c r="Y714" s="13"/>
    </row>
    <row r="715" spans="1:25" ht="15.75" customHeight="1" x14ac:dyDescent="0.25">
      <c r="A715" s="13"/>
      <c r="B715" s="13"/>
      <c r="C715" s="13"/>
      <c r="D715" s="13"/>
      <c r="E715" s="13"/>
      <c r="F715" s="13"/>
      <c r="G715" s="13"/>
      <c r="H715" s="13"/>
      <c r="I715" s="13"/>
      <c r="J715" s="13"/>
      <c r="K715" s="13"/>
      <c r="L715" s="13"/>
      <c r="M715" s="13"/>
      <c r="N715" s="13"/>
      <c r="O715" s="13"/>
      <c r="P715" s="13"/>
      <c r="Q715" s="13"/>
      <c r="R715" s="13"/>
      <c r="S715" s="13"/>
      <c r="T715" s="13"/>
      <c r="U715" s="13"/>
      <c r="V715" s="13"/>
      <c r="W715" s="13"/>
      <c r="X715" s="13"/>
      <c r="Y715" s="13"/>
    </row>
    <row r="716" spans="1:25" ht="15.75" customHeight="1" x14ac:dyDescent="0.25">
      <c r="A716" s="13"/>
      <c r="B716" s="13"/>
      <c r="C716" s="13"/>
      <c r="D716" s="13"/>
      <c r="E716" s="13"/>
      <c r="F716" s="13"/>
      <c r="G716" s="13"/>
      <c r="H716" s="13"/>
      <c r="I716" s="13"/>
      <c r="J716" s="13"/>
      <c r="K716" s="13"/>
      <c r="L716" s="13"/>
      <c r="M716" s="13"/>
      <c r="N716" s="13"/>
      <c r="O716" s="13"/>
      <c r="P716" s="13"/>
      <c r="Q716" s="13"/>
      <c r="R716" s="13"/>
      <c r="S716" s="13"/>
      <c r="T716" s="13"/>
      <c r="U716" s="13"/>
      <c r="V716" s="13"/>
      <c r="W716" s="13"/>
      <c r="X716" s="13"/>
      <c r="Y716" s="13"/>
    </row>
    <row r="717" spans="1:25" ht="15.75" customHeight="1" x14ac:dyDescent="0.25">
      <c r="A717" s="13"/>
      <c r="B717" s="13"/>
      <c r="C717" s="13"/>
      <c r="D717" s="13"/>
      <c r="E717" s="13"/>
      <c r="F717" s="13"/>
      <c r="G717" s="13"/>
      <c r="H717" s="13"/>
      <c r="I717" s="13"/>
      <c r="J717" s="13"/>
      <c r="K717" s="13"/>
      <c r="L717" s="13"/>
      <c r="M717" s="13"/>
      <c r="N717" s="13"/>
      <c r="O717" s="13"/>
      <c r="P717" s="13"/>
      <c r="Q717" s="13"/>
      <c r="R717" s="13"/>
      <c r="S717" s="13"/>
      <c r="T717" s="13"/>
      <c r="U717" s="13"/>
      <c r="V717" s="13"/>
      <c r="W717" s="13"/>
      <c r="X717" s="13"/>
      <c r="Y717" s="13"/>
    </row>
    <row r="718" spans="1:25" ht="15.75" customHeight="1" x14ac:dyDescent="0.25">
      <c r="A718" s="13"/>
      <c r="B718" s="13"/>
      <c r="C718" s="13"/>
      <c r="D718" s="13"/>
      <c r="E718" s="13"/>
      <c r="F718" s="13"/>
      <c r="G718" s="13"/>
      <c r="H718" s="13"/>
      <c r="I718" s="13"/>
      <c r="J718" s="13"/>
      <c r="K718" s="13"/>
      <c r="L718" s="13"/>
      <c r="M718" s="13"/>
      <c r="N718" s="13"/>
      <c r="O718" s="13"/>
      <c r="P718" s="13"/>
      <c r="Q718" s="13"/>
      <c r="R718" s="13"/>
      <c r="S718" s="13"/>
      <c r="T718" s="13"/>
      <c r="U718" s="13"/>
      <c r="V718" s="13"/>
      <c r="W718" s="13"/>
      <c r="X718" s="13"/>
      <c r="Y718" s="13"/>
    </row>
    <row r="719" spans="1:25" ht="15.75" customHeight="1" x14ac:dyDescent="0.25">
      <c r="A719" s="13"/>
      <c r="B719" s="13"/>
      <c r="C719" s="13"/>
      <c r="D719" s="13"/>
      <c r="E719" s="13"/>
      <c r="F719" s="13"/>
      <c r="G719" s="13"/>
      <c r="H719" s="13"/>
      <c r="I719" s="13"/>
      <c r="J719" s="13"/>
      <c r="K719" s="13"/>
      <c r="L719" s="13"/>
      <c r="M719" s="13"/>
      <c r="N719" s="13"/>
      <c r="O719" s="13"/>
      <c r="P719" s="13"/>
      <c r="Q719" s="13"/>
      <c r="R719" s="13"/>
      <c r="S719" s="13"/>
      <c r="T719" s="13"/>
      <c r="U719" s="13"/>
      <c r="V719" s="13"/>
      <c r="W719" s="13"/>
      <c r="X719" s="13"/>
      <c r="Y719" s="13"/>
    </row>
    <row r="720" spans="1:25" ht="15.75" customHeight="1" x14ac:dyDescent="0.25">
      <c r="A720" s="13"/>
      <c r="B720" s="13"/>
      <c r="C720" s="13"/>
      <c r="D720" s="13"/>
      <c r="E720" s="13"/>
      <c r="F720" s="13"/>
      <c r="G720" s="13"/>
      <c r="H720" s="13"/>
      <c r="I720" s="13"/>
      <c r="J720" s="13"/>
      <c r="K720" s="13"/>
      <c r="L720" s="13"/>
      <c r="M720" s="13"/>
      <c r="N720" s="13"/>
      <c r="O720" s="13"/>
      <c r="P720" s="13"/>
      <c r="Q720" s="13"/>
      <c r="R720" s="13"/>
      <c r="S720" s="13"/>
      <c r="T720" s="13"/>
      <c r="U720" s="13"/>
      <c r="V720" s="13"/>
      <c r="W720" s="13"/>
      <c r="X720" s="13"/>
      <c r="Y720" s="13"/>
    </row>
    <row r="721" spans="1:25" ht="15.75" customHeight="1" x14ac:dyDescent="0.25">
      <c r="A721" s="13"/>
      <c r="B721" s="13"/>
      <c r="C721" s="13"/>
      <c r="D721" s="13"/>
      <c r="E721" s="13"/>
      <c r="F721" s="13"/>
      <c r="G721" s="13"/>
      <c r="H721" s="13"/>
      <c r="I721" s="13"/>
      <c r="J721" s="13"/>
      <c r="K721" s="13"/>
      <c r="L721" s="13"/>
      <c r="M721" s="13"/>
      <c r="N721" s="13"/>
      <c r="O721" s="13"/>
      <c r="P721" s="13"/>
      <c r="Q721" s="13"/>
      <c r="R721" s="13"/>
      <c r="S721" s="13"/>
      <c r="T721" s="13"/>
      <c r="U721" s="13"/>
      <c r="V721" s="13"/>
      <c r="W721" s="13"/>
      <c r="X721" s="13"/>
      <c r="Y721" s="13"/>
    </row>
    <row r="722" spans="1:25" ht="15.75" customHeight="1" x14ac:dyDescent="0.25">
      <c r="A722" s="13"/>
      <c r="B722" s="13"/>
      <c r="C722" s="13"/>
      <c r="D722" s="13"/>
      <c r="E722" s="13"/>
      <c r="F722" s="13"/>
      <c r="G722" s="13"/>
      <c r="H722" s="13"/>
      <c r="I722" s="13"/>
      <c r="J722" s="13"/>
      <c r="K722" s="13"/>
      <c r="L722" s="13"/>
      <c r="M722" s="13"/>
      <c r="N722" s="13"/>
      <c r="O722" s="13"/>
      <c r="P722" s="13"/>
      <c r="Q722" s="13"/>
      <c r="R722" s="13"/>
      <c r="S722" s="13"/>
      <c r="T722" s="13"/>
      <c r="U722" s="13"/>
      <c r="V722" s="13"/>
      <c r="W722" s="13"/>
      <c r="X722" s="13"/>
      <c r="Y722" s="13"/>
    </row>
    <row r="723" spans="1:25" ht="15.75" customHeight="1" x14ac:dyDescent="0.25">
      <c r="A723" s="13"/>
      <c r="B723" s="13"/>
      <c r="C723" s="13"/>
      <c r="D723" s="13"/>
      <c r="E723" s="13"/>
      <c r="F723" s="13"/>
      <c r="G723" s="13"/>
      <c r="H723" s="13"/>
      <c r="I723" s="13"/>
      <c r="J723" s="13"/>
      <c r="K723" s="13"/>
      <c r="L723" s="13"/>
      <c r="M723" s="13"/>
      <c r="N723" s="13"/>
      <c r="O723" s="13"/>
      <c r="P723" s="13"/>
      <c r="Q723" s="13"/>
      <c r="R723" s="13"/>
      <c r="S723" s="13"/>
      <c r="T723" s="13"/>
      <c r="U723" s="13"/>
      <c r="V723" s="13"/>
      <c r="W723" s="13"/>
      <c r="X723" s="13"/>
      <c r="Y723" s="13"/>
    </row>
    <row r="724" spans="1:25" ht="15.75" customHeight="1" x14ac:dyDescent="0.25">
      <c r="A724" s="13"/>
      <c r="B724" s="13"/>
      <c r="C724" s="13"/>
      <c r="D724" s="13"/>
      <c r="E724" s="13"/>
      <c r="F724" s="13"/>
      <c r="G724" s="13"/>
      <c r="H724" s="13"/>
      <c r="I724" s="13"/>
      <c r="J724" s="13"/>
      <c r="K724" s="13"/>
      <c r="L724" s="13"/>
      <c r="M724" s="13"/>
      <c r="N724" s="13"/>
      <c r="O724" s="13"/>
      <c r="P724" s="13"/>
      <c r="Q724" s="13"/>
      <c r="R724" s="13"/>
      <c r="S724" s="13"/>
      <c r="T724" s="13"/>
      <c r="U724" s="13"/>
      <c r="V724" s="13"/>
      <c r="W724" s="13"/>
      <c r="X724" s="13"/>
      <c r="Y724" s="13"/>
    </row>
    <row r="725" spans="1:25" ht="15.75" customHeight="1" x14ac:dyDescent="0.25">
      <c r="A725" s="13"/>
      <c r="B725" s="13"/>
      <c r="C725" s="13"/>
      <c r="D725" s="13"/>
      <c r="E725" s="13"/>
      <c r="F725" s="13"/>
      <c r="G725" s="13"/>
      <c r="H725" s="13"/>
      <c r="I725" s="13"/>
      <c r="J725" s="13"/>
      <c r="K725" s="13"/>
      <c r="L725" s="13"/>
      <c r="M725" s="13"/>
      <c r="N725" s="13"/>
      <c r="O725" s="13"/>
      <c r="P725" s="13"/>
      <c r="Q725" s="13"/>
      <c r="R725" s="13"/>
      <c r="S725" s="13"/>
      <c r="T725" s="13"/>
      <c r="U725" s="13"/>
      <c r="V725" s="13"/>
      <c r="W725" s="13"/>
      <c r="X725" s="13"/>
      <c r="Y725" s="13"/>
    </row>
    <row r="726" spans="1:25" ht="15.75" customHeight="1" x14ac:dyDescent="0.25">
      <c r="A726" s="13"/>
      <c r="B726" s="13"/>
      <c r="C726" s="13"/>
      <c r="D726" s="13"/>
      <c r="E726" s="13"/>
      <c r="F726" s="13"/>
      <c r="G726" s="13"/>
      <c r="H726" s="13"/>
      <c r="I726" s="13"/>
      <c r="J726" s="13"/>
      <c r="K726" s="13"/>
      <c r="L726" s="13"/>
      <c r="M726" s="13"/>
      <c r="N726" s="13"/>
      <c r="O726" s="13"/>
      <c r="P726" s="13"/>
      <c r="Q726" s="13"/>
      <c r="R726" s="13"/>
      <c r="S726" s="13"/>
      <c r="T726" s="13"/>
      <c r="U726" s="13"/>
      <c r="V726" s="13"/>
      <c r="W726" s="13"/>
      <c r="X726" s="13"/>
      <c r="Y726" s="13"/>
    </row>
    <row r="727" spans="1:25" ht="15.75" customHeight="1" x14ac:dyDescent="0.25">
      <c r="A727" s="13"/>
      <c r="B727" s="13"/>
      <c r="C727" s="13"/>
      <c r="D727" s="13"/>
      <c r="E727" s="13"/>
      <c r="F727" s="13"/>
      <c r="G727" s="13"/>
      <c r="H727" s="13"/>
      <c r="I727" s="13"/>
      <c r="J727" s="13"/>
      <c r="K727" s="13"/>
      <c r="L727" s="13"/>
      <c r="M727" s="13"/>
      <c r="N727" s="13"/>
      <c r="O727" s="13"/>
      <c r="P727" s="13"/>
      <c r="Q727" s="13"/>
      <c r="R727" s="13"/>
      <c r="S727" s="13"/>
      <c r="T727" s="13"/>
      <c r="U727" s="13"/>
      <c r="V727" s="13"/>
      <c r="W727" s="13"/>
      <c r="X727" s="13"/>
      <c r="Y727" s="13"/>
    </row>
    <row r="728" spans="1:25" ht="15.75" customHeight="1" x14ac:dyDescent="0.25">
      <c r="A728" s="13"/>
      <c r="B728" s="13"/>
      <c r="C728" s="13"/>
      <c r="D728" s="13"/>
      <c r="E728" s="13"/>
      <c r="F728" s="13"/>
      <c r="G728" s="13"/>
      <c r="H728" s="13"/>
      <c r="I728" s="13"/>
      <c r="J728" s="13"/>
      <c r="K728" s="13"/>
      <c r="L728" s="13"/>
      <c r="M728" s="13"/>
      <c r="N728" s="13"/>
      <c r="O728" s="13"/>
      <c r="P728" s="13"/>
      <c r="Q728" s="13"/>
      <c r="R728" s="13"/>
      <c r="S728" s="13"/>
      <c r="T728" s="13"/>
      <c r="U728" s="13"/>
      <c r="V728" s="13"/>
      <c r="W728" s="13"/>
      <c r="X728" s="13"/>
      <c r="Y728" s="13"/>
    </row>
    <row r="729" spans="1:25" ht="15.75" customHeight="1" x14ac:dyDescent="0.25">
      <c r="A729" s="13"/>
      <c r="B729" s="13"/>
      <c r="C729" s="13"/>
      <c r="D729" s="13"/>
      <c r="E729" s="13"/>
      <c r="F729" s="13"/>
      <c r="G729" s="13"/>
      <c r="H729" s="13"/>
      <c r="I729" s="13"/>
      <c r="J729" s="13"/>
      <c r="K729" s="13"/>
      <c r="L729" s="13"/>
      <c r="M729" s="13"/>
      <c r="N729" s="13"/>
      <c r="O729" s="13"/>
      <c r="P729" s="13"/>
      <c r="Q729" s="13"/>
      <c r="R729" s="13"/>
      <c r="S729" s="13"/>
      <c r="T729" s="13"/>
      <c r="U729" s="13"/>
      <c r="V729" s="13"/>
      <c r="W729" s="13"/>
      <c r="X729" s="13"/>
      <c r="Y729" s="13"/>
    </row>
    <row r="730" spans="1:25" ht="15.75" customHeight="1" x14ac:dyDescent="0.25">
      <c r="A730" s="13"/>
      <c r="B730" s="13"/>
      <c r="C730" s="13"/>
      <c r="D730" s="13"/>
      <c r="E730" s="13"/>
      <c r="F730" s="13"/>
      <c r="G730" s="13"/>
      <c r="H730" s="13"/>
      <c r="I730" s="13"/>
      <c r="J730" s="13"/>
      <c r="K730" s="13"/>
      <c r="L730" s="13"/>
      <c r="M730" s="13"/>
      <c r="N730" s="13"/>
      <c r="O730" s="13"/>
      <c r="P730" s="13"/>
      <c r="Q730" s="13"/>
      <c r="R730" s="13"/>
      <c r="S730" s="13"/>
      <c r="T730" s="13"/>
      <c r="U730" s="13"/>
      <c r="V730" s="13"/>
      <c r="W730" s="13"/>
      <c r="X730" s="13"/>
      <c r="Y730" s="13"/>
    </row>
    <row r="731" spans="1:25" ht="15.75" customHeight="1" x14ac:dyDescent="0.25">
      <c r="A731" s="13"/>
      <c r="B731" s="13"/>
      <c r="C731" s="13"/>
      <c r="D731" s="13"/>
      <c r="E731" s="13"/>
      <c r="F731" s="13"/>
      <c r="G731" s="13"/>
      <c r="H731" s="13"/>
      <c r="I731" s="13"/>
      <c r="J731" s="13"/>
      <c r="K731" s="13"/>
      <c r="L731" s="13"/>
      <c r="M731" s="13"/>
      <c r="N731" s="13"/>
      <c r="O731" s="13"/>
      <c r="P731" s="13"/>
      <c r="Q731" s="13"/>
      <c r="R731" s="13"/>
      <c r="S731" s="13"/>
      <c r="T731" s="13"/>
      <c r="U731" s="13"/>
      <c r="V731" s="13"/>
      <c r="W731" s="13"/>
      <c r="X731" s="13"/>
      <c r="Y731" s="13"/>
    </row>
    <row r="732" spans="1:25" ht="15.75" customHeight="1" x14ac:dyDescent="0.25">
      <c r="A732" s="13"/>
      <c r="B732" s="13"/>
      <c r="C732" s="13"/>
      <c r="D732" s="13"/>
      <c r="E732" s="13"/>
      <c r="F732" s="13"/>
      <c r="G732" s="13"/>
      <c r="H732" s="13"/>
      <c r="I732" s="13"/>
      <c r="J732" s="13"/>
      <c r="K732" s="13"/>
      <c r="L732" s="13"/>
      <c r="M732" s="13"/>
      <c r="N732" s="13"/>
      <c r="O732" s="13"/>
      <c r="P732" s="13"/>
      <c r="Q732" s="13"/>
      <c r="R732" s="13"/>
      <c r="S732" s="13"/>
      <c r="T732" s="13"/>
      <c r="U732" s="13"/>
      <c r="V732" s="13"/>
      <c r="W732" s="13"/>
      <c r="X732" s="13"/>
      <c r="Y732" s="13"/>
    </row>
    <row r="733" spans="1:25" ht="15.75" customHeight="1" x14ac:dyDescent="0.25">
      <c r="A733" s="13"/>
      <c r="B733" s="13"/>
      <c r="C733" s="13"/>
      <c r="D733" s="13"/>
      <c r="E733" s="13"/>
      <c r="F733" s="13"/>
      <c r="G733" s="13"/>
      <c r="H733" s="13"/>
      <c r="I733" s="13"/>
      <c r="J733" s="13"/>
      <c r="K733" s="13"/>
      <c r="L733" s="13"/>
      <c r="M733" s="13"/>
      <c r="N733" s="13"/>
      <c r="O733" s="13"/>
      <c r="P733" s="13"/>
      <c r="Q733" s="13"/>
      <c r="R733" s="13"/>
      <c r="S733" s="13"/>
      <c r="T733" s="13"/>
      <c r="U733" s="13"/>
      <c r="V733" s="13"/>
      <c r="W733" s="13"/>
      <c r="X733" s="13"/>
      <c r="Y733" s="13"/>
    </row>
    <row r="734" spans="1:25" ht="15.75" customHeight="1" x14ac:dyDescent="0.25">
      <c r="A734" s="13"/>
      <c r="B734" s="13"/>
      <c r="C734" s="13"/>
      <c r="D734" s="13"/>
      <c r="E734" s="13"/>
      <c r="F734" s="13"/>
      <c r="G734" s="13"/>
      <c r="H734" s="13"/>
      <c r="I734" s="13"/>
      <c r="J734" s="13"/>
      <c r="K734" s="13"/>
      <c r="L734" s="13"/>
      <c r="M734" s="13"/>
      <c r="N734" s="13"/>
      <c r="O734" s="13"/>
      <c r="P734" s="13"/>
      <c r="Q734" s="13"/>
      <c r="R734" s="13"/>
      <c r="S734" s="13"/>
      <c r="T734" s="13"/>
      <c r="U734" s="13"/>
      <c r="V734" s="13"/>
      <c r="W734" s="13"/>
      <c r="X734" s="13"/>
      <c r="Y734" s="13"/>
    </row>
    <row r="735" spans="1:25" ht="15.75" customHeight="1" x14ac:dyDescent="0.25">
      <c r="A735" s="13"/>
      <c r="B735" s="13"/>
      <c r="C735" s="13"/>
      <c r="D735" s="13"/>
      <c r="E735" s="13"/>
      <c r="F735" s="13"/>
      <c r="G735" s="13"/>
      <c r="H735" s="13"/>
      <c r="I735" s="13"/>
      <c r="J735" s="13"/>
      <c r="K735" s="13"/>
      <c r="L735" s="13"/>
      <c r="M735" s="13"/>
      <c r="N735" s="13"/>
      <c r="O735" s="13"/>
      <c r="P735" s="13"/>
      <c r="Q735" s="13"/>
      <c r="R735" s="13"/>
      <c r="S735" s="13"/>
      <c r="T735" s="13"/>
      <c r="U735" s="13"/>
      <c r="V735" s="13"/>
      <c r="W735" s="13"/>
      <c r="X735" s="13"/>
      <c r="Y735" s="13"/>
    </row>
    <row r="736" spans="1:25" ht="15.75" customHeight="1" x14ac:dyDescent="0.25">
      <c r="A736" s="13"/>
      <c r="B736" s="13"/>
      <c r="C736" s="13"/>
      <c r="D736" s="13"/>
      <c r="E736" s="13"/>
      <c r="F736" s="13"/>
      <c r="G736" s="13"/>
      <c r="H736" s="13"/>
      <c r="I736" s="13"/>
      <c r="J736" s="13"/>
      <c r="K736" s="13"/>
      <c r="L736" s="13"/>
      <c r="M736" s="13"/>
      <c r="N736" s="13"/>
      <c r="O736" s="13"/>
      <c r="P736" s="13"/>
      <c r="Q736" s="13"/>
      <c r="R736" s="13"/>
      <c r="S736" s="13"/>
      <c r="T736" s="13"/>
      <c r="U736" s="13"/>
      <c r="V736" s="13"/>
      <c r="W736" s="13"/>
      <c r="X736" s="13"/>
      <c r="Y736" s="13"/>
    </row>
    <row r="737" spans="1:25" ht="15.75" customHeight="1" x14ac:dyDescent="0.25">
      <c r="A737" s="13"/>
      <c r="B737" s="13"/>
      <c r="C737" s="13"/>
      <c r="D737" s="13"/>
      <c r="E737" s="13"/>
      <c r="F737" s="13"/>
      <c r="G737" s="13"/>
      <c r="H737" s="13"/>
      <c r="I737" s="13"/>
      <c r="J737" s="13"/>
      <c r="K737" s="13"/>
      <c r="L737" s="13"/>
      <c r="M737" s="13"/>
      <c r="N737" s="13"/>
      <c r="O737" s="13"/>
      <c r="P737" s="13"/>
      <c r="Q737" s="13"/>
      <c r="R737" s="13"/>
      <c r="S737" s="13"/>
      <c r="T737" s="13"/>
      <c r="U737" s="13"/>
      <c r="V737" s="13"/>
      <c r="W737" s="13"/>
      <c r="X737" s="13"/>
      <c r="Y737" s="13"/>
    </row>
    <row r="738" spans="1:25" ht="15.75" customHeight="1" x14ac:dyDescent="0.25">
      <c r="A738" s="13"/>
      <c r="B738" s="13"/>
      <c r="C738" s="13"/>
      <c r="D738" s="13"/>
      <c r="E738" s="13"/>
      <c r="F738" s="13"/>
      <c r="G738" s="13"/>
      <c r="H738" s="13"/>
      <c r="I738" s="13"/>
      <c r="J738" s="13"/>
      <c r="K738" s="13"/>
      <c r="L738" s="13"/>
      <c r="M738" s="13"/>
      <c r="N738" s="13"/>
      <c r="O738" s="13"/>
      <c r="P738" s="13"/>
      <c r="Q738" s="13"/>
      <c r="R738" s="13"/>
      <c r="S738" s="13"/>
      <c r="T738" s="13"/>
      <c r="U738" s="13"/>
      <c r="V738" s="13"/>
      <c r="W738" s="13"/>
      <c r="X738" s="13"/>
      <c r="Y738" s="13"/>
    </row>
    <row r="739" spans="1:25" ht="15.75" customHeight="1" x14ac:dyDescent="0.25">
      <c r="A739" s="13"/>
      <c r="B739" s="13"/>
      <c r="C739" s="13"/>
      <c r="D739" s="13"/>
      <c r="E739" s="13"/>
      <c r="F739" s="13"/>
      <c r="G739" s="13"/>
      <c r="H739" s="13"/>
      <c r="I739" s="13"/>
      <c r="J739" s="13"/>
      <c r="K739" s="13"/>
      <c r="L739" s="13"/>
      <c r="M739" s="13"/>
      <c r="N739" s="13"/>
      <c r="O739" s="13"/>
      <c r="P739" s="13"/>
      <c r="Q739" s="13"/>
      <c r="R739" s="13"/>
      <c r="S739" s="13"/>
      <c r="T739" s="13"/>
      <c r="U739" s="13"/>
      <c r="V739" s="13"/>
      <c r="W739" s="13"/>
      <c r="X739" s="13"/>
      <c r="Y739" s="13"/>
    </row>
    <row r="740" spans="1:25" ht="15.75" customHeight="1" x14ac:dyDescent="0.25">
      <c r="A740" s="13"/>
      <c r="B740" s="13"/>
      <c r="C740" s="13"/>
      <c r="D740" s="13"/>
      <c r="E740" s="13"/>
      <c r="F740" s="13"/>
      <c r="G740" s="13"/>
      <c r="H740" s="13"/>
      <c r="I740" s="13"/>
      <c r="J740" s="13"/>
      <c r="K740" s="13"/>
      <c r="L740" s="13"/>
      <c r="M740" s="13"/>
      <c r="N740" s="13"/>
      <c r="O740" s="13"/>
      <c r="P740" s="13"/>
      <c r="Q740" s="13"/>
      <c r="R740" s="13"/>
      <c r="S740" s="13"/>
      <c r="T740" s="13"/>
      <c r="U740" s="13"/>
      <c r="V740" s="13"/>
      <c r="W740" s="13"/>
      <c r="X740" s="13"/>
      <c r="Y740" s="13"/>
    </row>
    <row r="741" spans="1:25" ht="15.75" customHeight="1" x14ac:dyDescent="0.25">
      <c r="A741" s="13"/>
      <c r="B741" s="13"/>
      <c r="C741" s="13"/>
      <c r="D741" s="13"/>
      <c r="E741" s="13"/>
      <c r="F741" s="13"/>
      <c r="G741" s="13"/>
      <c r="H741" s="13"/>
      <c r="I741" s="13"/>
      <c r="J741" s="13"/>
      <c r="K741" s="13"/>
      <c r="L741" s="13"/>
      <c r="M741" s="13"/>
      <c r="N741" s="13"/>
      <c r="O741" s="13"/>
      <c r="P741" s="13"/>
      <c r="Q741" s="13"/>
      <c r="R741" s="13"/>
      <c r="S741" s="13"/>
      <c r="T741" s="13"/>
      <c r="U741" s="13"/>
      <c r="V741" s="13"/>
      <c r="W741" s="13"/>
      <c r="X741" s="13"/>
      <c r="Y741" s="13"/>
    </row>
    <row r="742" spans="1:25" ht="15.75" customHeight="1" x14ac:dyDescent="0.25">
      <c r="A742" s="13"/>
      <c r="B742" s="13"/>
      <c r="C742" s="13"/>
      <c r="D742" s="13"/>
      <c r="E742" s="13"/>
      <c r="F742" s="13"/>
      <c r="G742" s="13"/>
      <c r="H742" s="13"/>
      <c r="I742" s="13"/>
      <c r="J742" s="13"/>
      <c r="K742" s="13"/>
      <c r="L742" s="13"/>
      <c r="M742" s="13"/>
      <c r="N742" s="13"/>
      <c r="O742" s="13"/>
      <c r="P742" s="13"/>
      <c r="Q742" s="13"/>
      <c r="R742" s="13"/>
      <c r="S742" s="13"/>
      <c r="T742" s="13"/>
      <c r="U742" s="13"/>
      <c r="V742" s="13"/>
      <c r="W742" s="13"/>
      <c r="X742" s="13"/>
      <c r="Y742" s="13"/>
    </row>
    <row r="743" spans="1:25" ht="15.75" customHeight="1" x14ac:dyDescent="0.25">
      <c r="A743" s="13"/>
      <c r="B743" s="13"/>
      <c r="C743" s="13"/>
      <c r="D743" s="13"/>
      <c r="E743" s="13"/>
      <c r="F743" s="13"/>
      <c r="G743" s="13"/>
      <c r="H743" s="13"/>
      <c r="I743" s="13"/>
      <c r="J743" s="13"/>
      <c r="K743" s="13"/>
      <c r="L743" s="13"/>
      <c r="M743" s="13"/>
      <c r="N743" s="13"/>
      <c r="O743" s="13"/>
      <c r="P743" s="13"/>
      <c r="Q743" s="13"/>
      <c r="R743" s="13"/>
      <c r="S743" s="13"/>
      <c r="T743" s="13"/>
      <c r="U743" s="13"/>
      <c r="V743" s="13"/>
      <c r="W743" s="13"/>
      <c r="X743" s="13"/>
      <c r="Y743" s="13"/>
    </row>
    <row r="744" spans="1:25" ht="15.75" customHeight="1" x14ac:dyDescent="0.25">
      <c r="A744" s="13"/>
      <c r="B744" s="13"/>
      <c r="C744" s="13"/>
      <c r="D744" s="13"/>
      <c r="E744" s="13"/>
      <c r="F744" s="13"/>
      <c r="G744" s="13"/>
      <c r="H744" s="13"/>
      <c r="I744" s="13"/>
      <c r="J744" s="13"/>
      <c r="K744" s="13"/>
      <c r="L744" s="13"/>
      <c r="M744" s="13"/>
      <c r="N744" s="13"/>
      <c r="O744" s="13"/>
      <c r="P744" s="13"/>
      <c r="Q744" s="13"/>
      <c r="R744" s="13"/>
      <c r="S744" s="13"/>
      <c r="T744" s="13"/>
      <c r="U744" s="13"/>
      <c r="V744" s="13"/>
      <c r="W744" s="13"/>
      <c r="X744" s="13"/>
      <c r="Y744" s="13"/>
    </row>
    <row r="745" spans="1:25" ht="15.75" customHeight="1" x14ac:dyDescent="0.25">
      <c r="A745" s="13"/>
      <c r="B745" s="13"/>
      <c r="C745" s="13"/>
      <c r="D745" s="13"/>
      <c r="E745" s="13"/>
      <c r="F745" s="13"/>
      <c r="G745" s="13"/>
      <c r="H745" s="13"/>
      <c r="I745" s="13"/>
      <c r="J745" s="13"/>
      <c r="K745" s="13"/>
      <c r="L745" s="13"/>
      <c r="M745" s="13"/>
      <c r="N745" s="13"/>
      <c r="O745" s="13"/>
      <c r="P745" s="13"/>
      <c r="Q745" s="13"/>
      <c r="R745" s="13"/>
      <c r="S745" s="13"/>
      <c r="T745" s="13"/>
      <c r="U745" s="13"/>
      <c r="V745" s="13"/>
      <c r="W745" s="13"/>
      <c r="X745" s="13"/>
      <c r="Y745" s="13"/>
    </row>
    <row r="746" spans="1:25" ht="15.75" customHeight="1" x14ac:dyDescent="0.25">
      <c r="A746" s="13"/>
      <c r="B746" s="13"/>
      <c r="C746" s="13"/>
      <c r="D746" s="13"/>
      <c r="E746" s="13"/>
      <c r="F746" s="13"/>
      <c r="G746" s="13"/>
      <c r="H746" s="13"/>
      <c r="I746" s="13"/>
      <c r="J746" s="13"/>
      <c r="K746" s="13"/>
      <c r="L746" s="13"/>
      <c r="M746" s="13"/>
      <c r="N746" s="13"/>
      <c r="O746" s="13"/>
      <c r="P746" s="13"/>
      <c r="Q746" s="13"/>
      <c r="R746" s="13"/>
      <c r="S746" s="13"/>
      <c r="T746" s="13"/>
      <c r="U746" s="13"/>
      <c r="V746" s="13"/>
      <c r="W746" s="13"/>
      <c r="X746" s="13"/>
      <c r="Y746" s="13"/>
    </row>
    <row r="747" spans="1:25" ht="15.75" customHeight="1" x14ac:dyDescent="0.25">
      <c r="A747" s="13"/>
      <c r="B747" s="13"/>
      <c r="C747" s="13"/>
      <c r="D747" s="13"/>
      <c r="E747" s="13"/>
      <c r="F747" s="13"/>
      <c r="G747" s="13"/>
      <c r="H747" s="13"/>
      <c r="I747" s="13"/>
      <c r="J747" s="13"/>
      <c r="K747" s="13"/>
      <c r="L747" s="13"/>
      <c r="M747" s="13"/>
      <c r="N747" s="13"/>
      <c r="O747" s="13"/>
      <c r="P747" s="13"/>
      <c r="Q747" s="13"/>
      <c r="R747" s="13"/>
      <c r="S747" s="13"/>
      <c r="T747" s="13"/>
      <c r="U747" s="13"/>
      <c r="V747" s="13"/>
      <c r="W747" s="13"/>
      <c r="X747" s="13"/>
      <c r="Y747" s="13"/>
    </row>
    <row r="748" spans="1:25" ht="15.75" customHeight="1" x14ac:dyDescent="0.25">
      <c r="A748" s="13"/>
      <c r="B748" s="13"/>
      <c r="C748" s="13"/>
      <c r="D748" s="13"/>
      <c r="E748" s="13"/>
      <c r="F748" s="13"/>
      <c r="G748" s="13"/>
      <c r="H748" s="13"/>
      <c r="I748" s="13"/>
      <c r="J748" s="13"/>
      <c r="K748" s="13"/>
      <c r="L748" s="13"/>
      <c r="M748" s="13"/>
      <c r="N748" s="13"/>
      <c r="O748" s="13"/>
      <c r="P748" s="13"/>
      <c r="Q748" s="13"/>
      <c r="R748" s="13"/>
      <c r="S748" s="13"/>
      <c r="T748" s="13"/>
      <c r="U748" s="13"/>
      <c r="V748" s="13"/>
      <c r="W748" s="13"/>
      <c r="X748" s="13"/>
      <c r="Y748" s="13"/>
    </row>
    <row r="749" spans="1:25" ht="15.75" customHeight="1" x14ac:dyDescent="0.25">
      <c r="A749" s="13"/>
      <c r="B749" s="13"/>
      <c r="C749" s="13"/>
      <c r="D749" s="13"/>
      <c r="E749" s="13"/>
      <c r="F749" s="13"/>
      <c r="G749" s="13"/>
      <c r="H749" s="13"/>
      <c r="I749" s="13"/>
      <c r="J749" s="13"/>
      <c r="K749" s="13"/>
      <c r="L749" s="13"/>
      <c r="M749" s="13"/>
      <c r="N749" s="13"/>
      <c r="O749" s="13"/>
      <c r="P749" s="13"/>
      <c r="Q749" s="13"/>
      <c r="R749" s="13"/>
      <c r="S749" s="13"/>
      <c r="T749" s="13"/>
      <c r="U749" s="13"/>
      <c r="V749" s="13"/>
      <c r="W749" s="13"/>
      <c r="X749" s="13"/>
      <c r="Y749" s="13"/>
    </row>
    <row r="750" spans="1:25" ht="15.75" customHeight="1" x14ac:dyDescent="0.25">
      <c r="A750" s="13"/>
      <c r="B750" s="13"/>
      <c r="C750" s="13"/>
      <c r="D750" s="13"/>
      <c r="E750" s="13"/>
      <c r="F750" s="13"/>
      <c r="G750" s="13"/>
      <c r="H750" s="13"/>
      <c r="I750" s="13"/>
      <c r="J750" s="13"/>
      <c r="K750" s="13"/>
      <c r="L750" s="13"/>
      <c r="M750" s="13"/>
      <c r="N750" s="13"/>
      <c r="O750" s="13"/>
      <c r="P750" s="13"/>
      <c r="Q750" s="13"/>
      <c r="R750" s="13"/>
      <c r="S750" s="13"/>
      <c r="T750" s="13"/>
      <c r="U750" s="13"/>
      <c r="V750" s="13"/>
      <c r="W750" s="13"/>
      <c r="X750" s="13"/>
      <c r="Y750" s="13"/>
    </row>
    <row r="751" spans="1:25" ht="15.75" customHeight="1" x14ac:dyDescent="0.25">
      <c r="A751" s="13"/>
      <c r="B751" s="13"/>
      <c r="C751" s="13"/>
      <c r="D751" s="13"/>
      <c r="E751" s="13"/>
      <c r="F751" s="13"/>
      <c r="G751" s="13"/>
      <c r="H751" s="13"/>
      <c r="I751" s="13"/>
      <c r="J751" s="13"/>
      <c r="K751" s="13"/>
      <c r="L751" s="13"/>
      <c r="M751" s="13"/>
      <c r="N751" s="13"/>
      <c r="O751" s="13"/>
      <c r="P751" s="13"/>
      <c r="Q751" s="13"/>
      <c r="R751" s="13"/>
      <c r="S751" s="13"/>
      <c r="T751" s="13"/>
      <c r="U751" s="13"/>
      <c r="V751" s="13"/>
      <c r="W751" s="13"/>
      <c r="X751" s="13"/>
      <c r="Y751" s="13"/>
    </row>
    <row r="752" spans="1:25" ht="15.75" customHeight="1" x14ac:dyDescent="0.25">
      <c r="A752" s="13"/>
      <c r="B752" s="13"/>
      <c r="C752" s="13"/>
      <c r="D752" s="13"/>
      <c r="E752" s="13"/>
      <c r="F752" s="13"/>
      <c r="G752" s="13"/>
      <c r="H752" s="13"/>
      <c r="I752" s="13"/>
      <c r="J752" s="13"/>
      <c r="K752" s="13"/>
      <c r="L752" s="13"/>
      <c r="M752" s="13"/>
      <c r="N752" s="13"/>
      <c r="O752" s="13"/>
      <c r="P752" s="13"/>
      <c r="Q752" s="13"/>
      <c r="R752" s="13"/>
      <c r="S752" s="13"/>
      <c r="T752" s="13"/>
      <c r="U752" s="13"/>
      <c r="V752" s="13"/>
      <c r="W752" s="13"/>
      <c r="X752" s="13"/>
      <c r="Y752" s="13"/>
    </row>
    <row r="753" spans="1:25" ht="15.75" customHeight="1" x14ac:dyDescent="0.25">
      <c r="A753" s="13"/>
      <c r="B753" s="13"/>
      <c r="C753" s="13"/>
      <c r="D753" s="13"/>
      <c r="E753" s="13"/>
      <c r="F753" s="13"/>
      <c r="G753" s="13"/>
      <c r="H753" s="13"/>
      <c r="I753" s="13"/>
      <c r="J753" s="13"/>
      <c r="K753" s="13"/>
      <c r="L753" s="13"/>
      <c r="M753" s="13"/>
      <c r="N753" s="13"/>
      <c r="O753" s="13"/>
      <c r="P753" s="13"/>
      <c r="Q753" s="13"/>
      <c r="R753" s="13"/>
      <c r="S753" s="13"/>
      <c r="T753" s="13"/>
      <c r="U753" s="13"/>
      <c r="V753" s="13"/>
      <c r="W753" s="13"/>
      <c r="X753" s="13"/>
      <c r="Y753" s="13"/>
    </row>
    <row r="754" spans="1:25" ht="15.75" customHeight="1" x14ac:dyDescent="0.25">
      <c r="A754" s="13"/>
      <c r="B754" s="13"/>
      <c r="C754" s="13"/>
      <c r="D754" s="13"/>
      <c r="E754" s="13"/>
      <c r="F754" s="13"/>
      <c r="G754" s="13"/>
      <c r="H754" s="13"/>
      <c r="I754" s="13"/>
      <c r="J754" s="13"/>
      <c r="K754" s="13"/>
      <c r="L754" s="13"/>
      <c r="M754" s="13"/>
      <c r="N754" s="13"/>
      <c r="O754" s="13"/>
      <c r="P754" s="13"/>
      <c r="Q754" s="13"/>
      <c r="R754" s="13"/>
      <c r="S754" s="13"/>
      <c r="T754" s="13"/>
      <c r="U754" s="13"/>
      <c r="V754" s="13"/>
      <c r="W754" s="13"/>
      <c r="X754" s="13"/>
      <c r="Y754" s="13"/>
    </row>
    <row r="755" spans="1:25" ht="15.75" customHeight="1" x14ac:dyDescent="0.25">
      <c r="A755" s="13"/>
      <c r="B755" s="13"/>
      <c r="C755" s="13"/>
      <c r="D755" s="13"/>
      <c r="E755" s="13"/>
      <c r="F755" s="13"/>
      <c r="G755" s="13"/>
      <c r="H755" s="13"/>
      <c r="I755" s="13"/>
      <c r="J755" s="13"/>
      <c r="K755" s="13"/>
      <c r="L755" s="13"/>
      <c r="M755" s="13"/>
      <c r="N755" s="13"/>
      <c r="O755" s="13"/>
      <c r="P755" s="13"/>
      <c r="Q755" s="13"/>
      <c r="R755" s="13"/>
      <c r="S755" s="13"/>
      <c r="T755" s="13"/>
      <c r="U755" s="13"/>
      <c r="V755" s="13"/>
      <c r="W755" s="13"/>
      <c r="X755" s="13"/>
      <c r="Y755" s="13"/>
    </row>
    <row r="756" spans="1:25" ht="15.75" customHeight="1" x14ac:dyDescent="0.25">
      <c r="A756" s="13"/>
      <c r="B756" s="13"/>
      <c r="C756" s="13"/>
      <c r="D756" s="13"/>
      <c r="E756" s="13"/>
      <c r="F756" s="13"/>
      <c r="G756" s="13"/>
      <c r="H756" s="13"/>
      <c r="I756" s="13"/>
      <c r="J756" s="13"/>
      <c r="K756" s="13"/>
      <c r="L756" s="13"/>
      <c r="M756" s="13"/>
      <c r="N756" s="13"/>
      <c r="O756" s="13"/>
      <c r="P756" s="13"/>
      <c r="Q756" s="13"/>
      <c r="R756" s="13"/>
      <c r="S756" s="13"/>
      <c r="T756" s="13"/>
      <c r="U756" s="13"/>
      <c r="V756" s="13"/>
      <c r="W756" s="13"/>
      <c r="X756" s="13"/>
      <c r="Y756" s="13"/>
    </row>
    <row r="757" spans="1:25" ht="15.75" customHeight="1" x14ac:dyDescent="0.25">
      <c r="A757" s="13"/>
      <c r="B757" s="13"/>
      <c r="C757" s="13"/>
      <c r="D757" s="13"/>
      <c r="E757" s="13"/>
      <c r="F757" s="13"/>
      <c r="G757" s="13"/>
      <c r="H757" s="13"/>
      <c r="I757" s="13"/>
      <c r="J757" s="13"/>
      <c r="K757" s="13"/>
      <c r="L757" s="13"/>
      <c r="M757" s="13"/>
      <c r="N757" s="13"/>
      <c r="O757" s="13"/>
      <c r="P757" s="13"/>
      <c r="Q757" s="13"/>
      <c r="R757" s="13"/>
      <c r="S757" s="13"/>
      <c r="T757" s="13"/>
      <c r="U757" s="13"/>
      <c r="V757" s="13"/>
      <c r="W757" s="13"/>
      <c r="X757" s="13"/>
      <c r="Y757" s="13"/>
    </row>
    <row r="758" spans="1:25" ht="15.75" customHeight="1" x14ac:dyDescent="0.25">
      <c r="A758" s="13"/>
      <c r="B758" s="13"/>
      <c r="C758" s="13"/>
      <c r="D758" s="13"/>
      <c r="E758" s="13"/>
      <c r="F758" s="13"/>
      <c r="G758" s="13"/>
      <c r="H758" s="13"/>
      <c r="I758" s="13"/>
      <c r="J758" s="13"/>
      <c r="K758" s="13"/>
      <c r="L758" s="13"/>
      <c r="M758" s="13"/>
      <c r="N758" s="13"/>
      <c r="O758" s="13"/>
      <c r="P758" s="13"/>
      <c r="Q758" s="13"/>
      <c r="R758" s="13"/>
      <c r="S758" s="13"/>
      <c r="T758" s="13"/>
      <c r="U758" s="13"/>
      <c r="V758" s="13"/>
      <c r="W758" s="13"/>
      <c r="X758" s="13"/>
      <c r="Y758" s="13"/>
    </row>
    <row r="759" spans="1:25" ht="15.75" customHeight="1" x14ac:dyDescent="0.25">
      <c r="A759" s="13"/>
      <c r="B759" s="13"/>
      <c r="C759" s="13"/>
      <c r="D759" s="13"/>
      <c r="E759" s="13"/>
      <c r="F759" s="13"/>
      <c r="G759" s="13"/>
      <c r="H759" s="13"/>
      <c r="I759" s="13"/>
      <c r="J759" s="13"/>
      <c r="K759" s="13"/>
      <c r="L759" s="13"/>
      <c r="M759" s="13"/>
      <c r="N759" s="13"/>
      <c r="O759" s="13"/>
      <c r="P759" s="13"/>
      <c r="Q759" s="13"/>
      <c r="R759" s="13"/>
      <c r="S759" s="13"/>
      <c r="T759" s="13"/>
      <c r="U759" s="13"/>
      <c r="V759" s="13"/>
      <c r="W759" s="13"/>
      <c r="X759" s="13"/>
      <c r="Y759" s="13"/>
    </row>
    <row r="760" spans="1:25" ht="15.75" customHeight="1" x14ac:dyDescent="0.25">
      <c r="A760" s="13"/>
      <c r="B760" s="13"/>
      <c r="C760" s="13"/>
      <c r="D760" s="13"/>
      <c r="E760" s="13"/>
      <c r="F760" s="13"/>
      <c r="G760" s="13"/>
      <c r="H760" s="13"/>
      <c r="I760" s="13"/>
      <c r="J760" s="13"/>
      <c r="K760" s="13"/>
      <c r="L760" s="13"/>
      <c r="M760" s="13"/>
      <c r="N760" s="13"/>
      <c r="O760" s="13"/>
      <c r="P760" s="13"/>
      <c r="Q760" s="13"/>
      <c r="R760" s="13"/>
      <c r="S760" s="13"/>
      <c r="T760" s="13"/>
      <c r="U760" s="13"/>
      <c r="V760" s="13"/>
      <c r="W760" s="13"/>
      <c r="X760" s="13"/>
      <c r="Y760" s="13"/>
    </row>
    <row r="761" spans="1:25" ht="15.75" customHeight="1" x14ac:dyDescent="0.25">
      <c r="A761" s="13"/>
      <c r="B761" s="13"/>
      <c r="C761" s="13"/>
      <c r="D761" s="13"/>
      <c r="E761" s="13"/>
      <c r="F761" s="13"/>
      <c r="G761" s="13"/>
      <c r="H761" s="13"/>
      <c r="I761" s="13"/>
      <c r="J761" s="13"/>
      <c r="K761" s="13"/>
      <c r="L761" s="13"/>
      <c r="M761" s="13"/>
      <c r="N761" s="13"/>
      <c r="O761" s="13"/>
      <c r="P761" s="13"/>
      <c r="Q761" s="13"/>
      <c r="R761" s="13"/>
      <c r="S761" s="13"/>
      <c r="T761" s="13"/>
      <c r="U761" s="13"/>
      <c r="V761" s="13"/>
      <c r="W761" s="13"/>
      <c r="X761" s="13"/>
      <c r="Y761" s="13"/>
    </row>
    <row r="762" spans="1:25" ht="15.75" customHeight="1" x14ac:dyDescent="0.25">
      <c r="A762" s="13"/>
      <c r="B762" s="13"/>
      <c r="C762" s="13"/>
      <c r="D762" s="13"/>
      <c r="E762" s="13"/>
      <c r="F762" s="13"/>
      <c r="G762" s="13"/>
      <c r="H762" s="13"/>
      <c r="I762" s="13"/>
      <c r="J762" s="13"/>
      <c r="K762" s="13"/>
      <c r="L762" s="13"/>
      <c r="M762" s="13"/>
      <c r="N762" s="13"/>
      <c r="O762" s="13"/>
      <c r="P762" s="13"/>
      <c r="Q762" s="13"/>
      <c r="R762" s="13"/>
      <c r="S762" s="13"/>
      <c r="T762" s="13"/>
      <c r="U762" s="13"/>
      <c r="V762" s="13"/>
      <c r="W762" s="13"/>
      <c r="X762" s="13"/>
      <c r="Y762" s="13"/>
    </row>
    <row r="763" spans="1:25" ht="15.75" customHeight="1" x14ac:dyDescent="0.25">
      <c r="A763" s="13"/>
      <c r="B763" s="13"/>
      <c r="C763" s="13"/>
      <c r="D763" s="13"/>
      <c r="E763" s="13"/>
      <c r="F763" s="13"/>
      <c r="G763" s="13"/>
      <c r="H763" s="13"/>
      <c r="I763" s="13"/>
      <c r="J763" s="13"/>
      <c r="K763" s="13"/>
      <c r="L763" s="13"/>
      <c r="M763" s="13"/>
      <c r="N763" s="13"/>
      <c r="O763" s="13"/>
      <c r="P763" s="13"/>
      <c r="Q763" s="13"/>
      <c r="R763" s="13"/>
      <c r="S763" s="13"/>
      <c r="T763" s="13"/>
      <c r="U763" s="13"/>
      <c r="V763" s="13"/>
      <c r="W763" s="13"/>
      <c r="X763" s="13"/>
      <c r="Y763" s="13"/>
    </row>
    <row r="764" spans="1:25" ht="15.75" customHeight="1" x14ac:dyDescent="0.25">
      <c r="A764" s="13"/>
      <c r="B764" s="13"/>
      <c r="C764" s="13"/>
      <c r="D764" s="13"/>
      <c r="E764" s="13"/>
      <c r="F764" s="13"/>
      <c r="G764" s="13"/>
      <c r="H764" s="13"/>
      <c r="I764" s="13"/>
      <c r="J764" s="13"/>
      <c r="K764" s="13"/>
      <c r="L764" s="13"/>
      <c r="M764" s="13"/>
      <c r="N764" s="13"/>
      <c r="O764" s="13"/>
      <c r="P764" s="13"/>
      <c r="Q764" s="13"/>
      <c r="R764" s="13"/>
      <c r="S764" s="13"/>
      <c r="T764" s="13"/>
      <c r="U764" s="13"/>
      <c r="V764" s="13"/>
      <c r="W764" s="13"/>
      <c r="X764" s="13"/>
      <c r="Y764" s="13"/>
    </row>
    <row r="765" spans="1:25" ht="15.75" customHeight="1" x14ac:dyDescent="0.25">
      <c r="A765" s="13"/>
      <c r="B765" s="13"/>
      <c r="C765" s="13"/>
      <c r="D765" s="13"/>
      <c r="E765" s="13"/>
      <c r="F765" s="13"/>
      <c r="G765" s="13"/>
      <c r="H765" s="13"/>
      <c r="I765" s="13"/>
      <c r="J765" s="13"/>
      <c r="K765" s="13"/>
      <c r="L765" s="13"/>
      <c r="M765" s="13"/>
      <c r="N765" s="13"/>
      <c r="O765" s="13"/>
      <c r="P765" s="13"/>
      <c r="Q765" s="13"/>
      <c r="R765" s="13"/>
      <c r="S765" s="13"/>
      <c r="T765" s="13"/>
      <c r="U765" s="13"/>
      <c r="V765" s="13"/>
      <c r="W765" s="13"/>
      <c r="X765" s="13"/>
      <c r="Y765" s="13"/>
    </row>
    <row r="766" spans="1:25" ht="15.75" customHeight="1" x14ac:dyDescent="0.25">
      <c r="A766" s="13"/>
      <c r="B766" s="13"/>
      <c r="C766" s="13"/>
      <c r="D766" s="13"/>
      <c r="E766" s="13"/>
      <c r="F766" s="13"/>
      <c r="G766" s="13"/>
      <c r="H766" s="13"/>
      <c r="I766" s="13"/>
      <c r="J766" s="13"/>
      <c r="K766" s="13"/>
      <c r="L766" s="13"/>
      <c r="M766" s="13"/>
      <c r="N766" s="13"/>
      <c r="O766" s="13"/>
      <c r="P766" s="13"/>
      <c r="Q766" s="13"/>
      <c r="R766" s="13"/>
      <c r="S766" s="13"/>
      <c r="T766" s="13"/>
      <c r="U766" s="13"/>
      <c r="V766" s="13"/>
      <c r="W766" s="13"/>
      <c r="X766" s="13"/>
      <c r="Y766" s="13"/>
    </row>
    <row r="767" spans="1:25" ht="15.75" customHeight="1" x14ac:dyDescent="0.25">
      <c r="A767" s="13"/>
      <c r="B767" s="13"/>
      <c r="C767" s="13"/>
      <c r="D767" s="13"/>
      <c r="E767" s="13"/>
      <c r="F767" s="13"/>
      <c r="G767" s="13"/>
      <c r="H767" s="13"/>
      <c r="I767" s="13"/>
      <c r="J767" s="13"/>
      <c r="K767" s="13"/>
      <c r="L767" s="13"/>
      <c r="M767" s="13"/>
      <c r="N767" s="13"/>
      <c r="O767" s="13"/>
      <c r="P767" s="13"/>
      <c r="Q767" s="13"/>
      <c r="R767" s="13"/>
      <c r="S767" s="13"/>
      <c r="T767" s="13"/>
      <c r="U767" s="13"/>
      <c r="V767" s="13"/>
      <c r="W767" s="13"/>
      <c r="X767" s="13"/>
      <c r="Y767" s="13"/>
    </row>
    <row r="768" spans="1:25" ht="15.75" customHeight="1" x14ac:dyDescent="0.25">
      <c r="A768" s="13"/>
      <c r="B768" s="13"/>
      <c r="C768" s="13"/>
      <c r="D768" s="13"/>
      <c r="E768" s="13"/>
      <c r="F768" s="13"/>
      <c r="G768" s="13"/>
      <c r="H768" s="13"/>
      <c r="I768" s="13"/>
      <c r="J768" s="13"/>
      <c r="K768" s="13"/>
      <c r="L768" s="13"/>
      <c r="M768" s="13"/>
      <c r="N768" s="13"/>
      <c r="O768" s="13"/>
      <c r="P768" s="13"/>
      <c r="Q768" s="13"/>
      <c r="R768" s="13"/>
      <c r="S768" s="13"/>
      <c r="T768" s="13"/>
      <c r="U768" s="13"/>
      <c r="V768" s="13"/>
      <c r="W768" s="13"/>
      <c r="X768" s="13"/>
      <c r="Y768" s="13"/>
    </row>
    <row r="769" spans="1:25" ht="15.75" customHeight="1" x14ac:dyDescent="0.25">
      <c r="A769" s="13"/>
      <c r="B769" s="13"/>
      <c r="C769" s="13"/>
      <c r="D769" s="13"/>
      <c r="E769" s="13"/>
      <c r="F769" s="13"/>
      <c r="G769" s="13"/>
      <c r="H769" s="13"/>
      <c r="I769" s="13"/>
      <c r="J769" s="13"/>
      <c r="K769" s="13"/>
      <c r="L769" s="13"/>
      <c r="M769" s="13"/>
      <c r="N769" s="13"/>
      <c r="O769" s="13"/>
      <c r="P769" s="13"/>
      <c r="Q769" s="13"/>
      <c r="R769" s="13"/>
      <c r="S769" s="13"/>
      <c r="T769" s="13"/>
      <c r="U769" s="13"/>
      <c r="V769" s="13"/>
      <c r="W769" s="13"/>
      <c r="X769" s="13"/>
      <c r="Y769" s="13"/>
    </row>
    <row r="770" spans="1:25" ht="15.75" customHeight="1" x14ac:dyDescent="0.25">
      <c r="A770" s="13"/>
      <c r="B770" s="13"/>
      <c r="C770" s="13"/>
      <c r="D770" s="13"/>
      <c r="E770" s="13"/>
      <c r="F770" s="13"/>
      <c r="G770" s="13"/>
      <c r="H770" s="13"/>
      <c r="I770" s="13"/>
      <c r="J770" s="13"/>
      <c r="K770" s="13"/>
      <c r="L770" s="13"/>
      <c r="M770" s="13"/>
      <c r="N770" s="13"/>
      <c r="O770" s="13"/>
      <c r="P770" s="13"/>
      <c r="Q770" s="13"/>
      <c r="R770" s="13"/>
      <c r="S770" s="13"/>
      <c r="T770" s="13"/>
      <c r="U770" s="13"/>
      <c r="V770" s="13"/>
      <c r="W770" s="13"/>
      <c r="X770" s="13"/>
      <c r="Y770" s="13"/>
    </row>
    <row r="771" spans="1:25" ht="15.75" customHeight="1" x14ac:dyDescent="0.25">
      <c r="A771" s="13"/>
      <c r="B771" s="13"/>
      <c r="C771" s="13"/>
      <c r="D771" s="13"/>
      <c r="E771" s="13"/>
      <c r="F771" s="13"/>
      <c r="G771" s="13"/>
      <c r="H771" s="13"/>
      <c r="I771" s="13"/>
      <c r="J771" s="13"/>
      <c r="K771" s="13"/>
      <c r="L771" s="13"/>
      <c r="M771" s="13"/>
      <c r="N771" s="13"/>
      <c r="O771" s="13"/>
      <c r="P771" s="13"/>
      <c r="Q771" s="13"/>
      <c r="R771" s="13"/>
      <c r="S771" s="13"/>
      <c r="T771" s="13"/>
      <c r="U771" s="13"/>
      <c r="V771" s="13"/>
      <c r="W771" s="13"/>
      <c r="X771" s="13"/>
      <c r="Y771" s="13"/>
    </row>
    <row r="772" spans="1:25" ht="15.75" customHeight="1" x14ac:dyDescent="0.25">
      <c r="A772" s="13"/>
      <c r="B772" s="13"/>
      <c r="C772" s="13"/>
      <c r="D772" s="13"/>
      <c r="E772" s="13"/>
      <c r="F772" s="13"/>
      <c r="G772" s="13"/>
      <c r="H772" s="13"/>
      <c r="I772" s="13"/>
      <c r="J772" s="13"/>
      <c r="K772" s="13"/>
      <c r="L772" s="13"/>
      <c r="M772" s="13"/>
      <c r="N772" s="13"/>
      <c r="O772" s="13"/>
      <c r="P772" s="13"/>
      <c r="Q772" s="13"/>
      <c r="R772" s="13"/>
      <c r="S772" s="13"/>
      <c r="T772" s="13"/>
      <c r="U772" s="13"/>
      <c r="V772" s="13"/>
      <c r="W772" s="13"/>
      <c r="X772" s="13"/>
      <c r="Y772" s="13"/>
    </row>
    <row r="773" spans="1:25" ht="15.75" customHeight="1" x14ac:dyDescent="0.25">
      <c r="A773" s="13"/>
      <c r="B773" s="13"/>
      <c r="C773" s="13"/>
      <c r="D773" s="13"/>
      <c r="E773" s="13"/>
      <c r="F773" s="13"/>
      <c r="G773" s="13"/>
      <c r="H773" s="13"/>
      <c r="I773" s="13"/>
      <c r="J773" s="13"/>
      <c r="K773" s="13"/>
      <c r="L773" s="13"/>
      <c r="M773" s="13"/>
      <c r="N773" s="13"/>
      <c r="O773" s="13"/>
      <c r="P773" s="13"/>
      <c r="Q773" s="13"/>
      <c r="R773" s="13"/>
      <c r="S773" s="13"/>
      <c r="T773" s="13"/>
      <c r="U773" s="13"/>
      <c r="V773" s="13"/>
      <c r="W773" s="13"/>
      <c r="X773" s="13"/>
      <c r="Y773" s="13"/>
    </row>
    <row r="774" spans="1:25" ht="15.75" customHeight="1" x14ac:dyDescent="0.25">
      <c r="A774" s="13"/>
      <c r="B774" s="13"/>
      <c r="C774" s="13"/>
      <c r="D774" s="13"/>
      <c r="E774" s="13"/>
      <c r="F774" s="13"/>
      <c r="G774" s="13"/>
      <c r="H774" s="13"/>
      <c r="I774" s="13"/>
      <c r="J774" s="13"/>
      <c r="K774" s="13"/>
      <c r="L774" s="13"/>
      <c r="M774" s="13"/>
      <c r="N774" s="13"/>
      <c r="O774" s="13"/>
      <c r="P774" s="13"/>
      <c r="Q774" s="13"/>
      <c r="R774" s="13"/>
      <c r="S774" s="13"/>
      <c r="T774" s="13"/>
      <c r="U774" s="13"/>
      <c r="V774" s="13"/>
      <c r="W774" s="13"/>
      <c r="X774" s="13"/>
      <c r="Y774" s="13"/>
    </row>
    <row r="775" spans="1:25" ht="15.75" customHeight="1" x14ac:dyDescent="0.25">
      <c r="A775" s="13"/>
      <c r="B775" s="13"/>
      <c r="C775" s="13"/>
      <c r="D775" s="13"/>
      <c r="E775" s="13"/>
      <c r="F775" s="13"/>
      <c r="G775" s="13"/>
      <c r="H775" s="13"/>
      <c r="I775" s="13"/>
      <c r="J775" s="13"/>
      <c r="K775" s="13"/>
      <c r="L775" s="13"/>
      <c r="M775" s="13"/>
      <c r="N775" s="13"/>
      <c r="O775" s="13"/>
      <c r="P775" s="13"/>
      <c r="Q775" s="13"/>
      <c r="R775" s="13"/>
      <c r="S775" s="13"/>
      <c r="T775" s="13"/>
      <c r="U775" s="13"/>
      <c r="V775" s="13"/>
      <c r="W775" s="13"/>
      <c r="X775" s="13"/>
      <c r="Y775" s="13"/>
    </row>
    <row r="776" spans="1:25" ht="15.75" customHeight="1" x14ac:dyDescent="0.25">
      <c r="A776" s="13"/>
      <c r="B776" s="13"/>
      <c r="C776" s="13"/>
      <c r="D776" s="13"/>
      <c r="E776" s="13"/>
      <c r="F776" s="13"/>
      <c r="G776" s="13"/>
      <c r="H776" s="13"/>
      <c r="I776" s="13"/>
      <c r="J776" s="13"/>
      <c r="K776" s="13"/>
      <c r="L776" s="13"/>
      <c r="M776" s="13"/>
      <c r="N776" s="13"/>
      <c r="O776" s="13"/>
      <c r="P776" s="13"/>
      <c r="Q776" s="13"/>
      <c r="R776" s="13"/>
      <c r="S776" s="13"/>
      <c r="T776" s="13"/>
      <c r="U776" s="13"/>
      <c r="V776" s="13"/>
      <c r="W776" s="13"/>
      <c r="X776" s="13"/>
      <c r="Y776" s="13"/>
    </row>
    <row r="777" spans="1:25" ht="15.75" customHeight="1" x14ac:dyDescent="0.25">
      <c r="A777" s="13"/>
      <c r="B777" s="13"/>
      <c r="C777" s="13"/>
      <c r="D777" s="13"/>
      <c r="E777" s="13"/>
      <c r="F777" s="13"/>
      <c r="G777" s="13"/>
      <c r="H777" s="13"/>
      <c r="I777" s="13"/>
      <c r="J777" s="13"/>
      <c r="K777" s="13"/>
      <c r="L777" s="13"/>
      <c r="M777" s="13"/>
      <c r="N777" s="13"/>
      <c r="O777" s="13"/>
      <c r="P777" s="13"/>
      <c r="Q777" s="13"/>
      <c r="R777" s="13"/>
      <c r="S777" s="13"/>
      <c r="T777" s="13"/>
      <c r="U777" s="13"/>
      <c r="V777" s="13"/>
      <c r="W777" s="13"/>
      <c r="X777" s="13"/>
      <c r="Y777" s="13"/>
    </row>
    <row r="778" spans="1:25" ht="15.75" customHeight="1" x14ac:dyDescent="0.25">
      <c r="A778" s="13"/>
      <c r="B778" s="13"/>
      <c r="C778" s="13"/>
      <c r="D778" s="13"/>
      <c r="E778" s="13"/>
      <c r="F778" s="13"/>
      <c r="G778" s="13"/>
      <c r="H778" s="13"/>
      <c r="I778" s="13"/>
      <c r="J778" s="13"/>
      <c r="K778" s="13"/>
      <c r="L778" s="13"/>
      <c r="M778" s="13"/>
      <c r="N778" s="13"/>
      <c r="O778" s="13"/>
      <c r="P778" s="13"/>
      <c r="Q778" s="13"/>
      <c r="R778" s="13"/>
      <c r="S778" s="13"/>
      <c r="T778" s="13"/>
      <c r="U778" s="13"/>
      <c r="V778" s="13"/>
      <c r="W778" s="13"/>
      <c r="X778" s="13"/>
      <c r="Y778" s="13"/>
    </row>
    <row r="779" spans="1:25" ht="15.75" customHeight="1" x14ac:dyDescent="0.25">
      <c r="A779" s="13"/>
      <c r="B779" s="13"/>
      <c r="C779" s="13"/>
      <c r="D779" s="13"/>
      <c r="E779" s="13"/>
      <c r="F779" s="13"/>
      <c r="G779" s="13"/>
      <c r="H779" s="13"/>
      <c r="I779" s="13"/>
      <c r="J779" s="13"/>
      <c r="K779" s="13"/>
      <c r="L779" s="13"/>
      <c r="M779" s="13"/>
      <c r="N779" s="13"/>
      <c r="O779" s="13"/>
      <c r="P779" s="13"/>
      <c r="Q779" s="13"/>
      <c r="R779" s="13"/>
      <c r="S779" s="13"/>
      <c r="T779" s="13"/>
      <c r="U779" s="13"/>
      <c r="V779" s="13"/>
      <c r="W779" s="13"/>
      <c r="X779" s="13"/>
      <c r="Y779" s="13"/>
    </row>
    <row r="780" spans="1:25" ht="15.75" customHeight="1" x14ac:dyDescent="0.25">
      <c r="A780" s="13"/>
      <c r="B780" s="13"/>
      <c r="C780" s="13"/>
      <c r="D780" s="13"/>
      <c r="E780" s="13"/>
      <c r="F780" s="13"/>
      <c r="G780" s="13"/>
      <c r="H780" s="13"/>
      <c r="I780" s="13"/>
      <c r="J780" s="13"/>
      <c r="K780" s="13"/>
      <c r="L780" s="13"/>
      <c r="M780" s="13"/>
      <c r="N780" s="13"/>
      <c r="O780" s="13"/>
      <c r="P780" s="13"/>
      <c r="Q780" s="13"/>
      <c r="R780" s="13"/>
      <c r="S780" s="13"/>
      <c r="T780" s="13"/>
      <c r="U780" s="13"/>
      <c r="V780" s="13"/>
      <c r="W780" s="13"/>
      <c r="X780" s="13"/>
      <c r="Y780" s="13"/>
    </row>
    <row r="781" spans="1:25" ht="15.75" customHeight="1" x14ac:dyDescent="0.25">
      <c r="A781" s="13"/>
      <c r="B781" s="13"/>
      <c r="C781" s="13"/>
      <c r="D781" s="13"/>
      <c r="E781" s="13"/>
      <c r="F781" s="13"/>
      <c r="G781" s="13"/>
      <c r="H781" s="13"/>
      <c r="I781" s="13"/>
      <c r="J781" s="13"/>
      <c r="K781" s="13"/>
      <c r="L781" s="13"/>
      <c r="M781" s="13"/>
      <c r="N781" s="13"/>
      <c r="O781" s="13"/>
      <c r="P781" s="13"/>
      <c r="Q781" s="13"/>
      <c r="R781" s="13"/>
      <c r="S781" s="13"/>
      <c r="T781" s="13"/>
      <c r="U781" s="13"/>
      <c r="V781" s="13"/>
      <c r="W781" s="13"/>
      <c r="X781" s="13"/>
      <c r="Y781" s="13"/>
    </row>
    <row r="782" spans="1:25" ht="15.75" customHeight="1" x14ac:dyDescent="0.25">
      <c r="A782" s="13"/>
      <c r="B782" s="13"/>
      <c r="C782" s="13"/>
      <c r="D782" s="13"/>
      <c r="E782" s="13"/>
      <c r="F782" s="13"/>
      <c r="G782" s="13"/>
      <c r="H782" s="13"/>
      <c r="I782" s="13"/>
      <c r="J782" s="13"/>
      <c r="K782" s="13"/>
      <c r="L782" s="13"/>
      <c r="M782" s="13"/>
      <c r="N782" s="13"/>
      <c r="O782" s="13"/>
      <c r="P782" s="13"/>
      <c r="Q782" s="13"/>
      <c r="R782" s="13"/>
      <c r="S782" s="13"/>
      <c r="T782" s="13"/>
      <c r="U782" s="13"/>
      <c r="V782" s="13"/>
      <c r="W782" s="13"/>
      <c r="X782" s="13"/>
      <c r="Y782" s="13"/>
    </row>
    <row r="783" spans="1:25" ht="15.75" customHeight="1" x14ac:dyDescent="0.25">
      <c r="A783" s="13"/>
      <c r="B783" s="13"/>
      <c r="C783" s="13"/>
      <c r="D783" s="13"/>
      <c r="E783" s="13"/>
      <c r="F783" s="13"/>
      <c r="G783" s="13"/>
      <c r="H783" s="13"/>
      <c r="I783" s="13"/>
      <c r="J783" s="13"/>
      <c r="K783" s="13"/>
      <c r="L783" s="13"/>
      <c r="M783" s="13"/>
      <c r="N783" s="13"/>
      <c r="O783" s="13"/>
      <c r="P783" s="13"/>
      <c r="Q783" s="13"/>
      <c r="R783" s="13"/>
      <c r="S783" s="13"/>
      <c r="T783" s="13"/>
      <c r="U783" s="13"/>
      <c r="V783" s="13"/>
      <c r="W783" s="13"/>
      <c r="X783" s="13"/>
      <c r="Y783" s="13"/>
    </row>
    <row r="784" spans="1:25" ht="15.75" customHeight="1" x14ac:dyDescent="0.25">
      <c r="A784" s="13"/>
      <c r="B784" s="13"/>
      <c r="C784" s="13"/>
      <c r="D784" s="13"/>
      <c r="E784" s="13"/>
      <c r="F784" s="13"/>
      <c r="G784" s="13"/>
      <c r="H784" s="13"/>
      <c r="I784" s="13"/>
      <c r="J784" s="13"/>
      <c r="K784" s="13"/>
      <c r="L784" s="13"/>
      <c r="M784" s="13"/>
      <c r="N784" s="13"/>
      <c r="O784" s="13"/>
      <c r="P784" s="13"/>
      <c r="Q784" s="13"/>
      <c r="R784" s="13"/>
      <c r="S784" s="13"/>
      <c r="T784" s="13"/>
      <c r="U784" s="13"/>
      <c r="V784" s="13"/>
      <c r="W784" s="13"/>
      <c r="X784" s="13"/>
      <c r="Y784" s="13"/>
    </row>
    <row r="785" spans="1:25" ht="15.75" customHeight="1" x14ac:dyDescent="0.25">
      <c r="A785" s="13"/>
      <c r="B785" s="13"/>
      <c r="C785" s="13"/>
      <c r="D785" s="13"/>
      <c r="E785" s="13"/>
      <c r="F785" s="13"/>
      <c r="G785" s="13"/>
      <c r="H785" s="13"/>
      <c r="I785" s="13"/>
      <c r="J785" s="13"/>
      <c r="K785" s="13"/>
      <c r="L785" s="13"/>
      <c r="M785" s="13"/>
      <c r="N785" s="13"/>
      <c r="O785" s="13"/>
      <c r="P785" s="13"/>
      <c r="Q785" s="13"/>
      <c r="R785" s="13"/>
      <c r="S785" s="13"/>
      <c r="T785" s="13"/>
      <c r="U785" s="13"/>
      <c r="V785" s="13"/>
      <c r="W785" s="13"/>
      <c r="X785" s="13"/>
      <c r="Y785" s="13"/>
    </row>
    <row r="786" spans="1:25" ht="15.75" customHeight="1" x14ac:dyDescent="0.25">
      <c r="A786" s="13"/>
      <c r="B786" s="13"/>
      <c r="C786" s="13"/>
      <c r="D786" s="13"/>
      <c r="E786" s="13"/>
      <c r="F786" s="13"/>
      <c r="G786" s="13"/>
      <c r="H786" s="13"/>
      <c r="I786" s="13"/>
      <c r="J786" s="13"/>
      <c r="K786" s="13"/>
      <c r="L786" s="13"/>
      <c r="M786" s="13"/>
      <c r="N786" s="13"/>
      <c r="O786" s="13"/>
      <c r="P786" s="13"/>
      <c r="Q786" s="13"/>
      <c r="R786" s="13"/>
      <c r="S786" s="13"/>
      <c r="T786" s="13"/>
      <c r="U786" s="13"/>
      <c r="V786" s="13"/>
      <c r="W786" s="13"/>
      <c r="X786" s="13"/>
      <c r="Y786" s="13"/>
    </row>
    <row r="787" spans="1:25" ht="15.75" customHeight="1" x14ac:dyDescent="0.25">
      <c r="A787" s="13"/>
      <c r="B787" s="13"/>
      <c r="C787" s="13"/>
      <c r="D787" s="13"/>
      <c r="E787" s="13"/>
      <c r="F787" s="13"/>
      <c r="G787" s="13"/>
      <c r="H787" s="13"/>
      <c r="I787" s="13"/>
      <c r="J787" s="13"/>
      <c r="K787" s="13"/>
      <c r="L787" s="13"/>
      <c r="M787" s="13"/>
      <c r="N787" s="13"/>
      <c r="O787" s="13"/>
      <c r="P787" s="13"/>
      <c r="Q787" s="13"/>
      <c r="R787" s="13"/>
      <c r="S787" s="13"/>
      <c r="T787" s="13"/>
      <c r="U787" s="13"/>
      <c r="V787" s="13"/>
      <c r="W787" s="13"/>
      <c r="X787" s="13"/>
      <c r="Y787" s="13"/>
    </row>
    <row r="788" spans="1:25" ht="15.75" customHeight="1" x14ac:dyDescent="0.25">
      <c r="A788" s="13"/>
      <c r="B788" s="13"/>
      <c r="C788" s="13"/>
      <c r="D788" s="13"/>
      <c r="E788" s="13"/>
      <c r="F788" s="13"/>
      <c r="G788" s="13"/>
      <c r="H788" s="13"/>
      <c r="I788" s="13"/>
      <c r="J788" s="13"/>
      <c r="K788" s="13"/>
      <c r="L788" s="13"/>
      <c r="M788" s="13"/>
      <c r="N788" s="13"/>
      <c r="O788" s="13"/>
      <c r="P788" s="13"/>
      <c r="Q788" s="13"/>
      <c r="R788" s="13"/>
      <c r="S788" s="13"/>
      <c r="T788" s="13"/>
      <c r="U788" s="13"/>
      <c r="V788" s="13"/>
      <c r="W788" s="13"/>
      <c r="X788" s="13"/>
      <c r="Y788" s="13"/>
    </row>
    <row r="789" spans="1:25" ht="15.75" customHeight="1" x14ac:dyDescent="0.25">
      <c r="A789" s="13"/>
      <c r="B789" s="13"/>
      <c r="C789" s="13"/>
      <c r="D789" s="13"/>
      <c r="E789" s="13"/>
      <c r="F789" s="13"/>
      <c r="G789" s="13"/>
      <c r="H789" s="13"/>
      <c r="I789" s="13"/>
      <c r="J789" s="13"/>
      <c r="K789" s="13"/>
      <c r="L789" s="13"/>
      <c r="M789" s="13"/>
      <c r="N789" s="13"/>
      <c r="O789" s="13"/>
      <c r="P789" s="13"/>
      <c r="Q789" s="13"/>
      <c r="R789" s="13"/>
      <c r="S789" s="13"/>
      <c r="T789" s="13"/>
      <c r="U789" s="13"/>
      <c r="V789" s="13"/>
      <c r="W789" s="13"/>
      <c r="X789" s="13"/>
      <c r="Y789" s="13"/>
    </row>
    <row r="790" spans="1:25" ht="15.75" customHeight="1" x14ac:dyDescent="0.25">
      <c r="A790" s="13"/>
      <c r="B790" s="13"/>
      <c r="C790" s="13"/>
      <c r="D790" s="13"/>
      <c r="E790" s="13"/>
      <c r="F790" s="13"/>
      <c r="G790" s="13"/>
      <c r="H790" s="13"/>
      <c r="I790" s="13"/>
      <c r="J790" s="13"/>
      <c r="K790" s="13"/>
      <c r="L790" s="13"/>
      <c r="M790" s="13"/>
      <c r="N790" s="13"/>
      <c r="O790" s="13"/>
      <c r="P790" s="13"/>
      <c r="Q790" s="13"/>
      <c r="R790" s="13"/>
      <c r="S790" s="13"/>
      <c r="T790" s="13"/>
      <c r="U790" s="13"/>
      <c r="V790" s="13"/>
      <c r="W790" s="13"/>
      <c r="X790" s="13"/>
      <c r="Y790" s="13"/>
    </row>
    <row r="791" spans="1:25" ht="15.75" customHeight="1" x14ac:dyDescent="0.25">
      <c r="A791" s="13"/>
      <c r="B791" s="13"/>
      <c r="C791" s="13"/>
      <c r="D791" s="13"/>
      <c r="E791" s="13"/>
      <c r="F791" s="13"/>
      <c r="G791" s="13"/>
      <c r="H791" s="13"/>
      <c r="I791" s="13"/>
      <c r="J791" s="13"/>
      <c r="K791" s="13"/>
      <c r="L791" s="13"/>
      <c r="M791" s="13"/>
      <c r="N791" s="13"/>
      <c r="O791" s="13"/>
      <c r="P791" s="13"/>
      <c r="Q791" s="13"/>
      <c r="R791" s="13"/>
      <c r="S791" s="13"/>
      <c r="T791" s="13"/>
      <c r="U791" s="13"/>
      <c r="V791" s="13"/>
      <c r="W791" s="13"/>
      <c r="X791" s="13"/>
      <c r="Y791" s="13"/>
    </row>
    <row r="792" spans="1:25" ht="15.75" customHeight="1" x14ac:dyDescent="0.25">
      <c r="A792" s="13"/>
      <c r="B792" s="13"/>
      <c r="C792" s="13"/>
      <c r="D792" s="13"/>
      <c r="E792" s="13"/>
      <c r="F792" s="13"/>
      <c r="G792" s="13"/>
      <c r="H792" s="13"/>
      <c r="I792" s="13"/>
      <c r="J792" s="13"/>
      <c r="K792" s="13"/>
      <c r="L792" s="13"/>
      <c r="M792" s="13"/>
      <c r="N792" s="13"/>
      <c r="O792" s="13"/>
      <c r="P792" s="13"/>
      <c r="Q792" s="13"/>
      <c r="R792" s="13"/>
      <c r="S792" s="13"/>
      <c r="T792" s="13"/>
      <c r="U792" s="13"/>
      <c r="V792" s="13"/>
      <c r="W792" s="13"/>
      <c r="X792" s="13"/>
      <c r="Y792" s="13"/>
    </row>
    <row r="793" spans="1:25" ht="15.75" customHeight="1" x14ac:dyDescent="0.25">
      <c r="A793" s="13"/>
      <c r="B793" s="13"/>
      <c r="C793" s="13"/>
      <c r="D793" s="13"/>
      <c r="E793" s="13"/>
      <c r="F793" s="13"/>
      <c r="G793" s="13"/>
      <c r="H793" s="13"/>
      <c r="I793" s="13"/>
      <c r="J793" s="13"/>
      <c r="K793" s="13"/>
      <c r="L793" s="13"/>
      <c r="M793" s="13"/>
      <c r="N793" s="13"/>
      <c r="O793" s="13"/>
      <c r="P793" s="13"/>
      <c r="Q793" s="13"/>
      <c r="R793" s="13"/>
      <c r="S793" s="13"/>
      <c r="T793" s="13"/>
      <c r="U793" s="13"/>
      <c r="V793" s="13"/>
      <c r="W793" s="13"/>
      <c r="X793" s="13"/>
      <c r="Y793" s="13"/>
    </row>
    <row r="794" spans="1:25" ht="15.75" customHeight="1" x14ac:dyDescent="0.25">
      <c r="A794" s="13"/>
      <c r="B794" s="13"/>
      <c r="C794" s="13"/>
      <c r="D794" s="13"/>
      <c r="E794" s="13"/>
      <c r="F794" s="13"/>
      <c r="G794" s="13"/>
      <c r="H794" s="13"/>
      <c r="I794" s="13"/>
      <c r="J794" s="13"/>
      <c r="K794" s="13"/>
      <c r="L794" s="13"/>
      <c r="M794" s="13"/>
      <c r="N794" s="13"/>
      <c r="O794" s="13"/>
      <c r="P794" s="13"/>
      <c r="Q794" s="13"/>
      <c r="R794" s="13"/>
      <c r="S794" s="13"/>
      <c r="T794" s="13"/>
      <c r="U794" s="13"/>
      <c r="V794" s="13"/>
      <c r="W794" s="13"/>
      <c r="X794" s="13"/>
      <c r="Y794" s="13"/>
    </row>
    <row r="795" spans="1:25" ht="15.75" customHeight="1" x14ac:dyDescent="0.25">
      <c r="A795" s="13"/>
      <c r="B795" s="13"/>
      <c r="C795" s="13"/>
      <c r="D795" s="13"/>
      <c r="E795" s="13"/>
      <c r="F795" s="13"/>
      <c r="G795" s="13"/>
      <c r="H795" s="13"/>
      <c r="I795" s="13"/>
      <c r="J795" s="13"/>
      <c r="K795" s="13"/>
      <c r="L795" s="13"/>
      <c r="M795" s="13"/>
      <c r="N795" s="13"/>
      <c r="O795" s="13"/>
      <c r="P795" s="13"/>
      <c r="Q795" s="13"/>
      <c r="R795" s="13"/>
      <c r="S795" s="13"/>
      <c r="T795" s="13"/>
      <c r="U795" s="13"/>
      <c r="V795" s="13"/>
      <c r="W795" s="13"/>
      <c r="X795" s="13"/>
      <c r="Y795" s="13"/>
    </row>
    <row r="796" spans="1:25" ht="15.75" customHeight="1" x14ac:dyDescent="0.25">
      <c r="A796" s="13"/>
      <c r="B796" s="13"/>
      <c r="C796" s="13"/>
      <c r="D796" s="13"/>
      <c r="E796" s="13"/>
      <c r="F796" s="13"/>
      <c r="G796" s="13"/>
      <c r="H796" s="13"/>
      <c r="I796" s="13"/>
      <c r="J796" s="13"/>
      <c r="K796" s="13"/>
      <c r="L796" s="13"/>
      <c r="M796" s="13"/>
      <c r="N796" s="13"/>
      <c r="O796" s="13"/>
      <c r="P796" s="13"/>
      <c r="Q796" s="13"/>
      <c r="R796" s="13"/>
      <c r="S796" s="13"/>
      <c r="T796" s="13"/>
      <c r="U796" s="13"/>
      <c r="V796" s="13"/>
      <c r="W796" s="13"/>
      <c r="X796" s="13"/>
      <c r="Y796" s="13"/>
    </row>
    <row r="797" spans="1:25" ht="15.75" customHeight="1" x14ac:dyDescent="0.25">
      <c r="A797" s="13"/>
      <c r="B797" s="13"/>
      <c r="C797" s="13"/>
      <c r="D797" s="13"/>
      <c r="E797" s="13"/>
      <c r="F797" s="13"/>
      <c r="G797" s="13"/>
      <c r="H797" s="13"/>
      <c r="I797" s="13"/>
      <c r="J797" s="13"/>
      <c r="K797" s="13"/>
      <c r="L797" s="13"/>
      <c r="M797" s="13"/>
      <c r="N797" s="13"/>
      <c r="O797" s="13"/>
      <c r="P797" s="13"/>
      <c r="Q797" s="13"/>
      <c r="R797" s="13"/>
      <c r="S797" s="13"/>
      <c r="T797" s="13"/>
      <c r="U797" s="13"/>
      <c r="V797" s="13"/>
      <c r="W797" s="13"/>
      <c r="X797" s="13"/>
      <c r="Y797" s="13"/>
    </row>
    <row r="798" spans="1:25" ht="15.75" customHeight="1" x14ac:dyDescent="0.25">
      <c r="A798" s="13"/>
      <c r="B798" s="13"/>
      <c r="C798" s="13"/>
      <c r="D798" s="13"/>
      <c r="E798" s="13"/>
      <c r="F798" s="13"/>
      <c r="G798" s="13"/>
      <c r="H798" s="13"/>
      <c r="I798" s="13"/>
      <c r="J798" s="13"/>
      <c r="K798" s="13"/>
      <c r="L798" s="13"/>
      <c r="M798" s="13"/>
      <c r="N798" s="13"/>
      <c r="O798" s="13"/>
      <c r="P798" s="13"/>
      <c r="Q798" s="13"/>
      <c r="R798" s="13"/>
      <c r="S798" s="13"/>
      <c r="T798" s="13"/>
      <c r="U798" s="13"/>
      <c r="V798" s="13"/>
      <c r="W798" s="13"/>
      <c r="X798" s="13"/>
      <c r="Y798" s="13"/>
    </row>
    <row r="799" spans="1:25" ht="15.75" customHeight="1" x14ac:dyDescent="0.25">
      <c r="A799" s="13"/>
      <c r="B799" s="13"/>
      <c r="C799" s="13"/>
      <c r="D799" s="13"/>
      <c r="E799" s="13"/>
      <c r="F799" s="13"/>
      <c r="G799" s="13"/>
      <c r="H799" s="13"/>
      <c r="I799" s="13"/>
      <c r="J799" s="13"/>
      <c r="K799" s="13"/>
      <c r="L799" s="13"/>
      <c r="M799" s="13"/>
      <c r="N799" s="13"/>
      <c r="O799" s="13"/>
      <c r="P799" s="13"/>
      <c r="Q799" s="13"/>
      <c r="R799" s="13"/>
      <c r="S799" s="13"/>
      <c r="T799" s="13"/>
      <c r="U799" s="13"/>
      <c r="V799" s="13"/>
      <c r="W799" s="13"/>
      <c r="X799" s="13"/>
      <c r="Y799" s="13"/>
    </row>
    <row r="800" spans="1:25" ht="15.75" customHeight="1" x14ac:dyDescent="0.25">
      <c r="A800" s="13"/>
      <c r="B800" s="13"/>
      <c r="C800" s="13"/>
      <c r="D800" s="13"/>
      <c r="E800" s="13"/>
      <c r="F800" s="13"/>
      <c r="G800" s="13"/>
      <c r="H800" s="13"/>
      <c r="I800" s="13"/>
      <c r="J800" s="13"/>
      <c r="K800" s="13"/>
      <c r="L800" s="13"/>
      <c r="M800" s="13"/>
      <c r="N800" s="13"/>
      <c r="O800" s="13"/>
      <c r="P800" s="13"/>
      <c r="Q800" s="13"/>
      <c r="R800" s="13"/>
      <c r="S800" s="13"/>
      <c r="T800" s="13"/>
      <c r="U800" s="13"/>
      <c r="V800" s="13"/>
      <c r="W800" s="13"/>
      <c r="X800" s="13"/>
      <c r="Y800" s="13"/>
    </row>
    <row r="801" spans="1:25" ht="15.75" customHeight="1" x14ac:dyDescent="0.25">
      <c r="A801" s="13"/>
      <c r="B801" s="13"/>
      <c r="C801" s="13"/>
      <c r="D801" s="13"/>
      <c r="E801" s="13"/>
      <c r="F801" s="13"/>
      <c r="G801" s="13"/>
      <c r="H801" s="13"/>
      <c r="I801" s="13"/>
      <c r="J801" s="13"/>
      <c r="K801" s="13"/>
      <c r="L801" s="13"/>
      <c r="M801" s="13"/>
      <c r="N801" s="13"/>
      <c r="O801" s="13"/>
      <c r="P801" s="13"/>
      <c r="Q801" s="13"/>
      <c r="R801" s="13"/>
      <c r="S801" s="13"/>
      <c r="T801" s="13"/>
      <c r="U801" s="13"/>
      <c r="V801" s="13"/>
      <c r="W801" s="13"/>
      <c r="X801" s="13"/>
      <c r="Y801" s="13"/>
    </row>
    <row r="802" spans="1:25" ht="15.75" customHeight="1" x14ac:dyDescent="0.25">
      <c r="A802" s="13"/>
      <c r="B802" s="13"/>
      <c r="C802" s="13"/>
      <c r="D802" s="13"/>
      <c r="E802" s="13"/>
      <c r="F802" s="13"/>
      <c r="G802" s="13"/>
      <c r="H802" s="13"/>
      <c r="I802" s="13"/>
      <c r="J802" s="13"/>
      <c r="K802" s="13"/>
      <c r="L802" s="13"/>
      <c r="M802" s="13"/>
      <c r="N802" s="13"/>
      <c r="O802" s="13"/>
      <c r="P802" s="13"/>
      <c r="Q802" s="13"/>
      <c r="R802" s="13"/>
      <c r="S802" s="13"/>
      <c r="T802" s="13"/>
      <c r="U802" s="13"/>
      <c r="V802" s="13"/>
      <c r="W802" s="13"/>
      <c r="X802" s="13"/>
      <c r="Y802" s="13"/>
    </row>
    <row r="803" spans="1:25" ht="15.75" customHeight="1" x14ac:dyDescent="0.25">
      <c r="A803" s="13"/>
      <c r="B803" s="13"/>
      <c r="C803" s="13"/>
      <c r="D803" s="13"/>
      <c r="E803" s="13"/>
      <c r="F803" s="13"/>
      <c r="G803" s="13"/>
      <c r="H803" s="13"/>
      <c r="I803" s="13"/>
      <c r="J803" s="13"/>
      <c r="K803" s="13"/>
      <c r="L803" s="13"/>
      <c r="M803" s="13"/>
      <c r="N803" s="13"/>
      <c r="O803" s="13"/>
      <c r="P803" s="13"/>
      <c r="Q803" s="13"/>
      <c r="R803" s="13"/>
      <c r="S803" s="13"/>
      <c r="T803" s="13"/>
      <c r="U803" s="13"/>
      <c r="V803" s="13"/>
      <c r="W803" s="13"/>
      <c r="X803" s="13"/>
      <c r="Y803" s="13"/>
    </row>
    <row r="804" spans="1:25" ht="15.75" customHeight="1" x14ac:dyDescent="0.25">
      <c r="A804" s="13"/>
      <c r="B804" s="13"/>
      <c r="C804" s="13"/>
      <c r="D804" s="13"/>
      <c r="E804" s="13"/>
      <c r="F804" s="13"/>
      <c r="G804" s="13"/>
      <c r="H804" s="13"/>
      <c r="I804" s="13"/>
      <c r="J804" s="13"/>
      <c r="K804" s="13"/>
      <c r="L804" s="13"/>
      <c r="M804" s="13"/>
      <c r="N804" s="13"/>
      <c r="O804" s="13"/>
      <c r="P804" s="13"/>
      <c r="Q804" s="13"/>
      <c r="R804" s="13"/>
      <c r="S804" s="13"/>
      <c r="T804" s="13"/>
      <c r="U804" s="13"/>
      <c r="V804" s="13"/>
      <c r="W804" s="13"/>
      <c r="X804" s="13"/>
      <c r="Y804" s="13"/>
    </row>
    <row r="805" spans="1:25" ht="15.75" customHeight="1" x14ac:dyDescent="0.25">
      <c r="A805" s="13"/>
      <c r="B805" s="13"/>
      <c r="C805" s="13"/>
      <c r="D805" s="13"/>
      <c r="E805" s="13"/>
      <c r="F805" s="13"/>
      <c r="G805" s="13"/>
      <c r="H805" s="13"/>
      <c r="I805" s="13"/>
      <c r="J805" s="13"/>
      <c r="K805" s="13"/>
      <c r="L805" s="13"/>
      <c r="M805" s="13"/>
      <c r="N805" s="13"/>
      <c r="O805" s="13"/>
      <c r="P805" s="13"/>
      <c r="Q805" s="13"/>
      <c r="R805" s="13"/>
      <c r="S805" s="13"/>
      <c r="T805" s="13"/>
      <c r="U805" s="13"/>
      <c r="V805" s="13"/>
      <c r="W805" s="13"/>
      <c r="X805" s="13"/>
      <c r="Y805" s="13"/>
    </row>
    <row r="806" spans="1:25" ht="15.75" customHeight="1" x14ac:dyDescent="0.25">
      <c r="A806" s="13"/>
      <c r="B806" s="13"/>
      <c r="C806" s="13"/>
      <c r="D806" s="13"/>
      <c r="E806" s="13"/>
      <c r="F806" s="13"/>
      <c r="G806" s="13"/>
      <c r="H806" s="13"/>
      <c r="I806" s="13"/>
      <c r="J806" s="13"/>
      <c r="K806" s="13"/>
      <c r="L806" s="13"/>
      <c r="M806" s="13"/>
      <c r="N806" s="13"/>
      <c r="O806" s="13"/>
      <c r="P806" s="13"/>
      <c r="Q806" s="13"/>
      <c r="R806" s="13"/>
      <c r="S806" s="13"/>
      <c r="T806" s="13"/>
      <c r="U806" s="13"/>
      <c r="V806" s="13"/>
      <c r="W806" s="13"/>
      <c r="X806" s="13"/>
      <c r="Y806" s="13"/>
    </row>
    <row r="807" spans="1:25" ht="15.75" customHeight="1" x14ac:dyDescent="0.25">
      <c r="A807" s="13"/>
      <c r="B807" s="13"/>
      <c r="C807" s="13"/>
      <c r="D807" s="13"/>
      <c r="E807" s="13"/>
      <c r="F807" s="13"/>
      <c r="G807" s="13"/>
      <c r="H807" s="13"/>
      <c r="I807" s="13"/>
      <c r="J807" s="13"/>
      <c r="K807" s="13"/>
      <c r="L807" s="13"/>
      <c r="M807" s="13"/>
      <c r="N807" s="13"/>
      <c r="O807" s="13"/>
      <c r="P807" s="13"/>
      <c r="Q807" s="13"/>
      <c r="R807" s="13"/>
      <c r="S807" s="13"/>
      <c r="T807" s="13"/>
      <c r="U807" s="13"/>
      <c r="V807" s="13"/>
      <c r="W807" s="13"/>
      <c r="X807" s="13"/>
      <c r="Y807" s="13"/>
    </row>
    <row r="808" spans="1:25" ht="15.75" customHeight="1" x14ac:dyDescent="0.25">
      <c r="A808" s="13"/>
      <c r="B808" s="13"/>
      <c r="C808" s="13"/>
      <c r="D808" s="13"/>
      <c r="E808" s="13"/>
      <c r="F808" s="13"/>
      <c r="G808" s="13"/>
      <c r="H808" s="13"/>
      <c r="I808" s="13"/>
      <c r="J808" s="13"/>
      <c r="K808" s="13"/>
      <c r="L808" s="13"/>
      <c r="M808" s="13"/>
      <c r="N808" s="13"/>
      <c r="O808" s="13"/>
      <c r="P808" s="13"/>
      <c r="Q808" s="13"/>
      <c r="R808" s="13"/>
      <c r="S808" s="13"/>
      <c r="T808" s="13"/>
      <c r="U808" s="13"/>
      <c r="V808" s="13"/>
      <c r="W808" s="13"/>
      <c r="X808" s="13"/>
      <c r="Y808" s="13"/>
    </row>
    <row r="809" spans="1:25" ht="15.75" customHeight="1" x14ac:dyDescent="0.25">
      <c r="A809" s="13"/>
      <c r="B809" s="13"/>
      <c r="C809" s="13"/>
      <c r="D809" s="13"/>
      <c r="E809" s="13"/>
      <c r="F809" s="13"/>
      <c r="G809" s="13"/>
      <c r="H809" s="13"/>
      <c r="I809" s="13"/>
      <c r="J809" s="13"/>
      <c r="K809" s="13"/>
      <c r="L809" s="13"/>
      <c r="M809" s="13"/>
      <c r="N809" s="13"/>
      <c r="O809" s="13"/>
      <c r="P809" s="13"/>
      <c r="Q809" s="13"/>
      <c r="R809" s="13"/>
      <c r="S809" s="13"/>
      <c r="T809" s="13"/>
      <c r="U809" s="13"/>
      <c r="V809" s="13"/>
      <c r="W809" s="13"/>
      <c r="X809" s="13"/>
      <c r="Y809" s="13"/>
    </row>
    <row r="810" spans="1:25" ht="15.75" customHeight="1" x14ac:dyDescent="0.25">
      <c r="A810" s="13"/>
      <c r="B810" s="13"/>
      <c r="C810" s="13"/>
      <c r="D810" s="13"/>
      <c r="E810" s="13"/>
      <c r="F810" s="13"/>
      <c r="G810" s="13"/>
      <c r="H810" s="13"/>
      <c r="I810" s="13"/>
      <c r="J810" s="13"/>
      <c r="K810" s="13"/>
      <c r="L810" s="13"/>
      <c r="M810" s="13"/>
      <c r="N810" s="13"/>
      <c r="O810" s="13"/>
      <c r="P810" s="13"/>
      <c r="Q810" s="13"/>
      <c r="R810" s="13"/>
      <c r="S810" s="13"/>
      <c r="T810" s="13"/>
      <c r="U810" s="13"/>
      <c r="V810" s="13"/>
      <c r="W810" s="13"/>
      <c r="X810" s="13"/>
      <c r="Y810" s="13"/>
    </row>
    <row r="811" spans="1:25" ht="15.75" customHeight="1" x14ac:dyDescent="0.25">
      <c r="A811" s="13"/>
      <c r="B811" s="13"/>
      <c r="C811" s="13"/>
      <c r="D811" s="13"/>
      <c r="E811" s="13"/>
      <c r="F811" s="13"/>
      <c r="G811" s="13"/>
      <c r="H811" s="13"/>
      <c r="I811" s="13"/>
      <c r="J811" s="13"/>
      <c r="K811" s="13"/>
      <c r="L811" s="13"/>
      <c r="M811" s="13"/>
      <c r="N811" s="13"/>
      <c r="O811" s="13"/>
      <c r="P811" s="13"/>
      <c r="Q811" s="13"/>
      <c r="R811" s="13"/>
      <c r="S811" s="13"/>
      <c r="T811" s="13"/>
      <c r="U811" s="13"/>
      <c r="V811" s="13"/>
      <c r="W811" s="13"/>
      <c r="X811" s="13"/>
      <c r="Y811" s="13"/>
    </row>
    <row r="812" spans="1:25" ht="15.75" customHeight="1" x14ac:dyDescent="0.25">
      <c r="A812" s="13"/>
      <c r="B812" s="13"/>
      <c r="C812" s="13"/>
      <c r="D812" s="13"/>
      <c r="E812" s="13"/>
      <c r="F812" s="13"/>
      <c r="G812" s="13"/>
      <c r="H812" s="13"/>
      <c r="I812" s="13"/>
      <c r="J812" s="13"/>
      <c r="K812" s="13"/>
      <c r="L812" s="13"/>
      <c r="M812" s="13"/>
      <c r="N812" s="13"/>
      <c r="O812" s="13"/>
      <c r="P812" s="13"/>
      <c r="Q812" s="13"/>
      <c r="R812" s="13"/>
      <c r="S812" s="13"/>
      <c r="T812" s="13"/>
      <c r="U812" s="13"/>
      <c r="V812" s="13"/>
      <c r="W812" s="13"/>
      <c r="X812" s="13"/>
      <c r="Y812" s="13"/>
    </row>
    <row r="813" spans="1:25" ht="15.75" customHeight="1" x14ac:dyDescent="0.25">
      <c r="A813" s="13"/>
      <c r="B813" s="13"/>
      <c r="C813" s="13"/>
      <c r="D813" s="13"/>
      <c r="E813" s="13"/>
      <c r="F813" s="13"/>
      <c r="G813" s="13"/>
      <c r="H813" s="13"/>
      <c r="I813" s="13"/>
      <c r="J813" s="13"/>
      <c r="K813" s="13"/>
      <c r="L813" s="13"/>
      <c r="M813" s="13"/>
      <c r="N813" s="13"/>
      <c r="O813" s="13"/>
      <c r="P813" s="13"/>
      <c r="Q813" s="13"/>
      <c r="R813" s="13"/>
      <c r="S813" s="13"/>
      <c r="T813" s="13"/>
      <c r="U813" s="13"/>
      <c r="V813" s="13"/>
      <c r="W813" s="13"/>
      <c r="X813" s="13"/>
      <c r="Y813" s="13"/>
    </row>
    <row r="814" spans="1:25" ht="15.75" customHeight="1" x14ac:dyDescent="0.25">
      <c r="A814" s="13"/>
      <c r="B814" s="13"/>
      <c r="C814" s="13"/>
      <c r="D814" s="13"/>
      <c r="E814" s="13"/>
      <c r="F814" s="13"/>
      <c r="G814" s="13"/>
      <c r="H814" s="13"/>
      <c r="I814" s="13"/>
      <c r="J814" s="13"/>
      <c r="K814" s="13"/>
      <c r="L814" s="13"/>
      <c r="M814" s="13"/>
      <c r="N814" s="13"/>
      <c r="O814" s="13"/>
      <c r="P814" s="13"/>
      <c r="Q814" s="13"/>
      <c r="R814" s="13"/>
      <c r="S814" s="13"/>
      <c r="T814" s="13"/>
      <c r="U814" s="13"/>
      <c r="V814" s="13"/>
      <c r="W814" s="13"/>
      <c r="X814" s="13"/>
      <c r="Y814" s="13"/>
    </row>
    <row r="815" spans="1:25" ht="15.75" customHeight="1" x14ac:dyDescent="0.25">
      <c r="A815" s="13"/>
      <c r="B815" s="13"/>
      <c r="C815" s="13"/>
      <c r="D815" s="13"/>
      <c r="E815" s="13"/>
      <c r="F815" s="13"/>
      <c r="G815" s="13"/>
      <c r="H815" s="13"/>
      <c r="I815" s="13"/>
      <c r="J815" s="13"/>
      <c r="K815" s="13"/>
      <c r="L815" s="13"/>
      <c r="M815" s="13"/>
      <c r="N815" s="13"/>
      <c r="O815" s="13"/>
      <c r="P815" s="13"/>
      <c r="Q815" s="13"/>
      <c r="R815" s="13"/>
      <c r="S815" s="13"/>
      <c r="T815" s="13"/>
      <c r="U815" s="13"/>
      <c r="V815" s="13"/>
      <c r="W815" s="13"/>
      <c r="X815" s="13"/>
      <c r="Y815" s="13"/>
    </row>
    <row r="816" spans="1:25" ht="15.75" customHeight="1" x14ac:dyDescent="0.25">
      <c r="A816" s="13"/>
      <c r="B816" s="13"/>
      <c r="C816" s="13"/>
      <c r="D816" s="13"/>
      <c r="E816" s="13"/>
      <c r="F816" s="13"/>
      <c r="G816" s="13"/>
      <c r="H816" s="13"/>
      <c r="I816" s="13"/>
      <c r="J816" s="13"/>
      <c r="K816" s="13"/>
      <c r="L816" s="13"/>
      <c r="M816" s="13"/>
      <c r="N816" s="13"/>
      <c r="O816" s="13"/>
      <c r="P816" s="13"/>
      <c r="Q816" s="13"/>
      <c r="R816" s="13"/>
      <c r="S816" s="13"/>
      <c r="T816" s="13"/>
      <c r="U816" s="13"/>
      <c r="V816" s="13"/>
      <c r="W816" s="13"/>
      <c r="X816" s="13"/>
      <c r="Y816" s="13"/>
    </row>
    <row r="817" spans="1:25" ht="15.75" customHeight="1" x14ac:dyDescent="0.25">
      <c r="A817" s="13"/>
      <c r="B817" s="13"/>
      <c r="C817" s="13"/>
      <c r="D817" s="13"/>
      <c r="E817" s="13"/>
      <c r="F817" s="13"/>
      <c r="G817" s="13"/>
      <c r="H817" s="13"/>
      <c r="I817" s="13"/>
      <c r="J817" s="13"/>
      <c r="K817" s="13"/>
      <c r="L817" s="13"/>
      <c r="M817" s="13"/>
      <c r="N817" s="13"/>
      <c r="O817" s="13"/>
      <c r="P817" s="13"/>
      <c r="Q817" s="13"/>
      <c r="R817" s="13"/>
      <c r="S817" s="13"/>
      <c r="T817" s="13"/>
      <c r="U817" s="13"/>
      <c r="V817" s="13"/>
      <c r="W817" s="13"/>
      <c r="X817" s="13"/>
      <c r="Y817" s="13"/>
    </row>
    <row r="818" spans="1:25" ht="15.75" customHeight="1" x14ac:dyDescent="0.25">
      <c r="A818" s="13"/>
      <c r="B818" s="13"/>
      <c r="C818" s="13"/>
      <c r="D818" s="13"/>
      <c r="E818" s="13"/>
      <c r="F818" s="13"/>
      <c r="G818" s="13"/>
      <c r="H818" s="13"/>
      <c r="I818" s="13"/>
      <c r="J818" s="13"/>
      <c r="K818" s="13"/>
      <c r="L818" s="13"/>
      <c r="M818" s="13"/>
      <c r="N818" s="13"/>
      <c r="O818" s="13"/>
      <c r="P818" s="13"/>
      <c r="Q818" s="13"/>
      <c r="R818" s="13"/>
      <c r="S818" s="13"/>
      <c r="T818" s="13"/>
      <c r="U818" s="13"/>
      <c r="V818" s="13"/>
      <c r="W818" s="13"/>
      <c r="X818" s="13"/>
      <c r="Y818" s="13"/>
    </row>
    <row r="819" spans="1:25" ht="15.75" customHeight="1" x14ac:dyDescent="0.25">
      <c r="A819" s="13"/>
      <c r="B819" s="13"/>
      <c r="C819" s="13"/>
      <c r="D819" s="13"/>
      <c r="E819" s="13"/>
      <c r="F819" s="13"/>
      <c r="G819" s="13"/>
      <c r="H819" s="13"/>
      <c r="I819" s="13"/>
      <c r="J819" s="13"/>
      <c r="K819" s="13"/>
      <c r="L819" s="13"/>
      <c r="M819" s="13"/>
      <c r="N819" s="13"/>
      <c r="O819" s="13"/>
      <c r="P819" s="13"/>
      <c r="Q819" s="13"/>
      <c r="R819" s="13"/>
      <c r="S819" s="13"/>
      <c r="T819" s="13"/>
      <c r="U819" s="13"/>
      <c r="V819" s="13"/>
      <c r="W819" s="13"/>
      <c r="X819" s="13"/>
      <c r="Y819" s="13"/>
    </row>
    <row r="820" spans="1:25" ht="15.75" customHeight="1" x14ac:dyDescent="0.25">
      <c r="A820" s="13"/>
      <c r="B820" s="13"/>
      <c r="C820" s="13"/>
      <c r="D820" s="13"/>
      <c r="E820" s="13"/>
      <c r="F820" s="13"/>
      <c r="G820" s="13"/>
      <c r="H820" s="13"/>
      <c r="I820" s="13"/>
      <c r="J820" s="13"/>
      <c r="K820" s="13"/>
      <c r="L820" s="13"/>
      <c r="M820" s="13"/>
      <c r="N820" s="13"/>
      <c r="O820" s="13"/>
      <c r="P820" s="13"/>
      <c r="Q820" s="13"/>
      <c r="R820" s="13"/>
      <c r="S820" s="13"/>
      <c r="T820" s="13"/>
      <c r="U820" s="13"/>
      <c r="V820" s="13"/>
      <c r="W820" s="13"/>
      <c r="X820" s="13"/>
      <c r="Y820" s="13"/>
    </row>
    <row r="821" spans="1:25" ht="15.75" customHeight="1" x14ac:dyDescent="0.25">
      <c r="A821" s="13"/>
      <c r="B821" s="13"/>
      <c r="C821" s="13"/>
      <c r="D821" s="13"/>
      <c r="E821" s="13"/>
      <c r="F821" s="13"/>
      <c r="G821" s="13"/>
      <c r="H821" s="13"/>
      <c r="I821" s="13"/>
      <c r="J821" s="13"/>
      <c r="K821" s="13"/>
      <c r="L821" s="13"/>
      <c r="M821" s="13"/>
      <c r="N821" s="13"/>
      <c r="O821" s="13"/>
      <c r="P821" s="13"/>
      <c r="Q821" s="13"/>
      <c r="R821" s="13"/>
      <c r="S821" s="13"/>
      <c r="T821" s="13"/>
      <c r="U821" s="13"/>
      <c r="V821" s="13"/>
      <c r="W821" s="13"/>
      <c r="X821" s="13"/>
      <c r="Y821" s="13"/>
    </row>
    <row r="822" spans="1:25" ht="15.75" customHeight="1" x14ac:dyDescent="0.25">
      <c r="A822" s="13"/>
      <c r="B822" s="13"/>
      <c r="C822" s="13"/>
      <c r="D822" s="13"/>
      <c r="E822" s="13"/>
      <c r="F822" s="13"/>
      <c r="G822" s="13"/>
      <c r="H822" s="13"/>
      <c r="I822" s="13"/>
      <c r="J822" s="13"/>
      <c r="K822" s="13"/>
      <c r="L822" s="13"/>
      <c r="M822" s="13"/>
      <c r="N822" s="13"/>
      <c r="O822" s="13"/>
      <c r="P822" s="13"/>
      <c r="Q822" s="13"/>
      <c r="R822" s="13"/>
      <c r="S822" s="13"/>
      <c r="T822" s="13"/>
      <c r="U822" s="13"/>
      <c r="V822" s="13"/>
      <c r="W822" s="13"/>
      <c r="X822" s="13"/>
      <c r="Y822" s="13"/>
    </row>
    <row r="823" spans="1:25" ht="15.75" customHeight="1" x14ac:dyDescent="0.25">
      <c r="A823" s="13"/>
      <c r="B823" s="13"/>
      <c r="C823" s="13"/>
      <c r="D823" s="13"/>
      <c r="E823" s="13"/>
      <c r="F823" s="13"/>
      <c r="G823" s="13"/>
      <c r="H823" s="13"/>
      <c r="I823" s="13"/>
      <c r="J823" s="13"/>
      <c r="K823" s="13"/>
      <c r="L823" s="13"/>
      <c r="M823" s="13"/>
      <c r="N823" s="13"/>
      <c r="O823" s="13"/>
      <c r="P823" s="13"/>
      <c r="Q823" s="13"/>
      <c r="R823" s="13"/>
      <c r="S823" s="13"/>
      <c r="T823" s="13"/>
      <c r="U823" s="13"/>
      <c r="V823" s="13"/>
      <c r="W823" s="13"/>
      <c r="X823" s="13"/>
      <c r="Y823" s="13"/>
    </row>
    <row r="824" spans="1:25" ht="15.75" customHeight="1" x14ac:dyDescent="0.25">
      <c r="A824" s="13"/>
      <c r="B824" s="13"/>
      <c r="C824" s="13"/>
      <c r="D824" s="13"/>
      <c r="E824" s="13"/>
      <c r="F824" s="13"/>
      <c r="G824" s="13"/>
      <c r="H824" s="13"/>
      <c r="I824" s="13"/>
      <c r="J824" s="13"/>
      <c r="K824" s="13"/>
      <c r="L824" s="13"/>
      <c r="M824" s="13"/>
      <c r="N824" s="13"/>
      <c r="O824" s="13"/>
      <c r="P824" s="13"/>
      <c r="Q824" s="13"/>
      <c r="R824" s="13"/>
      <c r="S824" s="13"/>
      <c r="T824" s="13"/>
      <c r="U824" s="13"/>
      <c r="V824" s="13"/>
      <c r="W824" s="13"/>
      <c r="X824" s="13"/>
      <c r="Y824" s="13"/>
    </row>
    <row r="825" spans="1:25" ht="15.75" customHeight="1" x14ac:dyDescent="0.25">
      <c r="A825" s="13"/>
      <c r="B825" s="13"/>
      <c r="C825" s="13"/>
      <c r="D825" s="13"/>
      <c r="E825" s="13"/>
      <c r="F825" s="13"/>
      <c r="G825" s="13"/>
      <c r="H825" s="13"/>
      <c r="I825" s="13"/>
      <c r="J825" s="13"/>
      <c r="K825" s="13"/>
      <c r="L825" s="13"/>
      <c r="M825" s="13"/>
      <c r="N825" s="13"/>
      <c r="O825" s="13"/>
      <c r="P825" s="13"/>
      <c r="Q825" s="13"/>
      <c r="R825" s="13"/>
      <c r="S825" s="13"/>
      <c r="T825" s="13"/>
      <c r="U825" s="13"/>
      <c r="V825" s="13"/>
      <c r="W825" s="13"/>
      <c r="X825" s="13"/>
      <c r="Y825" s="13"/>
    </row>
    <row r="826" spans="1:25" ht="15.75" customHeight="1" x14ac:dyDescent="0.25">
      <c r="A826" s="13"/>
      <c r="B826" s="13"/>
      <c r="C826" s="13"/>
      <c r="D826" s="13"/>
      <c r="E826" s="13"/>
      <c r="F826" s="13"/>
      <c r="G826" s="13"/>
      <c r="H826" s="13"/>
      <c r="I826" s="13"/>
      <c r="J826" s="13"/>
      <c r="K826" s="13"/>
      <c r="L826" s="13"/>
      <c r="M826" s="13"/>
      <c r="N826" s="13"/>
      <c r="O826" s="13"/>
      <c r="P826" s="13"/>
      <c r="Q826" s="13"/>
      <c r="R826" s="13"/>
      <c r="S826" s="13"/>
      <c r="T826" s="13"/>
      <c r="U826" s="13"/>
      <c r="V826" s="13"/>
      <c r="W826" s="13"/>
      <c r="X826" s="13"/>
      <c r="Y826" s="13"/>
    </row>
    <row r="827" spans="1:25" ht="15.75" customHeight="1" x14ac:dyDescent="0.25">
      <c r="A827" s="13"/>
      <c r="B827" s="13"/>
      <c r="C827" s="13"/>
      <c r="D827" s="13"/>
      <c r="E827" s="13"/>
      <c r="F827" s="13"/>
      <c r="G827" s="13"/>
      <c r="H827" s="13"/>
      <c r="I827" s="13"/>
      <c r="J827" s="13"/>
      <c r="K827" s="13"/>
      <c r="L827" s="13"/>
      <c r="M827" s="13"/>
      <c r="N827" s="13"/>
      <c r="O827" s="13"/>
      <c r="P827" s="13"/>
      <c r="Q827" s="13"/>
      <c r="R827" s="13"/>
      <c r="S827" s="13"/>
      <c r="T827" s="13"/>
      <c r="U827" s="13"/>
      <c r="V827" s="13"/>
      <c r="W827" s="13"/>
      <c r="X827" s="13"/>
      <c r="Y827" s="13"/>
    </row>
    <row r="828" spans="1:25" ht="15.75" customHeight="1" x14ac:dyDescent="0.25">
      <c r="A828" s="13"/>
      <c r="B828" s="13"/>
      <c r="C828" s="13"/>
      <c r="D828" s="13"/>
      <c r="E828" s="13"/>
      <c r="F828" s="13"/>
      <c r="G828" s="13"/>
      <c r="H828" s="13"/>
      <c r="I828" s="13"/>
      <c r="J828" s="13"/>
      <c r="K828" s="13"/>
      <c r="L828" s="13"/>
      <c r="M828" s="13"/>
      <c r="N828" s="13"/>
      <c r="O828" s="13"/>
      <c r="P828" s="13"/>
      <c r="Q828" s="13"/>
      <c r="R828" s="13"/>
      <c r="S828" s="13"/>
      <c r="T828" s="13"/>
      <c r="U828" s="13"/>
      <c r="V828" s="13"/>
      <c r="W828" s="13"/>
      <c r="X828" s="13"/>
      <c r="Y828" s="13"/>
    </row>
    <row r="829" spans="1:25" ht="15.75" customHeight="1" x14ac:dyDescent="0.25">
      <c r="A829" s="13"/>
      <c r="B829" s="13"/>
      <c r="C829" s="13"/>
      <c r="D829" s="13"/>
      <c r="E829" s="13"/>
      <c r="F829" s="13"/>
      <c r="G829" s="13"/>
      <c r="H829" s="13"/>
      <c r="I829" s="13"/>
      <c r="J829" s="13"/>
      <c r="K829" s="13"/>
      <c r="L829" s="13"/>
      <c r="M829" s="13"/>
      <c r="N829" s="13"/>
      <c r="O829" s="13"/>
      <c r="P829" s="13"/>
      <c r="Q829" s="13"/>
      <c r="R829" s="13"/>
      <c r="S829" s="13"/>
      <c r="T829" s="13"/>
      <c r="U829" s="13"/>
      <c r="V829" s="13"/>
      <c r="W829" s="13"/>
      <c r="X829" s="13"/>
      <c r="Y829" s="13"/>
    </row>
    <row r="830" spans="1:25" ht="15.75" customHeight="1" x14ac:dyDescent="0.25">
      <c r="A830" s="13"/>
      <c r="B830" s="13"/>
      <c r="C830" s="13"/>
      <c r="D830" s="13"/>
      <c r="E830" s="13"/>
      <c r="F830" s="13"/>
      <c r="G830" s="13"/>
      <c r="H830" s="13"/>
      <c r="I830" s="13"/>
      <c r="J830" s="13"/>
      <c r="K830" s="13"/>
      <c r="L830" s="13"/>
      <c r="M830" s="13"/>
      <c r="N830" s="13"/>
      <c r="O830" s="13"/>
      <c r="P830" s="13"/>
      <c r="Q830" s="13"/>
      <c r="R830" s="13"/>
      <c r="S830" s="13"/>
      <c r="T830" s="13"/>
      <c r="U830" s="13"/>
      <c r="V830" s="13"/>
      <c r="W830" s="13"/>
      <c r="X830" s="13"/>
      <c r="Y830" s="13"/>
    </row>
    <row r="831" spans="1:25" ht="15.75" customHeight="1" x14ac:dyDescent="0.25">
      <c r="A831" s="13"/>
      <c r="B831" s="13"/>
      <c r="C831" s="13"/>
      <c r="D831" s="13"/>
      <c r="E831" s="13"/>
      <c r="F831" s="13"/>
      <c r="G831" s="13"/>
      <c r="H831" s="13"/>
      <c r="I831" s="13"/>
      <c r="J831" s="13"/>
      <c r="K831" s="13"/>
      <c r="L831" s="13"/>
      <c r="M831" s="13"/>
      <c r="N831" s="13"/>
      <c r="O831" s="13"/>
      <c r="P831" s="13"/>
      <c r="Q831" s="13"/>
      <c r="R831" s="13"/>
      <c r="S831" s="13"/>
      <c r="T831" s="13"/>
      <c r="U831" s="13"/>
      <c r="V831" s="13"/>
      <c r="W831" s="13"/>
      <c r="X831" s="13"/>
      <c r="Y831" s="13"/>
    </row>
    <row r="832" spans="1:25" ht="15.75" customHeight="1" x14ac:dyDescent="0.25">
      <c r="A832" s="13"/>
      <c r="B832" s="13"/>
      <c r="C832" s="13"/>
      <c r="D832" s="13"/>
      <c r="E832" s="13"/>
      <c r="F832" s="13"/>
      <c r="G832" s="13"/>
      <c r="H832" s="13"/>
      <c r="I832" s="13"/>
      <c r="J832" s="13"/>
      <c r="K832" s="13"/>
      <c r="L832" s="13"/>
      <c r="M832" s="13"/>
      <c r="N832" s="13"/>
      <c r="O832" s="13"/>
      <c r="P832" s="13"/>
      <c r="Q832" s="13"/>
      <c r="R832" s="13"/>
      <c r="S832" s="13"/>
      <c r="T832" s="13"/>
      <c r="U832" s="13"/>
      <c r="V832" s="13"/>
      <c r="W832" s="13"/>
      <c r="X832" s="13"/>
      <c r="Y832" s="13"/>
    </row>
    <row r="833" spans="1:25" ht="15.75" customHeight="1" x14ac:dyDescent="0.25">
      <c r="A833" s="13"/>
      <c r="B833" s="13"/>
      <c r="C833" s="13"/>
      <c r="D833" s="13"/>
      <c r="E833" s="13"/>
      <c r="F833" s="13"/>
      <c r="G833" s="13"/>
      <c r="H833" s="13"/>
      <c r="I833" s="13"/>
      <c r="J833" s="13"/>
      <c r="K833" s="13"/>
      <c r="L833" s="13"/>
      <c r="M833" s="13"/>
      <c r="N833" s="13"/>
      <c r="O833" s="13"/>
      <c r="P833" s="13"/>
      <c r="Q833" s="13"/>
      <c r="R833" s="13"/>
      <c r="S833" s="13"/>
      <c r="T833" s="13"/>
      <c r="U833" s="13"/>
      <c r="V833" s="13"/>
      <c r="W833" s="13"/>
      <c r="X833" s="13"/>
      <c r="Y833" s="13"/>
    </row>
    <row r="834" spans="1:25" ht="15.75" customHeight="1" x14ac:dyDescent="0.25">
      <c r="A834" s="13"/>
      <c r="B834" s="13"/>
      <c r="C834" s="13"/>
      <c r="D834" s="13"/>
      <c r="E834" s="13"/>
      <c r="F834" s="13"/>
      <c r="G834" s="13"/>
      <c r="H834" s="13"/>
      <c r="I834" s="13"/>
      <c r="J834" s="13"/>
      <c r="K834" s="13"/>
      <c r="L834" s="13"/>
      <c r="M834" s="13"/>
      <c r="N834" s="13"/>
      <c r="O834" s="13"/>
      <c r="P834" s="13"/>
      <c r="Q834" s="13"/>
      <c r="R834" s="13"/>
      <c r="S834" s="13"/>
      <c r="T834" s="13"/>
      <c r="U834" s="13"/>
      <c r="V834" s="13"/>
      <c r="W834" s="13"/>
      <c r="X834" s="13"/>
      <c r="Y834" s="13"/>
    </row>
    <row r="835" spans="1:25" ht="15.75" customHeight="1" x14ac:dyDescent="0.25">
      <c r="A835" s="13"/>
      <c r="B835" s="13"/>
      <c r="C835" s="13"/>
      <c r="D835" s="13"/>
      <c r="E835" s="13"/>
      <c r="F835" s="13"/>
      <c r="G835" s="13"/>
      <c r="H835" s="13"/>
      <c r="I835" s="13"/>
      <c r="J835" s="13"/>
      <c r="K835" s="13"/>
      <c r="L835" s="13"/>
      <c r="M835" s="13"/>
      <c r="N835" s="13"/>
      <c r="O835" s="13"/>
      <c r="P835" s="13"/>
      <c r="Q835" s="13"/>
      <c r="R835" s="13"/>
      <c r="S835" s="13"/>
      <c r="T835" s="13"/>
      <c r="U835" s="13"/>
      <c r="V835" s="13"/>
      <c r="W835" s="13"/>
      <c r="X835" s="13"/>
      <c r="Y835" s="13"/>
    </row>
    <row r="836" spans="1:25" ht="15.75" customHeight="1" x14ac:dyDescent="0.25">
      <c r="A836" s="13"/>
      <c r="B836" s="13"/>
      <c r="C836" s="13"/>
      <c r="D836" s="13"/>
      <c r="E836" s="13"/>
      <c r="F836" s="13"/>
      <c r="G836" s="13"/>
      <c r="H836" s="13"/>
      <c r="I836" s="13"/>
      <c r="J836" s="13"/>
      <c r="K836" s="13"/>
      <c r="L836" s="13"/>
      <c r="M836" s="13"/>
      <c r="N836" s="13"/>
      <c r="O836" s="13"/>
      <c r="P836" s="13"/>
      <c r="Q836" s="13"/>
      <c r="R836" s="13"/>
      <c r="S836" s="13"/>
      <c r="T836" s="13"/>
      <c r="U836" s="13"/>
      <c r="V836" s="13"/>
      <c r="W836" s="13"/>
      <c r="X836" s="13"/>
      <c r="Y836" s="13"/>
    </row>
    <row r="837" spans="1:25" ht="15.75" customHeight="1" x14ac:dyDescent="0.25">
      <c r="A837" s="13"/>
      <c r="B837" s="13"/>
      <c r="C837" s="13"/>
      <c r="D837" s="13"/>
      <c r="E837" s="13"/>
      <c r="F837" s="13"/>
      <c r="G837" s="13"/>
      <c r="H837" s="13"/>
      <c r="I837" s="13"/>
      <c r="J837" s="13"/>
      <c r="K837" s="13"/>
      <c r="L837" s="13"/>
      <c r="M837" s="13"/>
      <c r="N837" s="13"/>
      <c r="O837" s="13"/>
      <c r="P837" s="13"/>
      <c r="Q837" s="13"/>
      <c r="R837" s="13"/>
      <c r="S837" s="13"/>
      <c r="T837" s="13"/>
      <c r="U837" s="13"/>
      <c r="V837" s="13"/>
      <c r="W837" s="13"/>
      <c r="X837" s="13"/>
      <c r="Y837" s="13"/>
    </row>
    <row r="838" spans="1:25" ht="15.75" customHeight="1" x14ac:dyDescent="0.25">
      <c r="A838" s="13"/>
      <c r="B838" s="13"/>
      <c r="C838" s="13"/>
      <c r="D838" s="13"/>
      <c r="E838" s="13"/>
      <c r="F838" s="13"/>
      <c r="G838" s="13"/>
      <c r="H838" s="13"/>
      <c r="I838" s="13"/>
      <c r="J838" s="13"/>
      <c r="K838" s="13"/>
      <c r="L838" s="13"/>
      <c r="M838" s="13"/>
      <c r="N838" s="13"/>
      <c r="O838" s="13"/>
      <c r="P838" s="13"/>
      <c r="Q838" s="13"/>
      <c r="R838" s="13"/>
      <c r="S838" s="13"/>
      <c r="T838" s="13"/>
      <c r="U838" s="13"/>
      <c r="V838" s="13"/>
      <c r="W838" s="13"/>
      <c r="X838" s="13"/>
      <c r="Y838" s="13"/>
    </row>
    <row r="839" spans="1:25" ht="15.75" customHeight="1" x14ac:dyDescent="0.25">
      <c r="A839" s="13"/>
      <c r="B839" s="13"/>
      <c r="C839" s="13"/>
      <c r="D839" s="13"/>
      <c r="E839" s="13"/>
      <c r="F839" s="13"/>
      <c r="G839" s="13"/>
      <c r="H839" s="13"/>
      <c r="I839" s="13"/>
      <c r="J839" s="13"/>
      <c r="K839" s="13"/>
      <c r="L839" s="13"/>
      <c r="M839" s="13"/>
      <c r="N839" s="13"/>
      <c r="O839" s="13"/>
      <c r="P839" s="13"/>
      <c r="Q839" s="13"/>
      <c r="R839" s="13"/>
      <c r="S839" s="13"/>
      <c r="T839" s="13"/>
      <c r="U839" s="13"/>
      <c r="V839" s="13"/>
      <c r="W839" s="13"/>
      <c r="X839" s="13"/>
      <c r="Y839" s="13"/>
    </row>
    <row r="840" spans="1:25" ht="15.75" customHeight="1" x14ac:dyDescent="0.25">
      <c r="A840" s="13"/>
      <c r="B840" s="13"/>
      <c r="C840" s="13"/>
      <c r="D840" s="13"/>
      <c r="E840" s="13"/>
      <c r="F840" s="13"/>
      <c r="G840" s="13"/>
      <c r="H840" s="13"/>
      <c r="I840" s="13"/>
      <c r="J840" s="13"/>
      <c r="K840" s="13"/>
      <c r="L840" s="13"/>
      <c r="M840" s="13"/>
      <c r="N840" s="13"/>
      <c r="O840" s="13"/>
      <c r="P840" s="13"/>
      <c r="Q840" s="13"/>
      <c r="R840" s="13"/>
      <c r="S840" s="13"/>
      <c r="T840" s="13"/>
      <c r="U840" s="13"/>
      <c r="V840" s="13"/>
      <c r="W840" s="13"/>
      <c r="X840" s="13"/>
      <c r="Y840" s="13"/>
    </row>
    <row r="841" spans="1:25" ht="15.75" customHeight="1" x14ac:dyDescent="0.25">
      <c r="A841" s="13"/>
      <c r="B841" s="13"/>
      <c r="C841" s="13"/>
      <c r="D841" s="13"/>
      <c r="E841" s="13"/>
      <c r="F841" s="13"/>
      <c r="G841" s="13"/>
      <c r="H841" s="13"/>
      <c r="I841" s="13"/>
      <c r="J841" s="13"/>
      <c r="K841" s="13"/>
      <c r="L841" s="13"/>
      <c r="M841" s="13"/>
      <c r="N841" s="13"/>
      <c r="O841" s="13"/>
      <c r="P841" s="13"/>
      <c r="Q841" s="13"/>
      <c r="R841" s="13"/>
      <c r="S841" s="13"/>
      <c r="T841" s="13"/>
      <c r="U841" s="13"/>
      <c r="V841" s="13"/>
      <c r="W841" s="13"/>
      <c r="X841" s="13"/>
      <c r="Y841" s="13"/>
    </row>
    <row r="842" spans="1:25" ht="15.75" customHeight="1" x14ac:dyDescent="0.25">
      <c r="A842" s="13"/>
      <c r="B842" s="13"/>
      <c r="C842" s="13"/>
      <c r="D842" s="13"/>
      <c r="E842" s="13"/>
      <c r="F842" s="13"/>
      <c r="G842" s="13"/>
      <c r="H842" s="13"/>
      <c r="I842" s="13"/>
      <c r="J842" s="13"/>
      <c r="K842" s="13"/>
      <c r="L842" s="13"/>
      <c r="M842" s="13"/>
      <c r="N842" s="13"/>
      <c r="O842" s="13"/>
      <c r="P842" s="13"/>
      <c r="Q842" s="13"/>
      <c r="R842" s="13"/>
      <c r="S842" s="13"/>
      <c r="T842" s="13"/>
      <c r="U842" s="13"/>
      <c r="V842" s="13"/>
      <c r="W842" s="13"/>
      <c r="X842" s="13"/>
      <c r="Y842" s="13"/>
    </row>
    <row r="843" spans="1:25" ht="15.75" customHeight="1" x14ac:dyDescent="0.25">
      <c r="A843" s="13"/>
      <c r="B843" s="13"/>
      <c r="C843" s="13"/>
      <c r="D843" s="13"/>
      <c r="E843" s="13"/>
      <c r="F843" s="13"/>
      <c r="G843" s="13"/>
      <c r="H843" s="13"/>
      <c r="I843" s="13"/>
      <c r="J843" s="13"/>
      <c r="K843" s="13"/>
      <c r="L843" s="13"/>
      <c r="M843" s="13"/>
      <c r="N843" s="13"/>
      <c r="O843" s="13"/>
      <c r="P843" s="13"/>
      <c r="Q843" s="13"/>
      <c r="R843" s="13"/>
      <c r="S843" s="13"/>
      <c r="T843" s="13"/>
      <c r="U843" s="13"/>
      <c r="V843" s="13"/>
      <c r="W843" s="13"/>
      <c r="X843" s="13"/>
      <c r="Y843" s="13"/>
    </row>
    <row r="844" spans="1:25" ht="15.75" customHeight="1" x14ac:dyDescent="0.25">
      <c r="A844" s="13"/>
      <c r="B844" s="13"/>
      <c r="C844" s="13"/>
      <c r="D844" s="13"/>
      <c r="E844" s="13"/>
      <c r="F844" s="13"/>
      <c r="G844" s="13"/>
      <c r="H844" s="13"/>
      <c r="I844" s="13"/>
      <c r="J844" s="13"/>
      <c r="K844" s="13"/>
      <c r="L844" s="13"/>
      <c r="M844" s="13"/>
      <c r="N844" s="13"/>
      <c r="O844" s="13"/>
      <c r="P844" s="13"/>
      <c r="Q844" s="13"/>
      <c r="R844" s="13"/>
      <c r="S844" s="13"/>
      <c r="T844" s="13"/>
      <c r="U844" s="13"/>
      <c r="V844" s="13"/>
      <c r="W844" s="13"/>
      <c r="X844" s="13"/>
      <c r="Y844" s="13"/>
    </row>
    <row r="845" spans="1:25" ht="15.75" customHeight="1" x14ac:dyDescent="0.25">
      <c r="A845" s="13"/>
      <c r="B845" s="13"/>
      <c r="C845" s="13"/>
      <c r="D845" s="13"/>
      <c r="E845" s="13"/>
      <c r="F845" s="13"/>
      <c r="G845" s="13"/>
      <c r="H845" s="13"/>
      <c r="I845" s="13"/>
      <c r="J845" s="13"/>
      <c r="K845" s="13"/>
      <c r="L845" s="13"/>
      <c r="M845" s="13"/>
      <c r="N845" s="13"/>
      <c r="O845" s="13"/>
      <c r="P845" s="13"/>
      <c r="Q845" s="13"/>
      <c r="R845" s="13"/>
      <c r="S845" s="13"/>
      <c r="T845" s="13"/>
      <c r="U845" s="13"/>
      <c r="V845" s="13"/>
      <c r="W845" s="13"/>
      <c r="X845" s="13"/>
      <c r="Y845" s="13"/>
    </row>
    <row r="846" spans="1:25" ht="15.75" customHeight="1" x14ac:dyDescent="0.25">
      <c r="A846" s="13"/>
      <c r="B846" s="13"/>
      <c r="C846" s="13"/>
      <c r="D846" s="13"/>
      <c r="E846" s="13"/>
      <c r="F846" s="13"/>
      <c r="G846" s="13"/>
      <c r="H846" s="13"/>
      <c r="I846" s="13"/>
      <c r="J846" s="13"/>
      <c r="K846" s="13"/>
      <c r="L846" s="13"/>
      <c r="M846" s="13"/>
      <c r="N846" s="13"/>
      <c r="O846" s="13"/>
      <c r="P846" s="13"/>
      <c r="Q846" s="13"/>
      <c r="R846" s="13"/>
      <c r="S846" s="13"/>
      <c r="T846" s="13"/>
      <c r="U846" s="13"/>
      <c r="V846" s="13"/>
      <c r="W846" s="13"/>
      <c r="X846" s="13"/>
      <c r="Y846" s="13"/>
    </row>
    <row r="847" spans="1:25" ht="15.75" customHeight="1" x14ac:dyDescent="0.25">
      <c r="A847" s="13"/>
      <c r="B847" s="13"/>
      <c r="C847" s="13"/>
      <c r="D847" s="13"/>
      <c r="E847" s="13"/>
      <c r="F847" s="13"/>
      <c r="G847" s="13"/>
      <c r="H847" s="13"/>
      <c r="I847" s="13"/>
      <c r="J847" s="13"/>
      <c r="K847" s="13"/>
      <c r="L847" s="13"/>
      <c r="M847" s="13"/>
      <c r="N847" s="13"/>
      <c r="O847" s="13"/>
      <c r="P847" s="13"/>
      <c r="Q847" s="13"/>
      <c r="R847" s="13"/>
      <c r="S847" s="13"/>
      <c r="T847" s="13"/>
      <c r="U847" s="13"/>
      <c r="V847" s="13"/>
      <c r="W847" s="13"/>
      <c r="X847" s="13"/>
      <c r="Y847" s="13"/>
    </row>
    <row r="848" spans="1:25" ht="15.75" customHeight="1" x14ac:dyDescent="0.25">
      <c r="A848" s="13"/>
      <c r="B848" s="13"/>
      <c r="C848" s="13"/>
      <c r="D848" s="13"/>
      <c r="E848" s="13"/>
      <c r="F848" s="13"/>
      <c r="G848" s="13"/>
      <c r="H848" s="13"/>
      <c r="I848" s="13"/>
      <c r="J848" s="13"/>
      <c r="K848" s="13"/>
      <c r="L848" s="13"/>
      <c r="M848" s="13"/>
      <c r="N848" s="13"/>
      <c r="O848" s="13"/>
      <c r="P848" s="13"/>
      <c r="Q848" s="13"/>
      <c r="R848" s="13"/>
      <c r="S848" s="13"/>
      <c r="T848" s="13"/>
      <c r="U848" s="13"/>
      <c r="V848" s="13"/>
      <c r="W848" s="13"/>
      <c r="X848" s="13"/>
      <c r="Y848" s="13"/>
    </row>
    <row r="849" spans="1:25" ht="15.75" customHeight="1" x14ac:dyDescent="0.25">
      <c r="A849" s="13"/>
      <c r="B849" s="13"/>
      <c r="C849" s="13"/>
      <c r="D849" s="13"/>
      <c r="E849" s="13"/>
      <c r="F849" s="13"/>
      <c r="G849" s="13"/>
      <c r="H849" s="13"/>
      <c r="I849" s="13"/>
      <c r="J849" s="13"/>
      <c r="K849" s="13"/>
      <c r="L849" s="13"/>
      <c r="M849" s="13"/>
      <c r="N849" s="13"/>
      <c r="O849" s="13"/>
      <c r="P849" s="13"/>
      <c r="Q849" s="13"/>
      <c r="R849" s="13"/>
      <c r="S849" s="13"/>
      <c r="T849" s="13"/>
      <c r="U849" s="13"/>
      <c r="V849" s="13"/>
      <c r="W849" s="13"/>
      <c r="X849" s="13"/>
      <c r="Y849" s="13"/>
    </row>
    <row r="850" spans="1:25" ht="15.75" customHeight="1" x14ac:dyDescent="0.25">
      <c r="A850" s="13"/>
      <c r="B850" s="13"/>
      <c r="C850" s="13"/>
      <c r="D850" s="13"/>
      <c r="E850" s="13"/>
      <c r="F850" s="13"/>
      <c r="G850" s="13"/>
      <c r="H850" s="13"/>
      <c r="I850" s="13"/>
      <c r="J850" s="13"/>
      <c r="K850" s="13"/>
      <c r="L850" s="13"/>
      <c r="M850" s="13"/>
      <c r="N850" s="13"/>
      <c r="O850" s="13"/>
      <c r="P850" s="13"/>
      <c r="Q850" s="13"/>
      <c r="R850" s="13"/>
      <c r="S850" s="13"/>
      <c r="T850" s="13"/>
      <c r="U850" s="13"/>
      <c r="V850" s="13"/>
      <c r="W850" s="13"/>
      <c r="X850" s="13"/>
      <c r="Y850" s="13"/>
    </row>
    <row r="851" spans="1:25" ht="15.75" customHeight="1" x14ac:dyDescent="0.25">
      <c r="A851" s="13"/>
      <c r="B851" s="13"/>
      <c r="C851" s="13"/>
      <c r="D851" s="13"/>
      <c r="E851" s="13"/>
      <c r="F851" s="13"/>
      <c r="G851" s="13"/>
      <c r="H851" s="13"/>
      <c r="I851" s="13"/>
      <c r="J851" s="13"/>
      <c r="K851" s="13"/>
      <c r="L851" s="13"/>
      <c r="M851" s="13"/>
      <c r="N851" s="13"/>
      <c r="O851" s="13"/>
      <c r="P851" s="13"/>
      <c r="Q851" s="13"/>
      <c r="R851" s="13"/>
      <c r="S851" s="13"/>
      <c r="T851" s="13"/>
      <c r="U851" s="13"/>
      <c r="V851" s="13"/>
      <c r="W851" s="13"/>
      <c r="X851" s="13"/>
      <c r="Y851" s="13"/>
    </row>
    <row r="852" spans="1:25" ht="15.75" customHeight="1" x14ac:dyDescent="0.25">
      <c r="A852" s="13"/>
      <c r="B852" s="13"/>
      <c r="C852" s="13"/>
      <c r="D852" s="13"/>
      <c r="E852" s="13"/>
      <c r="F852" s="13"/>
      <c r="G852" s="13"/>
      <c r="H852" s="13"/>
      <c r="I852" s="13"/>
      <c r="J852" s="13"/>
      <c r="K852" s="13"/>
      <c r="L852" s="13"/>
      <c r="M852" s="13"/>
      <c r="N852" s="13"/>
      <c r="O852" s="13"/>
      <c r="P852" s="13"/>
      <c r="Q852" s="13"/>
      <c r="R852" s="13"/>
      <c r="S852" s="13"/>
      <c r="T852" s="13"/>
      <c r="U852" s="13"/>
      <c r="V852" s="13"/>
      <c r="W852" s="13"/>
      <c r="X852" s="13"/>
      <c r="Y852" s="13"/>
    </row>
    <row r="853" spans="1:25" ht="15.75" customHeight="1" x14ac:dyDescent="0.25">
      <c r="A853" s="13"/>
      <c r="B853" s="13"/>
      <c r="C853" s="13"/>
      <c r="D853" s="13"/>
      <c r="E853" s="13"/>
      <c r="F853" s="13"/>
      <c r="G853" s="13"/>
      <c r="H853" s="13"/>
      <c r="I853" s="13"/>
      <c r="J853" s="13"/>
      <c r="K853" s="13"/>
      <c r="L853" s="13"/>
      <c r="M853" s="13"/>
      <c r="N853" s="13"/>
      <c r="O853" s="13"/>
      <c r="P853" s="13"/>
      <c r="Q853" s="13"/>
      <c r="R853" s="13"/>
      <c r="S853" s="13"/>
      <c r="T853" s="13"/>
      <c r="U853" s="13"/>
      <c r="V853" s="13"/>
      <c r="W853" s="13"/>
      <c r="X853" s="13"/>
      <c r="Y853" s="13"/>
    </row>
    <row r="854" spans="1:25" ht="15.75" customHeight="1" x14ac:dyDescent="0.25">
      <c r="A854" s="13"/>
      <c r="B854" s="13"/>
      <c r="C854" s="13"/>
      <c r="D854" s="13"/>
      <c r="E854" s="13"/>
      <c r="F854" s="13"/>
      <c r="G854" s="13"/>
      <c r="H854" s="13"/>
      <c r="I854" s="13"/>
      <c r="J854" s="13"/>
      <c r="K854" s="13"/>
      <c r="L854" s="13"/>
      <c r="M854" s="13"/>
      <c r="N854" s="13"/>
      <c r="O854" s="13"/>
      <c r="P854" s="13"/>
      <c r="Q854" s="13"/>
      <c r="R854" s="13"/>
      <c r="S854" s="13"/>
      <c r="T854" s="13"/>
      <c r="U854" s="13"/>
      <c r="V854" s="13"/>
      <c r="W854" s="13"/>
      <c r="X854" s="13"/>
      <c r="Y854" s="13"/>
    </row>
    <row r="855" spans="1:25" ht="15.75" customHeight="1" x14ac:dyDescent="0.25">
      <c r="A855" s="13"/>
      <c r="B855" s="13"/>
      <c r="C855" s="13"/>
      <c r="D855" s="13"/>
      <c r="E855" s="13"/>
      <c r="F855" s="13"/>
      <c r="G855" s="13"/>
      <c r="H855" s="13"/>
      <c r="I855" s="13"/>
      <c r="J855" s="13"/>
      <c r="K855" s="13"/>
      <c r="L855" s="13"/>
      <c r="M855" s="13"/>
      <c r="N855" s="13"/>
      <c r="O855" s="13"/>
      <c r="P855" s="13"/>
      <c r="Q855" s="13"/>
      <c r="R855" s="13"/>
      <c r="S855" s="13"/>
      <c r="T855" s="13"/>
      <c r="U855" s="13"/>
      <c r="V855" s="13"/>
      <c r="W855" s="13"/>
      <c r="X855" s="13"/>
      <c r="Y855" s="13"/>
    </row>
    <row r="856" spans="1:25" ht="15.75" customHeight="1" x14ac:dyDescent="0.25">
      <c r="A856" s="13"/>
      <c r="B856" s="13"/>
      <c r="C856" s="13"/>
      <c r="D856" s="13"/>
      <c r="E856" s="13"/>
      <c r="F856" s="13"/>
      <c r="G856" s="13"/>
      <c r="H856" s="13"/>
      <c r="I856" s="13"/>
      <c r="J856" s="13"/>
      <c r="K856" s="13"/>
      <c r="L856" s="13"/>
      <c r="M856" s="13"/>
      <c r="N856" s="13"/>
      <c r="O856" s="13"/>
      <c r="P856" s="13"/>
      <c r="Q856" s="13"/>
      <c r="R856" s="13"/>
      <c r="S856" s="13"/>
      <c r="T856" s="13"/>
      <c r="U856" s="13"/>
      <c r="V856" s="13"/>
      <c r="W856" s="13"/>
      <c r="X856" s="13"/>
      <c r="Y856" s="13"/>
    </row>
    <row r="857" spans="1:25" ht="15.75" customHeight="1" x14ac:dyDescent="0.25">
      <c r="A857" s="13"/>
      <c r="B857" s="13"/>
      <c r="C857" s="13"/>
      <c r="D857" s="13"/>
      <c r="E857" s="13"/>
      <c r="F857" s="13"/>
      <c r="G857" s="13"/>
      <c r="H857" s="13"/>
      <c r="I857" s="13"/>
      <c r="J857" s="13"/>
      <c r="K857" s="13"/>
      <c r="L857" s="13"/>
      <c r="M857" s="13"/>
      <c r="N857" s="13"/>
      <c r="O857" s="13"/>
      <c r="P857" s="13"/>
      <c r="Q857" s="13"/>
      <c r="R857" s="13"/>
      <c r="S857" s="13"/>
      <c r="T857" s="13"/>
      <c r="U857" s="13"/>
      <c r="V857" s="13"/>
      <c r="W857" s="13"/>
      <c r="X857" s="13"/>
      <c r="Y857" s="13"/>
    </row>
    <row r="858" spans="1:25" ht="15.75" customHeight="1" x14ac:dyDescent="0.25">
      <c r="A858" s="13"/>
      <c r="B858" s="13"/>
      <c r="C858" s="13"/>
      <c r="D858" s="13"/>
      <c r="E858" s="13"/>
      <c r="F858" s="13"/>
      <c r="G858" s="13"/>
      <c r="H858" s="13"/>
      <c r="I858" s="13"/>
      <c r="J858" s="13"/>
      <c r="K858" s="13"/>
      <c r="L858" s="13"/>
      <c r="M858" s="13"/>
      <c r="N858" s="13"/>
      <c r="O858" s="13"/>
      <c r="P858" s="13"/>
      <c r="Q858" s="13"/>
      <c r="R858" s="13"/>
      <c r="S858" s="13"/>
      <c r="T858" s="13"/>
      <c r="U858" s="13"/>
      <c r="V858" s="13"/>
      <c r="W858" s="13"/>
      <c r="X858" s="13"/>
      <c r="Y858" s="13"/>
    </row>
    <row r="859" spans="1:25" ht="15.75" customHeight="1" x14ac:dyDescent="0.25">
      <c r="A859" s="13"/>
      <c r="B859" s="13"/>
      <c r="C859" s="13"/>
      <c r="D859" s="13"/>
      <c r="E859" s="13"/>
      <c r="F859" s="13"/>
      <c r="G859" s="13"/>
      <c r="H859" s="13"/>
      <c r="I859" s="13"/>
      <c r="J859" s="13"/>
      <c r="K859" s="13"/>
      <c r="L859" s="13"/>
      <c r="M859" s="13"/>
      <c r="N859" s="13"/>
      <c r="O859" s="13"/>
      <c r="P859" s="13"/>
      <c r="Q859" s="13"/>
      <c r="R859" s="13"/>
      <c r="S859" s="13"/>
      <c r="T859" s="13"/>
      <c r="U859" s="13"/>
      <c r="V859" s="13"/>
      <c r="W859" s="13"/>
      <c r="X859" s="13"/>
      <c r="Y859" s="13"/>
    </row>
    <row r="860" spans="1:25" ht="15.75" customHeight="1" x14ac:dyDescent="0.25">
      <c r="A860" s="13"/>
      <c r="B860" s="13"/>
      <c r="C860" s="13"/>
      <c r="D860" s="13"/>
      <c r="E860" s="13"/>
      <c r="F860" s="13"/>
      <c r="G860" s="13"/>
      <c r="H860" s="13"/>
      <c r="I860" s="13"/>
      <c r="J860" s="13"/>
      <c r="K860" s="13"/>
      <c r="L860" s="13"/>
      <c r="M860" s="13"/>
      <c r="N860" s="13"/>
      <c r="O860" s="13"/>
      <c r="P860" s="13"/>
      <c r="Q860" s="13"/>
      <c r="R860" s="13"/>
      <c r="S860" s="13"/>
      <c r="T860" s="13"/>
      <c r="U860" s="13"/>
      <c r="V860" s="13"/>
      <c r="W860" s="13"/>
      <c r="X860" s="13"/>
      <c r="Y860" s="13"/>
    </row>
    <row r="861" spans="1:25" ht="15.75" customHeight="1" x14ac:dyDescent="0.25">
      <c r="A861" s="13"/>
      <c r="B861" s="13"/>
      <c r="C861" s="13"/>
      <c r="D861" s="13"/>
      <c r="E861" s="13"/>
      <c r="F861" s="13"/>
      <c r="G861" s="13"/>
      <c r="H861" s="13"/>
      <c r="I861" s="13"/>
      <c r="J861" s="13"/>
      <c r="K861" s="13"/>
      <c r="L861" s="13"/>
      <c r="M861" s="13"/>
      <c r="N861" s="13"/>
      <c r="O861" s="13"/>
      <c r="P861" s="13"/>
      <c r="Q861" s="13"/>
      <c r="R861" s="13"/>
      <c r="S861" s="13"/>
      <c r="T861" s="13"/>
      <c r="U861" s="13"/>
      <c r="V861" s="13"/>
      <c r="W861" s="13"/>
      <c r="X861" s="13"/>
      <c r="Y861" s="13"/>
    </row>
    <row r="862" spans="1:25" ht="15.75" customHeight="1" x14ac:dyDescent="0.25">
      <c r="A862" s="13"/>
      <c r="B862" s="13"/>
      <c r="C862" s="13"/>
      <c r="D862" s="13"/>
      <c r="E862" s="13"/>
      <c r="F862" s="13"/>
      <c r="G862" s="13"/>
      <c r="H862" s="13"/>
      <c r="I862" s="13"/>
      <c r="J862" s="13"/>
      <c r="K862" s="13"/>
      <c r="L862" s="13"/>
      <c r="M862" s="13"/>
      <c r="N862" s="13"/>
      <c r="O862" s="13"/>
      <c r="P862" s="13"/>
      <c r="Q862" s="13"/>
      <c r="R862" s="13"/>
      <c r="S862" s="13"/>
      <c r="T862" s="13"/>
      <c r="U862" s="13"/>
      <c r="V862" s="13"/>
      <c r="W862" s="13"/>
      <c r="X862" s="13"/>
      <c r="Y862" s="13"/>
    </row>
    <row r="863" spans="1:25" ht="15.75" customHeight="1" x14ac:dyDescent="0.25">
      <c r="A863" s="13"/>
      <c r="B863" s="13"/>
      <c r="C863" s="13"/>
      <c r="D863" s="13"/>
      <c r="E863" s="13"/>
      <c r="F863" s="13"/>
      <c r="G863" s="13"/>
      <c r="H863" s="13"/>
      <c r="I863" s="13"/>
      <c r="J863" s="13"/>
      <c r="K863" s="13"/>
      <c r="L863" s="13"/>
      <c r="M863" s="13"/>
      <c r="N863" s="13"/>
      <c r="O863" s="13"/>
      <c r="P863" s="13"/>
      <c r="Q863" s="13"/>
      <c r="R863" s="13"/>
      <c r="S863" s="13"/>
      <c r="T863" s="13"/>
      <c r="U863" s="13"/>
      <c r="V863" s="13"/>
      <c r="W863" s="13"/>
      <c r="X863" s="13"/>
      <c r="Y863" s="13"/>
    </row>
    <row r="864" spans="1:25" ht="15.75" customHeight="1" x14ac:dyDescent="0.25">
      <c r="A864" s="13"/>
      <c r="B864" s="13"/>
      <c r="C864" s="13"/>
      <c r="D864" s="13"/>
      <c r="E864" s="13"/>
      <c r="F864" s="13"/>
      <c r="G864" s="13"/>
      <c r="H864" s="13"/>
      <c r="I864" s="13"/>
      <c r="J864" s="13"/>
      <c r="K864" s="13"/>
      <c r="L864" s="13"/>
      <c r="M864" s="13"/>
      <c r="N864" s="13"/>
      <c r="O864" s="13"/>
      <c r="P864" s="13"/>
      <c r="Q864" s="13"/>
      <c r="R864" s="13"/>
      <c r="S864" s="13"/>
      <c r="T864" s="13"/>
      <c r="U864" s="13"/>
      <c r="V864" s="13"/>
      <c r="W864" s="13"/>
      <c r="X864" s="13"/>
      <c r="Y864" s="13"/>
    </row>
    <row r="865" spans="1:25" ht="15.75" customHeight="1" x14ac:dyDescent="0.25">
      <c r="A865" s="13"/>
      <c r="B865" s="13"/>
      <c r="C865" s="13"/>
      <c r="D865" s="13"/>
      <c r="E865" s="13"/>
      <c r="F865" s="13"/>
      <c r="G865" s="13"/>
      <c r="H865" s="13"/>
      <c r="I865" s="13"/>
      <c r="J865" s="13"/>
      <c r="K865" s="13"/>
      <c r="L865" s="13"/>
      <c r="M865" s="13"/>
      <c r="N865" s="13"/>
      <c r="O865" s="13"/>
      <c r="P865" s="13"/>
      <c r="Q865" s="13"/>
      <c r="R865" s="13"/>
      <c r="S865" s="13"/>
      <c r="T865" s="13"/>
      <c r="U865" s="13"/>
      <c r="V865" s="13"/>
      <c r="W865" s="13"/>
      <c r="X865" s="13"/>
      <c r="Y865" s="13"/>
    </row>
    <row r="866" spans="1:25" ht="15.75" customHeight="1" x14ac:dyDescent="0.25">
      <c r="A866" s="13"/>
      <c r="B866" s="13"/>
      <c r="C866" s="13"/>
      <c r="D866" s="13"/>
      <c r="E866" s="13"/>
      <c r="F866" s="13"/>
      <c r="G866" s="13"/>
      <c r="H866" s="13"/>
      <c r="I866" s="13"/>
      <c r="J866" s="13"/>
      <c r="K866" s="13"/>
      <c r="L866" s="13"/>
      <c r="M866" s="13"/>
      <c r="N866" s="13"/>
      <c r="O866" s="13"/>
      <c r="P866" s="13"/>
      <c r="Q866" s="13"/>
      <c r="R866" s="13"/>
      <c r="S866" s="13"/>
      <c r="T866" s="13"/>
      <c r="U866" s="13"/>
      <c r="V866" s="13"/>
      <c r="W866" s="13"/>
      <c r="X866" s="13"/>
      <c r="Y866" s="13"/>
    </row>
    <row r="867" spans="1:25" ht="15.75" customHeight="1" x14ac:dyDescent="0.25">
      <c r="A867" s="13"/>
      <c r="B867" s="13"/>
      <c r="C867" s="13"/>
      <c r="D867" s="13"/>
      <c r="E867" s="13"/>
      <c r="F867" s="13"/>
      <c r="G867" s="13"/>
      <c r="H867" s="13"/>
      <c r="I867" s="13"/>
      <c r="J867" s="13"/>
      <c r="K867" s="13"/>
      <c r="L867" s="13"/>
      <c r="M867" s="13"/>
      <c r="N867" s="13"/>
      <c r="O867" s="13"/>
      <c r="P867" s="13"/>
      <c r="Q867" s="13"/>
      <c r="R867" s="13"/>
      <c r="S867" s="13"/>
      <c r="T867" s="13"/>
      <c r="U867" s="13"/>
      <c r="V867" s="13"/>
      <c r="W867" s="13"/>
      <c r="X867" s="13"/>
      <c r="Y867" s="13"/>
    </row>
    <row r="868" spans="1:25" ht="15.75" customHeight="1" x14ac:dyDescent="0.25">
      <c r="A868" s="13"/>
      <c r="B868" s="13"/>
      <c r="C868" s="13"/>
      <c r="D868" s="13"/>
      <c r="E868" s="13"/>
      <c r="F868" s="13"/>
      <c r="G868" s="13"/>
      <c r="H868" s="13"/>
      <c r="I868" s="13"/>
      <c r="J868" s="13"/>
      <c r="K868" s="13"/>
      <c r="L868" s="13"/>
      <c r="M868" s="13"/>
      <c r="N868" s="13"/>
      <c r="O868" s="13"/>
      <c r="P868" s="13"/>
      <c r="Q868" s="13"/>
      <c r="R868" s="13"/>
      <c r="S868" s="13"/>
      <c r="T868" s="13"/>
      <c r="U868" s="13"/>
      <c r="V868" s="13"/>
      <c r="W868" s="13"/>
      <c r="X868" s="13"/>
      <c r="Y868" s="13"/>
    </row>
    <row r="869" spans="1:25" ht="15.75" customHeight="1" x14ac:dyDescent="0.25">
      <c r="A869" s="13"/>
      <c r="B869" s="13"/>
      <c r="C869" s="13"/>
      <c r="D869" s="13"/>
      <c r="E869" s="13"/>
      <c r="F869" s="13"/>
      <c r="G869" s="13"/>
      <c r="H869" s="13"/>
      <c r="I869" s="13"/>
      <c r="J869" s="13"/>
      <c r="K869" s="13"/>
      <c r="L869" s="13"/>
      <c r="M869" s="13"/>
      <c r="N869" s="13"/>
      <c r="O869" s="13"/>
      <c r="P869" s="13"/>
      <c r="Q869" s="13"/>
      <c r="R869" s="13"/>
      <c r="S869" s="13"/>
      <c r="T869" s="13"/>
      <c r="U869" s="13"/>
      <c r="V869" s="13"/>
      <c r="W869" s="13"/>
      <c r="X869" s="13"/>
      <c r="Y869" s="13"/>
    </row>
    <row r="870" spans="1:25" ht="15.75" customHeight="1" x14ac:dyDescent="0.25">
      <c r="A870" s="13"/>
      <c r="B870" s="13"/>
      <c r="C870" s="13"/>
      <c r="D870" s="13"/>
      <c r="E870" s="13"/>
      <c r="F870" s="13"/>
      <c r="G870" s="13"/>
      <c r="H870" s="13"/>
      <c r="I870" s="13"/>
      <c r="J870" s="13"/>
      <c r="K870" s="13"/>
      <c r="L870" s="13"/>
      <c r="M870" s="13"/>
      <c r="N870" s="13"/>
      <c r="O870" s="13"/>
      <c r="P870" s="13"/>
      <c r="Q870" s="13"/>
      <c r="R870" s="13"/>
      <c r="S870" s="13"/>
      <c r="T870" s="13"/>
      <c r="U870" s="13"/>
      <c r="V870" s="13"/>
      <c r="W870" s="13"/>
      <c r="X870" s="13"/>
      <c r="Y870" s="13"/>
    </row>
    <row r="871" spans="1:25" ht="15.75" customHeight="1" x14ac:dyDescent="0.25">
      <c r="A871" s="13"/>
      <c r="B871" s="13"/>
      <c r="C871" s="13"/>
      <c r="D871" s="13"/>
      <c r="E871" s="13"/>
      <c r="F871" s="13"/>
      <c r="G871" s="13"/>
      <c r="H871" s="13"/>
      <c r="I871" s="13"/>
      <c r="J871" s="13"/>
      <c r="K871" s="13"/>
      <c r="L871" s="13"/>
      <c r="M871" s="13"/>
      <c r="N871" s="13"/>
      <c r="O871" s="13"/>
      <c r="P871" s="13"/>
      <c r="Q871" s="13"/>
      <c r="R871" s="13"/>
      <c r="S871" s="13"/>
      <c r="T871" s="13"/>
      <c r="U871" s="13"/>
      <c r="V871" s="13"/>
      <c r="W871" s="13"/>
      <c r="X871" s="13"/>
      <c r="Y871" s="13"/>
    </row>
    <row r="872" spans="1:25" ht="15.75" customHeight="1" x14ac:dyDescent="0.25">
      <c r="A872" s="13"/>
      <c r="B872" s="13"/>
      <c r="C872" s="13"/>
      <c r="D872" s="13"/>
      <c r="E872" s="13"/>
      <c r="F872" s="13"/>
      <c r="G872" s="13"/>
      <c r="H872" s="13"/>
      <c r="I872" s="13"/>
      <c r="J872" s="13"/>
      <c r="K872" s="13"/>
      <c r="L872" s="13"/>
      <c r="M872" s="13"/>
      <c r="N872" s="13"/>
      <c r="O872" s="13"/>
      <c r="P872" s="13"/>
      <c r="Q872" s="13"/>
      <c r="R872" s="13"/>
      <c r="S872" s="13"/>
      <c r="T872" s="13"/>
      <c r="U872" s="13"/>
      <c r="V872" s="13"/>
      <c r="W872" s="13"/>
      <c r="X872" s="13"/>
      <c r="Y872" s="13"/>
    </row>
    <row r="873" spans="1:25" ht="15.75" customHeight="1" x14ac:dyDescent="0.25">
      <c r="A873" s="13"/>
      <c r="B873" s="13"/>
      <c r="C873" s="13"/>
      <c r="D873" s="13"/>
      <c r="E873" s="13"/>
      <c r="F873" s="13"/>
      <c r="G873" s="13"/>
      <c r="H873" s="13"/>
      <c r="I873" s="13"/>
      <c r="J873" s="13"/>
      <c r="K873" s="13"/>
      <c r="L873" s="13"/>
      <c r="M873" s="13"/>
      <c r="N873" s="13"/>
      <c r="O873" s="13"/>
      <c r="P873" s="13"/>
      <c r="Q873" s="13"/>
      <c r="R873" s="13"/>
      <c r="S873" s="13"/>
      <c r="T873" s="13"/>
      <c r="U873" s="13"/>
      <c r="V873" s="13"/>
      <c r="W873" s="13"/>
      <c r="X873" s="13"/>
      <c r="Y873" s="13"/>
    </row>
    <row r="874" spans="1:25" ht="15.75" customHeight="1" x14ac:dyDescent="0.25">
      <c r="A874" s="13"/>
      <c r="B874" s="13"/>
      <c r="C874" s="13"/>
      <c r="D874" s="13"/>
      <c r="E874" s="13"/>
      <c r="F874" s="13"/>
      <c r="G874" s="13"/>
      <c r="H874" s="13"/>
      <c r="I874" s="13"/>
      <c r="J874" s="13"/>
      <c r="K874" s="13"/>
      <c r="L874" s="13"/>
      <c r="M874" s="13"/>
      <c r="N874" s="13"/>
      <c r="O874" s="13"/>
      <c r="P874" s="13"/>
      <c r="Q874" s="13"/>
      <c r="R874" s="13"/>
      <c r="S874" s="13"/>
      <c r="T874" s="13"/>
      <c r="U874" s="13"/>
      <c r="V874" s="13"/>
      <c r="W874" s="13"/>
      <c r="X874" s="13"/>
      <c r="Y874" s="13"/>
    </row>
    <row r="875" spans="1:25" ht="15.75" customHeight="1" x14ac:dyDescent="0.25">
      <c r="A875" s="13"/>
      <c r="B875" s="13"/>
      <c r="C875" s="13"/>
      <c r="D875" s="13"/>
      <c r="E875" s="13"/>
      <c r="F875" s="13"/>
      <c r="G875" s="13"/>
      <c r="H875" s="13"/>
      <c r="I875" s="13"/>
      <c r="J875" s="13"/>
      <c r="K875" s="13"/>
      <c r="L875" s="13"/>
      <c r="M875" s="13"/>
      <c r="N875" s="13"/>
      <c r="O875" s="13"/>
      <c r="P875" s="13"/>
      <c r="Q875" s="13"/>
      <c r="R875" s="13"/>
      <c r="S875" s="13"/>
      <c r="T875" s="13"/>
      <c r="U875" s="13"/>
      <c r="V875" s="13"/>
      <c r="W875" s="13"/>
      <c r="X875" s="13"/>
      <c r="Y875" s="13"/>
    </row>
    <row r="876" spans="1:25" ht="15.75" customHeight="1" x14ac:dyDescent="0.25">
      <c r="A876" s="13"/>
      <c r="B876" s="13"/>
      <c r="C876" s="13"/>
      <c r="D876" s="13"/>
      <c r="E876" s="13"/>
      <c r="F876" s="13"/>
      <c r="G876" s="13"/>
      <c r="H876" s="13"/>
      <c r="I876" s="13"/>
      <c r="J876" s="13"/>
      <c r="K876" s="13"/>
      <c r="L876" s="13"/>
      <c r="M876" s="13"/>
      <c r="N876" s="13"/>
      <c r="O876" s="13"/>
      <c r="P876" s="13"/>
      <c r="Q876" s="13"/>
      <c r="R876" s="13"/>
      <c r="S876" s="13"/>
      <c r="T876" s="13"/>
      <c r="U876" s="13"/>
      <c r="V876" s="13"/>
      <c r="W876" s="13"/>
      <c r="X876" s="13"/>
      <c r="Y876" s="13"/>
    </row>
    <row r="877" spans="1:25" ht="15.75" customHeight="1" x14ac:dyDescent="0.25">
      <c r="A877" s="13"/>
      <c r="B877" s="13"/>
      <c r="C877" s="13"/>
      <c r="D877" s="13"/>
      <c r="E877" s="13"/>
      <c r="F877" s="13"/>
      <c r="G877" s="13"/>
      <c r="H877" s="13"/>
      <c r="I877" s="13"/>
      <c r="J877" s="13"/>
      <c r="K877" s="13"/>
      <c r="L877" s="13"/>
      <c r="M877" s="13"/>
      <c r="N877" s="13"/>
      <c r="O877" s="13"/>
      <c r="P877" s="13"/>
      <c r="Q877" s="13"/>
      <c r="R877" s="13"/>
      <c r="S877" s="13"/>
      <c r="T877" s="13"/>
      <c r="U877" s="13"/>
      <c r="V877" s="13"/>
      <c r="W877" s="13"/>
      <c r="X877" s="13"/>
      <c r="Y877" s="13"/>
    </row>
    <row r="878" spans="1:25" ht="15.75" customHeight="1" x14ac:dyDescent="0.25">
      <c r="A878" s="13"/>
      <c r="B878" s="13"/>
      <c r="C878" s="13"/>
      <c r="D878" s="13"/>
      <c r="E878" s="13"/>
      <c r="F878" s="13"/>
      <c r="G878" s="13"/>
      <c r="H878" s="13"/>
      <c r="I878" s="13"/>
      <c r="J878" s="13"/>
      <c r="K878" s="13"/>
      <c r="L878" s="13"/>
      <c r="M878" s="13"/>
      <c r="N878" s="13"/>
      <c r="O878" s="13"/>
      <c r="P878" s="13"/>
      <c r="Q878" s="13"/>
      <c r="R878" s="13"/>
      <c r="S878" s="13"/>
      <c r="T878" s="13"/>
      <c r="U878" s="13"/>
      <c r="V878" s="13"/>
      <c r="W878" s="13"/>
      <c r="X878" s="13"/>
      <c r="Y878" s="13"/>
    </row>
    <row r="879" spans="1:25" ht="15.75" customHeight="1" x14ac:dyDescent="0.25">
      <c r="A879" s="13"/>
      <c r="B879" s="13"/>
      <c r="C879" s="13"/>
      <c r="D879" s="13"/>
      <c r="E879" s="13"/>
      <c r="F879" s="13"/>
      <c r="G879" s="13"/>
      <c r="H879" s="13"/>
      <c r="I879" s="13"/>
      <c r="J879" s="13"/>
      <c r="K879" s="13"/>
      <c r="L879" s="13"/>
      <c r="M879" s="13"/>
      <c r="N879" s="13"/>
      <c r="O879" s="13"/>
      <c r="P879" s="13"/>
      <c r="Q879" s="13"/>
      <c r="R879" s="13"/>
      <c r="S879" s="13"/>
      <c r="T879" s="13"/>
      <c r="U879" s="13"/>
      <c r="V879" s="13"/>
      <c r="W879" s="13"/>
      <c r="X879" s="13"/>
      <c r="Y879" s="13"/>
    </row>
    <row r="880" spans="1:25" ht="15.75" customHeight="1" x14ac:dyDescent="0.25">
      <c r="A880" s="13"/>
      <c r="B880" s="13"/>
      <c r="C880" s="13"/>
      <c r="D880" s="13"/>
      <c r="E880" s="13"/>
      <c r="F880" s="13"/>
      <c r="G880" s="13"/>
      <c r="H880" s="13"/>
      <c r="I880" s="13"/>
      <c r="J880" s="13"/>
      <c r="K880" s="13"/>
      <c r="L880" s="13"/>
      <c r="M880" s="13"/>
      <c r="N880" s="13"/>
      <c r="O880" s="13"/>
      <c r="P880" s="13"/>
      <c r="Q880" s="13"/>
      <c r="R880" s="13"/>
      <c r="S880" s="13"/>
      <c r="T880" s="13"/>
      <c r="U880" s="13"/>
      <c r="V880" s="13"/>
      <c r="W880" s="13"/>
      <c r="X880" s="13"/>
      <c r="Y880" s="13"/>
    </row>
    <row r="881" spans="1:25" ht="15.75" customHeight="1" x14ac:dyDescent="0.25">
      <c r="A881" s="13"/>
      <c r="B881" s="13"/>
      <c r="C881" s="13"/>
      <c r="D881" s="13"/>
      <c r="E881" s="13"/>
      <c r="F881" s="13"/>
      <c r="G881" s="13"/>
      <c r="H881" s="13"/>
      <c r="I881" s="13"/>
      <c r="J881" s="13"/>
      <c r="K881" s="13"/>
      <c r="L881" s="13"/>
      <c r="M881" s="13"/>
      <c r="N881" s="13"/>
      <c r="O881" s="13"/>
      <c r="P881" s="13"/>
      <c r="Q881" s="13"/>
      <c r="R881" s="13"/>
      <c r="S881" s="13"/>
      <c r="T881" s="13"/>
      <c r="U881" s="13"/>
      <c r="V881" s="13"/>
      <c r="W881" s="13"/>
      <c r="X881" s="13"/>
      <c r="Y881" s="13"/>
    </row>
    <row r="882" spans="1:25" ht="15.75" customHeight="1" x14ac:dyDescent="0.25">
      <c r="A882" s="13"/>
      <c r="B882" s="13"/>
      <c r="C882" s="13"/>
      <c r="D882" s="13"/>
      <c r="E882" s="13"/>
      <c r="F882" s="13"/>
      <c r="G882" s="13"/>
      <c r="H882" s="13"/>
      <c r="I882" s="13"/>
      <c r="J882" s="13"/>
      <c r="K882" s="13"/>
      <c r="L882" s="13"/>
      <c r="M882" s="13"/>
      <c r="N882" s="13"/>
      <c r="O882" s="13"/>
      <c r="P882" s="13"/>
      <c r="Q882" s="13"/>
      <c r="R882" s="13"/>
      <c r="S882" s="13"/>
      <c r="T882" s="13"/>
      <c r="U882" s="13"/>
      <c r="V882" s="13"/>
      <c r="W882" s="13"/>
      <c r="X882" s="13"/>
      <c r="Y882" s="13"/>
    </row>
    <row r="883" spans="1:25" ht="15.75" customHeight="1" x14ac:dyDescent="0.25">
      <c r="A883" s="13"/>
      <c r="B883" s="13"/>
      <c r="C883" s="13"/>
      <c r="D883" s="13"/>
      <c r="E883" s="13"/>
      <c r="F883" s="13"/>
      <c r="G883" s="13"/>
      <c r="H883" s="13"/>
      <c r="I883" s="13"/>
      <c r="J883" s="13"/>
      <c r="K883" s="13"/>
      <c r="L883" s="13"/>
      <c r="M883" s="13"/>
      <c r="N883" s="13"/>
      <c r="O883" s="13"/>
      <c r="P883" s="13"/>
      <c r="Q883" s="13"/>
      <c r="R883" s="13"/>
      <c r="S883" s="13"/>
      <c r="T883" s="13"/>
      <c r="U883" s="13"/>
      <c r="V883" s="13"/>
      <c r="W883" s="13"/>
      <c r="X883" s="13"/>
      <c r="Y883" s="13"/>
    </row>
    <row r="884" spans="1:25" ht="15.75" customHeight="1" x14ac:dyDescent="0.25">
      <c r="A884" s="13"/>
      <c r="B884" s="13"/>
      <c r="C884" s="13"/>
      <c r="D884" s="13"/>
      <c r="E884" s="13"/>
      <c r="F884" s="13"/>
      <c r="G884" s="13"/>
      <c r="H884" s="13"/>
      <c r="I884" s="13"/>
      <c r="J884" s="13"/>
      <c r="K884" s="13"/>
      <c r="L884" s="13"/>
      <c r="M884" s="13"/>
      <c r="N884" s="13"/>
      <c r="O884" s="13"/>
      <c r="P884" s="13"/>
      <c r="Q884" s="13"/>
      <c r="R884" s="13"/>
      <c r="S884" s="13"/>
      <c r="T884" s="13"/>
      <c r="U884" s="13"/>
      <c r="V884" s="13"/>
      <c r="W884" s="13"/>
      <c r="X884" s="13"/>
      <c r="Y884" s="13"/>
    </row>
    <row r="885" spans="1:25" ht="15.75" customHeight="1" x14ac:dyDescent="0.25">
      <c r="A885" s="13"/>
      <c r="B885" s="13"/>
      <c r="C885" s="13"/>
      <c r="D885" s="13"/>
      <c r="E885" s="13"/>
      <c r="F885" s="13"/>
      <c r="G885" s="13"/>
      <c r="H885" s="13"/>
      <c r="I885" s="13"/>
      <c r="J885" s="13"/>
      <c r="K885" s="13"/>
      <c r="L885" s="13"/>
      <c r="M885" s="13"/>
      <c r="N885" s="13"/>
      <c r="O885" s="13"/>
      <c r="P885" s="13"/>
      <c r="Q885" s="13"/>
      <c r="R885" s="13"/>
      <c r="S885" s="13"/>
      <c r="T885" s="13"/>
      <c r="U885" s="13"/>
      <c r="V885" s="13"/>
      <c r="W885" s="13"/>
      <c r="X885" s="13"/>
      <c r="Y885" s="13"/>
    </row>
    <row r="886" spans="1:25" ht="15.75" customHeight="1" x14ac:dyDescent="0.25">
      <c r="A886" s="13"/>
      <c r="B886" s="13"/>
      <c r="C886" s="13"/>
      <c r="D886" s="13"/>
      <c r="E886" s="13"/>
      <c r="F886" s="13"/>
      <c r="G886" s="13"/>
      <c r="H886" s="13"/>
      <c r="I886" s="13"/>
      <c r="J886" s="13"/>
      <c r="K886" s="13"/>
      <c r="L886" s="13"/>
      <c r="M886" s="13"/>
      <c r="N886" s="13"/>
      <c r="O886" s="13"/>
      <c r="P886" s="13"/>
      <c r="Q886" s="13"/>
      <c r="R886" s="13"/>
      <c r="S886" s="13"/>
      <c r="T886" s="13"/>
      <c r="U886" s="13"/>
      <c r="V886" s="13"/>
      <c r="W886" s="13"/>
      <c r="X886" s="13"/>
      <c r="Y886" s="13"/>
    </row>
    <row r="887" spans="1:25" ht="15.75" customHeight="1" x14ac:dyDescent="0.25">
      <c r="A887" s="13"/>
      <c r="B887" s="13"/>
      <c r="C887" s="13"/>
      <c r="D887" s="13"/>
      <c r="E887" s="13"/>
      <c r="F887" s="13"/>
      <c r="G887" s="13"/>
      <c r="H887" s="13"/>
      <c r="I887" s="13"/>
      <c r="J887" s="13"/>
      <c r="K887" s="13"/>
      <c r="L887" s="13"/>
      <c r="M887" s="13"/>
      <c r="N887" s="13"/>
      <c r="O887" s="13"/>
      <c r="P887" s="13"/>
      <c r="Q887" s="13"/>
      <c r="R887" s="13"/>
      <c r="S887" s="13"/>
      <c r="T887" s="13"/>
      <c r="U887" s="13"/>
      <c r="V887" s="13"/>
      <c r="W887" s="13"/>
      <c r="X887" s="13"/>
      <c r="Y887" s="13"/>
    </row>
    <row r="888" spans="1:25" ht="15.75" customHeight="1" x14ac:dyDescent="0.25">
      <c r="A888" s="13"/>
      <c r="B888" s="13"/>
      <c r="C888" s="13"/>
      <c r="D888" s="13"/>
      <c r="E888" s="13"/>
      <c r="F888" s="13"/>
      <c r="G888" s="13"/>
      <c r="H888" s="13"/>
      <c r="I888" s="13"/>
      <c r="J888" s="13"/>
      <c r="K888" s="13"/>
      <c r="L888" s="13"/>
      <c r="M888" s="13"/>
      <c r="N888" s="13"/>
      <c r="O888" s="13"/>
      <c r="P888" s="13"/>
      <c r="Q888" s="13"/>
      <c r="R888" s="13"/>
      <c r="S888" s="13"/>
      <c r="T888" s="13"/>
      <c r="U888" s="13"/>
      <c r="V888" s="13"/>
      <c r="W888" s="13"/>
      <c r="X888" s="13"/>
      <c r="Y888" s="13"/>
    </row>
    <row r="889" spans="1:25" ht="15.75" customHeight="1" x14ac:dyDescent="0.25">
      <c r="A889" s="13"/>
      <c r="B889" s="13"/>
      <c r="C889" s="13"/>
      <c r="D889" s="13"/>
      <c r="E889" s="13"/>
      <c r="F889" s="13"/>
      <c r="G889" s="13"/>
      <c r="H889" s="13"/>
      <c r="I889" s="13"/>
      <c r="J889" s="13"/>
      <c r="K889" s="13"/>
      <c r="L889" s="13"/>
      <c r="M889" s="13"/>
      <c r="N889" s="13"/>
      <c r="O889" s="13"/>
      <c r="P889" s="13"/>
      <c r="Q889" s="13"/>
      <c r="R889" s="13"/>
      <c r="S889" s="13"/>
      <c r="T889" s="13"/>
      <c r="U889" s="13"/>
      <c r="V889" s="13"/>
      <c r="W889" s="13"/>
      <c r="X889" s="13"/>
      <c r="Y889" s="13"/>
    </row>
    <row r="890" spans="1:25" ht="15.75" customHeight="1" x14ac:dyDescent="0.25">
      <c r="A890" s="13"/>
      <c r="B890" s="13"/>
      <c r="C890" s="13"/>
      <c r="D890" s="13"/>
      <c r="E890" s="13"/>
      <c r="F890" s="13"/>
      <c r="G890" s="13"/>
      <c r="H890" s="13"/>
      <c r="I890" s="13"/>
      <c r="J890" s="13"/>
      <c r="K890" s="13"/>
      <c r="L890" s="13"/>
      <c r="M890" s="13"/>
      <c r="N890" s="13"/>
      <c r="O890" s="13"/>
      <c r="P890" s="13"/>
      <c r="Q890" s="13"/>
      <c r="R890" s="13"/>
      <c r="S890" s="13"/>
      <c r="T890" s="13"/>
      <c r="U890" s="13"/>
      <c r="V890" s="13"/>
      <c r="W890" s="13"/>
      <c r="X890" s="13"/>
      <c r="Y890" s="13"/>
    </row>
    <row r="891" spans="1:25" ht="15.75" customHeight="1" x14ac:dyDescent="0.25">
      <c r="A891" s="13"/>
      <c r="B891" s="13"/>
      <c r="C891" s="13"/>
      <c r="D891" s="13"/>
      <c r="E891" s="13"/>
      <c r="F891" s="13"/>
      <c r="G891" s="13"/>
      <c r="H891" s="13"/>
      <c r="I891" s="13"/>
      <c r="J891" s="13"/>
      <c r="K891" s="13"/>
      <c r="L891" s="13"/>
      <c r="M891" s="13"/>
      <c r="N891" s="13"/>
      <c r="O891" s="13"/>
      <c r="P891" s="13"/>
      <c r="Q891" s="13"/>
      <c r="R891" s="13"/>
      <c r="S891" s="13"/>
      <c r="T891" s="13"/>
      <c r="U891" s="13"/>
      <c r="V891" s="13"/>
      <c r="W891" s="13"/>
      <c r="X891" s="13"/>
      <c r="Y891" s="13"/>
    </row>
    <row r="892" spans="1:25" ht="15.75" customHeight="1" x14ac:dyDescent="0.25">
      <c r="A892" s="13"/>
      <c r="B892" s="13"/>
      <c r="C892" s="13"/>
      <c r="D892" s="13"/>
      <c r="E892" s="13"/>
      <c r="F892" s="13"/>
      <c r="G892" s="13"/>
      <c r="H892" s="13"/>
      <c r="I892" s="13"/>
      <c r="J892" s="13"/>
      <c r="K892" s="13"/>
      <c r="L892" s="13"/>
      <c r="M892" s="13"/>
      <c r="N892" s="13"/>
      <c r="O892" s="13"/>
      <c r="P892" s="13"/>
      <c r="Q892" s="13"/>
      <c r="R892" s="13"/>
      <c r="S892" s="13"/>
      <c r="T892" s="13"/>
      <c r="U892" s="13"/>
      <c r="V892" s="13"/>
      <c r="W892" s="13"/>
      <c r="X892" s="13"/>
      <c r="Y892" s="13"/>
    </row>
    <row r="893" spans="1:25" ht="15.75" customHeight="1" x14ac:dyDescent="0.25">
      <c r="A893" s="13"/>
      <c r="B893" s="13"/>
      <c r="C893" s="13"/>
      <c r="D893" s="13"/>
      <c r="E893" s="13"/>
      <c r="F893" s="13"/>
      <c r="G893" s="13"/>
      <c r="H893" s="13"/>
      <c r="I893" s="13"/>
      <c r="J893" s="13"/>
      <c r="K893" s="13"/>
      <c r="L893" s="13"/>
      <c r="M893" s="13"/>
      <c r="N893" s="13"/>
      <c r="O893" s="13"/>
      <c r="P893" s="13"/>
      <c r="Q893" s="13"/>
      <c r="R893" s="13"/>
      <c r="S893" s="13"/>
      <c r="T893" s="13"/>
      <c r="U893" s="13"/>
      <c r="V893" s="13"/>
      <c r="W893" s="13"/>
      <c r="X893" s="13"/>
      <c r="Y893" s="13"/>
    </row>
    <row r="894" spans="1:25" ht="15.75" customHeight="1" x14ac:dyDescent="0.25">
      <c r="A894" s="13"/>
      <c r="B894" s="13"/>
      <c r="C894" s="13"/>
      <c r="D894" s="13"/>
      <c r="E894" s="13"/>
      <c r="F894" s="13"/>
      <c r="G894" s="13"/>
      <c r="H894" s="13"/>
      <c r="I894" s="13"/>
      <c r="J894" s="13"/>
      <c r="K894" s="13"/>
      <c r="L894" s="13"/>
      <c r="M894" s="13"/>
      <c r="N894" s="13"/>
      <c r="O894" s="13"/>
      <c r="P894" s="13"/>
      <c r="Q894" s="13"/>
      <c r="R894" s="13"/>
      <c r="S894" s="13"/>
      <c r="T894" s="13"/>
      <c r="U894" s="13"/>
      <c r="V894" s="13"/>
      <c r="W894" s="13"/>
      <c r="X894" s="13"/>
      <c r="Y894" s="13"/>
    </row>
    <row r="895" spans="1:25" ht="15.75" customHeight="1" x14ac:dyDescent="0.25">
      <c r="A895" s="13"/>
      <c r="B895" s="13"/>
      <c r="C895" s="13"/>
      <c r="D895" s="13"/>
      <c r="E895" s="13"/>
      <c r="F895" s="13"/>
      <c r="G895" s="13"/>
      <c r="H895" s="13"/>
      <c r="I895" s="13"/>
      <c r="J895" s="13"/>
      <c r="K895" s="13"/>
      <c r="L895" s="13"/>
      <c r="M895" s="13"/>
      <c r="N895" s="13"/>
      <c r="O895" s="13"/>
      <c r="P895" s="13"/>
      <c r="Q895" s="13"/>
      <c r="R895" s="13"/>
      <c r="S895" s="13"/>
      <c r="T895" s="13"/>
      <c r="U895" s="13"/>
      <c r="V895" s="13"/>
      <c r="W895" s="13"/>
      <c r="X895" s="13"/>
      <c r="Y895" s="13"/>
    </row>
    <row r="896" spans="1:25" ht="15.75" customHeight="1" x14ac:dyDescent="0.25">
      <c r="A896" s="13"/>
      <c r="B896" s="13"/>
      <c r="C896" s="13"/>
      <c r="D896" s="13"/>
      <c r="E896" s="13"/>
      <c r="F896" s="13"/>
      <c r="G896" s="13"/>
      <c r="H896" s="13"/>
      <c r="I896" s="13"/>
      <c r="J896" s="13"/>
      <c r="K896" s="13"/>
      <c r="L896" s="13"/>
      <c r="M896" s="13"/>
      <c r="N896" s="13"/>
      <c r="O896" s="13"/>
      <c r="P896" s="13"/>
      <c r="Q896" s="13"/>
      <c r="R896" s="13"/>
      <c r="S896" s="13"/>
      <c r="T896" s="13"/>
      <c r="U896" s="13"/>
      <c r="V896" s="13"/>
      <c r="W896" s="13"/>
      <c r="X896" s="13"/>
      <c r="Y896" s="13"/>
    </row>
    <row r="897" spans="1:25" ht="15.75" customHeight="1" x14ac:dyDescent="0.25">
      <c r="A897" s="13"/>
      <c r="B897" s="13"/>
      <c r="C897" s="13"/>
      <c r="D897" s="13"/>
      <c r="E897" s="13"/>
      <c r="F897" s="13"/>
      <c r="G897" s="13"/>
      <c r="H897" s="13"/>
      <c r="I897" s="13"/>
      <c r="J897" s="13"/>
      <c r="K897" s="13"/>
      <c r="L897" s="13"/>
      <c r="M897" s="13"/>
      <c r="N897" s="13"/>
      <c r="O897" s="13"/>
      <c r="P897" s="13"/>
      <c r="Q897" s="13"/>
      <c r="R897" s="13"/>
      <c r="S897" s="13"/>
      <c r="T897" s="13"/>
      <c r="U897" s="13"/>
      <c r="V897" s="13"/>
      <c r="W897" s="13"/>
      <c r="X897" s="13"/>
      <c r="Y897" s="13"/>
    </row>
    <row r="898" spans="1:25" ht="15.75" customHeight="1" x14ac:dyDescent="0.25">
      <c r="A898" s="13"/>
      <c r="B898" s="13"/>
      <c r="C898" s="13"/>
      <c r="D898" s="13"/>
      <c r="E898" s="13"/>
      <c r="F898" s="13"/>
      <c r="G898" s="13"/>
      <c r="H898" s="13"/>
      <c r="I898" s="13"/>
      <c r="J898" s="13"/>
      <c r="K898" s="13"/>
      <c r="L898" s="13"/>
      <c r="M898" s="13"/>
      <c r="N898" s="13"/>
      <c r="O898" s="13"/>
      <c r="P898" s="13"/>
      <c r="Q898" s="13"/>
      <c r="R898" s="13"/>
      <c r="S898" s="13"/>
      <c r="T898" s="13"/>
      <c r="U898" s="13"/>
      <c r="V898" s="13"/>
      <c r="W898" s="13"/>
      <c r="X898" s="13"/>
      <c r="Y898" s="13"/>
    </row>
    <row r="899" spans="1:25" ht="15.75" customHeight="1" x14ac:dyDescent="0.25">
      <c r="A899" s="13"/>
      <c r="B899" s="13"/>
      <c r="C899" s="13"/>
      <c r="D899" s="13"/>
      <c r="E899" s="13"/>
      <c r="F899" s="13"/>
      <c r="G899" s="13"/>
      <c r="H899" s="13"/>
      <c r="I899" s="13"/>
      <c r="J899" s="13"/>
      <c r="K899" s="13"/>
      <c r="L899" s="13"/>
      <c r="M899" s="13"/>
      <c r="N899" s="13"/>
      <c r="O899" s="13"/>
      <c r="P899" s="13"/>
      <c r="Q899" s="13"/>
      <c r="R899" s="13"/>
      <c r="S899" s="13"/>
      <c r="T899" s="13"/>
      <c r="U899" s="13"/>
      <c r="V899" s="13"/>
      <c r="W899" s="13"/>
      <c r="X899" s="13"/>
      <c r="Y899" s="13"/>
    </row>
    <row r="900" spans="1:25" ht="15.75" customHeight="1" x14ac:dyDescent="0.25">
      <c r="A900" s="13"/>
      <c r="B900" s="13"/>
      <c r="C900" s="13"/>
      <c r="D900" s="13"/>
      <c r="E900" s="13"/>
      <c r="F900" s="13"/>
      <c r="G900" s="13"/>
      <c r="H900" s="13"/>
      <c r="I900" s="13"/>
      <c r="J900" s="13"/>
      <c r="K900" s="13"/>
      <c r="L900" s="13"/>
      <c r="M900" s="13"/>
      <c r="N900" s="13"/>
      <c r="O900" s="13"/>
      <c r="P900" s="13"/>
      <c r="Q900" s="13"/>
      <c r="R900" s="13"/>
      <c r="S900" s="13"/>
      <c r="T900" s="13"/>
      <c r="U900" s="13"/>
      <c r="V900" s="13"/>
      <c r="W900" s="13"/>
      <c r="X900" s="13"/>
      <c r="Y900" s="13"/>
    </row>
    <row r="901" spans="1:25" ht="15.75" customHeight="1" x14ac:dyDescent="0.25">
      <c r="A901" s="13"/>
      <c r="B901" s="13"/>
      <c r="C901" s="13"/>
      <c r="D901" s="13"/>
      <c r="E901" s="13"/>
      <c r="F901" s="13"/>
      <c r="G901" s="13"/>
      <c r="H901" s="13"/>
      <c r="I901" s="13"/>
      <c r="J901" s="13"/>
      <c r="K901" s="13"/>
      <c r="L901" s="13"/>
      <c r="M901" s="13"/>
      <c r="N901" s="13"/>
      <c r="O901" s="13"/>
      <c r="P901" s="13"/>
      <c r="Q901" s="13"/>
      <c r="R901" s="13"/>
      <c r="S901" s="13"/>
      <c r="T901" s="13"/>
      <c r="U901" s="13"/>
      <c r="V901" s="13"/>
      <c r="W901" s="13"/>
      <c r="X901" s="13"/>
      <c r="Y901" s="13"/>
    </row>
    <row r="902" spans="1:25" ht="15.75" customHeight="1" x14ac:dyDescent="0.25">
      <c r="A902" s="13"/>
      <c r="B902" s="13"/>
      <c r="C902" s="13"/>
      <c r="D902" s="13"/>
      <c r="E902" s="13"/>
      <c r="F902" s="13"/>
      <c r="G902" s="13"/>
      <c r="H902" s="13"/>
      <c r="I902" s="13"/>
      <c r="J902" s="13"/>
      <c r="K902" s="13"/>
      <c r="L902" s="13"/>
      <c r="M902" s="13"/>
      <c r="N902" s="13"/>
      <c r="O902" s="13"/>
      <c r="P902" s="13"/>
      <c r="Q902" s="13"/>
      <c r="R902" s="13"/>
      <c r="S902" s="13"/>
      <c r="T902" s="13"/>
      <c r="U902" s="13"/>
      <c r="V902" s="13"/>
      <c r="W902" s="13"/>
      <c r="X902" s="13"/>
      <c r="Y902" s="13"/>
    </row>
    <row r="903" spans="1:25" ht="15.75" customHeight="1" x14ac:dyDescent="0.25">
      <c r="A903" s="13"/>
      <c r="B903" s="13"/>
      <c r="C903" s="13"/>
      <c r="D903" s="13"/>
      <c r="E903" s="13"/>
      <c r="F903" s="13"/>
      <c r="G903" s="13"/>
      <c r="H903" s="13"/>
      <c r="I903" s="13"/>
      <c r="J903" s="13"/>
      <c r="K903" s="13"/>
      <c r="L903" s="13"/>
      <c r="M903" s="13"/>
      <c r="N903" s="13"/>
      <c r="O903" s="13"/>
      <c r="P903" s="13"/>
      <c r="Q903" s="13"/>
      <c r="R903" s="13"/>
      <c r="S903" s="13"/>
      <c r="T903" s="13"/>
      <c r="U903" s="13"/>
      <c r="V903" s="13"/>
      <c r="W903" s="13"/>
      <c r="X903" s="13"/>
      <c r="Y903" s="13"/>
    </row>
    <row r="904" spans="1:25" ht="15.75" customHeight="1" x14ac:dyDescent="0.25">
      <c r="A904" s="13"/>
      <c r="B904" s="13"/>
      <c r="C904" s="13"/>
      <c r="D904" s="13"/>
      <c r="E904" s="13"/>
      <c r="F904" s="13"/>
      <c r="G904" s="13"/>
      <c r="H904" s="13"/>
      <c r="I904" s="13"/>
      <c r="J904" s="13"/>
      <c r="K904" s="13"/>
      <c r="L904" s="13"/>
      <c r="M904" s="13"/>
      <c r="N904" s="13"/>
      <c r="O904" s="13"/>
      <c r="P904" s="13"/>
      <c r="Q904" s="13"/>
      <c r="R904" s="13"/>
      <c r="S904" s="13"/>
      <c r="T904" s="13"/>
      <c r="U904" s="13"/>
      <c r="V904" s="13"/>
      <c r="W904" s="13"/>
      <c r="X904" s="13"/>
      <c r="Y904" s="13"/>
    </row>
    <row r="905" spans="1:25" ht="15.75" customHeight="1" x14ac:dyDescent="0.25">
      <c r="A905" s="13"/>
      <c r="B905" s="13"/>
      <c r="C905" s="13"/>
      <c r="D905" s="13"/>
      <c r="E905" s="13"/>
      <c r="F905" s="13"/>
      <c r="G905" s="13"/>
      <c r="H905" s="13"/>
      <c r="I905" s="13"/>
      <c r="J905" s="13"/>
      <c r="K905" s="13"/>
      <c r="L905" s="13"/>
      <c r="M905" s="13"/>
      <c r="N905" s="13"/>
      <c r="O905" s="13"/>
      <c r="P905" s="13"/>
      <c r="Q905" s="13"/>
      <c r="R905" s="13"/>
      <c r="S905" s="13"/>
      <c r="T905" s="13"/>
      <c r="U905" s="13"/>
      <c r="V905" s="13"/>
      <c r="W905" s="13"/>
      <c r="X905" s="13"/>
      <c r="Y905" s="13"/>
    </row>
    <row r="906" spans="1:25" ht="15.75" customHeight="1" x14ac:dyDescent="0.25">
      <c r="A906" s="13"/>
      <c r="B906" s="13"/>
      <c r="C906" s="13"/>
      <c r="D906" s="13"/>
      <c r="E906" s="13"/>
      <c r="F906" s="13"/>
      <c r="G906" s="13"/>
      <c r="H906" s="13"/>
      <c r="I906" s="13"/>
      <c r="J906" s="13"/>
      <c r="K906" s="13"/>
      <c r="L906" s="13"/>
      <c r="M906" s="13"/>
      <c r="N906" s="13"/>
      <c r="O906" s="13"/>
      <c r="P906" s="13"/>
      <c r="Q906" s="13"/>
      <c r="R906" s="13"/>
      <c r="S906" s="13"/>
      <c r="T906" s="13"/>
      <c r="U906" s="13"/>
      <c r="V906" s="13"/>
      <c r="W906" s="13"/>
      <c r="X906" s="13"/>
      <c r="Y906" s="13"/>
    </row>
    <row r="907" spans="1:25" ht="15.75" customHeight="1" x14ac:dyDescent="0.25">
      <c r="A907" s="13"/>
      <c r="B907" s="13"/>
      <c r="C907" s="13"/>
      <c r="D907" s="13"/>
      <c r="E907" s="13"/>
      <c r="F907" s="13"/>
      <c r="G907" s="13"/>
      <c r="H907" s="13"/>
      <c r="I907" s="13"/>
      <c r="J907" s="13"/>
      <c r="K907" s="13"/>
      <c r="L907" s="13"/>
      <c r="M907" s="13"/>
      <c r="N907" s="13"/>
      <c r="O907" s="13"/>
      <c r="P907" s="13"/>
      <c r="Q907" s="13"/>
      <c r="R907" s="13"/>
      <c r="S907" s="13"/>
      <c r="T907" s="13"/>
      <c r="U907" s="13"/>
      <c r="V907" s="13"/>
      <c r="W907" s="13"/>
      <c r="X907" s="13"/>
      <c r="Y907" s="13"/>
    </row>
    <row r="908" spans="1:25" ht="15.75" customHeight="1" x14ac:dyDescent="0.25">
      <c r="A908" s="13"/>
      <c r="B908" s="13"/>
      <c r="C908" s="13"/>
      <c r="D908" s="13"/>
      <c r="E908" s="13"/>
      <c r="F908" s="13"/>
      <c r="G908" s="13"/>
      <c r="H908" s="13"/>
      <c r="I908" s="13"/>
      <c r="J908" s="13"/>
      <c r="K908" s="13"/>
      <c r="L908" s="13"/>
      <c r="M908" s="13"/>
      <c r="N908" s="13"/>
      <c r="O908" s="13"/>
      <c r="P908" s="13"/>
      <c r="Q908" s="13"/>
      <c r="R908" s="13"/>
      <c r="S908" s="13"/>
      <c r="T908" s="13"/>
      <c r="U908" s="13"/>
      <c r="V908" s="13"/>
      <c r="W908" s="13"/>
      <c r="X908" s="13"/>
      <c r="Y908" s="13"/>
    </row>
    <row r="909" spans="1:25" ht="15.75" customHeight="1" x14ac:dyDescent="0.25">
      <c r="A909" s="13"/>
      <c r="B909" s="13"/>
      <c r="C909" s="13"/>
      <c r="D909" s="13"/>
      <c r="E909" s="13"/>
      <c r="F909" s="13"/>
      <c r="G909" s="13"/>
      <c r="H909" s="13"/>
      <c r="I909" s="13"/>
      <c r="J909" s="13"/>
      <c r="K909" s="13"/>
      <c r="L909" s="13"/>
      <c r="M909" s="13"/>
      <c r="N909" s="13"/>
      <c r="O909" s="13"/>
      <c r="P909" s="13"/>
      <c r="Q909" s="13"/>
      <c r="R909" s="13"/>
      <c r="S909" s="13"/>
      <c r="T909" s="13"/>
      <c r="U909" s="13"/>
      <c r="V909" s="13"/>
      <c r="W909" s="13"/>
      <c r="X909" s="13"/>
      <c r="Y909" s="13"/>
    </row>
    <row r="910" spans="1:25" ht="15.75" customHeight="1" x14ac:dyDescent="0.25">
      <c r="A910" s="13"/>
      <c r="B910" s="13"/>
      <c r="C910" s="13"/>
      <c r="D910" s="13"/>
      <c r="E910" s="13"/>
      <c r="F910" s="13"/>
      <c r="G910" s="13"/>
      <c r="H910" s="13"/>
      <c r="I910" s="13"/>
      <c r="J910" s="13"/>
      <c r="K910" s="13"/>
      <c r="L910" s="13"/>
      <c r="M910" s="13"/>
      <c r="N910" s="13"/>
      <c r="O910" s="13"/>
      <c r="P910" s="13"/>
      <c r="Q910" s="13"/>
      <c r="R910" s="13"/>
      <c r="S910" s="13"/>
      <c r="T910" s="13"/>
      <c r="U910" s="13"/>
      <c r="V910" s="13"/>
      <c r="W910" s="13"/>
      <c r="X910" s="13"/>
      <c r="Y910" s="13"/>
    </row>
    <row r="911" spans="1:25" ht="15.75" customHeight="1" x14ac:dyDescent="0.25">
      <c r="A911" s="13"/>
      <c r="B911" s="13"/>
      <c r="C911" s="13"/>
      <c r="D911" s="13"/>
      <c r="E911" s="13"/>
      <c r="F911" s="13"/>
      <c r="G911" s="13"/>
      <c r="H911" s="13"/>
      <c r="I911" s="13"/>
      <c r="J911" s="13"/>
      <c r="K911" s="13"/>
      <c r="L911" s="13"/>
      <c r="M911" s="13"/>
      <c r="N911" s="13"/>
      <c r="O911" s="13"/>
      <c r="P911" s="13"/>
      <c r="Q911" s="13"/>
      <c r="R911" s="13"/>
      <c r="S911" s="13"/>
      <c r="T911" s="13"/>
      <c r="U911" s="13"/>
      <c r="V911" s="13"/>
      <c r="W911" s="13"/>
      <c r="X911" s="13"/>
      <c r="Y911" s="13"/>
    </row>
    <row r="912" spans="1:25" ht="15.75" customHeight="1" x14ac:dyDescent="0.25">
      <c r="A912" s="13"/>
      <c r="B912" s="13"/>
      <c r="C912" s="13"/>
      <c r="D912" s="13"/>
      <c r="E912" s="13"/>
      <c r="F912" s="13"/>
      <c r="G912" s="13"/>
      <c r="H912" s="13"/>
      <c r="I912" s="13"/>
      <c r="J912" s="13"/>
      <c r="K912" s="13"/>
      <c r="L912" s="13"/>
      <c r="M912" s="13"/>
      <c r="N912" s="13"/>
      <c r="O912" s="13"/>
      <c r="P912" s="13"/>
      <c r="Q912" s="13"/>
      <c r="R912" s="13"/>
      <c r="S912" s="13"/>
      <c r="T912" s="13"/>
      <c r="U912" s="13"/>
      <c r="V912" s="13"/>
      <c r="W912" s="13"/>
      <c r="X912" s="13"/>
      <c r="Y912" s="13"/>
    </row>
    <row r="913" spans="1:25" ht="15.75" customHeight="1" x14ac:dyDescent="0.25">
      <c r="A913" s="13"/>
      <c r="B913" s="13"/>
      <c r="C913" s="13"/>
      <c r="D913" s="13"/>
      <c r="E913" s="13"/>
      <c r="F913" s="13"/>
      <c r="G913" s="13"/>
      <c r="H913" s="13"/>
      <c r="I913" s="13"/>
      <c r="J913" s="13"/>
      <c r="K913" s="13"/>
      <c r="L913" s="13"/>
      <c r="M913" s="13"/>
      <c r="N913" s="13"/>
      <c r="O913" s="13"/>
      <c r="P913" s="13"/>
      <c r="Q913" s="13"/>
      <c r="R913" s="13"/>
      <c r="S913" s="13"/>
      <c r="T913" s="13"/>
      <c r="U913" s="13"/>
      <c r="V913" s="13"/>
      <c r="W913" s="13"/>
      <c r="X913" s="13"/>
      <c r="Y913" s="13"/>
    </row>
    <row r="914" spans="1:25" ht="15.75" customHeight="1" x14ac:dyDescent="0.25">
      <c r="A914" s="13"/>
      <c r="B914" s="13"/>
      <c r="C914" s="13"/>
      <c r="D914" s="13"/>
      <c r="E914" s="13"/>
      <c r="F914" s="13"/>
      <c r="G914" s="13"/>
      <c r="H914" s="13"/>
      <c r="I914" s="13"/>
      <c r="J914" s="13"/>
      <c r="K914" s="13"/>
      <c r="L914" s="13"/>
      <c r="M914" s="13"/>
      <c r="N914" s="13"/>
      <c r="O914" s="13"/>
      <c r="P914" s="13"/>
      <c r="Q914" s="13"/>
      <c r="R914" s="13"/>
      <c r="S914" s="13"/>
      <c r="T914" s="13"/>
      <c r="U914" s="13"/>
      <c r="V914" s="13"/>
      <c r="W914" s="13"/>
      <c r="X914" s="13"/>
      <c r="Y914" s="13"/>
    </row>
    <row r="915" spans="1:25" ht="15.75" customHeight="1" x14ac:dyDescent="0.25">
      <c r="A915" s="13"/>
      <c r="B915" s="13"/>
      <c r="C915" s="13"/>
      <c r="D915" s="13"/>
      <c r="E915" s="13"/>
      <c r="F915" s="13"/>
      <c r="G915" s="13"/>
      <c r="H915" s="13"/>
      <c r="I915" s="13"/>
      <c r="J915" s="13"/>
      <c r="K915" s="13"/>
      <c r="L915" s="13"/>
      <c r="M915" s="13"/>
      <c r="N915" s="13"/>
      <c r="O915" s="13"/>
      <c r="P915" s="13"/>
      <c r="Q915" s="13"/>
      <c r="R915" s="13"/>
      <c r="S915" s="13"/>
      <c r="T915" s="13"/>
      <c r="U915" s="13"/>
      <c r="V915" s="13"/>
      <c r="W915" s="13"/>
      <c r="X915" s="13"/>
      <c r="Y915" s="13"/>
    </row>
    <row r="916" spans="1:25" ht="15.75" customHeight="1" x14ac:dyDescent="0.25">
      <c r="A916" s="13"/>
      <c r="B916" s="13"/>
      <c r="C916" s="13"/>
      <c r="D916" s="13"/>
      <c r="E916" s="13"/>
      <c r="F916" s="13"/>
      <c r="G916" s="13"/>
      <c r="H916" s="13"/>
      <c r="I916" s="13"/>
      <c r="J916" s="13"/>
      <c r="K916" s="13"/>
      <c r="L916" s="13"/>
      <c r="M916" s="13"/>
      <c r="N916" s="13"/>
      <c r="O916" s="13"/>
      <c r="P916" s="13"/>
      <c r="Q916" s="13"/>
      <c r="R916" s="13"/>
      <c r="S916" s="13"/>
      <c r="T916" s="13"/>
      <c r="U916" s="13"/>
      <c r="V916" s="13"/>
      <c r="W916" s="13"/>
      <c r="X916" s="13"/>
      <c r="Y916" s="13"/>
    </row>
    <row r="917" spans="1:25" ht="15.75" customHeight="1" x14ac:dyDescent="0.25">
      <c r="A917" s="13"/>
      <c r="B917" s="13"/>
      <c r="C917" s="13"/>
      <c r="D917" s="13"/>
      <c r="E917" s="13"/>
      <c r="F917" s="13"/>
      <c r="G917" s="13"/>
      <c r="H917" s="13"/>
      <c r="I917" s="13"/>
      <c r="J917" s="13"/>
      <c r="K917" s="13"/>
      <c r="L917" s="13"/>
      <c r="M917" s="13"/>
      <c r="N917" s="13"/>
      <c r="O917" s="13"/>
      <c r="P917" s="13"/>
      <c r="Q917" s="13"/>
      <c r="R917" s="13"/>
      <c r="S917" s="13"/>
      <c r="T917" s="13"/>
      <c r="U917" s="13"/>
      <c r="V917" s="13"/>
      <c r="W917" s="13"/>
      <c r="X917" s="13"/>
      <c r="Y917" s="13"/>
    </row>
    <row r="918" spans="1:25" ht="15.75" customHeight="1" x14ac:dyDescent="0.25">
      <c r="A918" s="13"/>
      <c r="B918" s="13"/>
      <c r="C918" s="13"/>
      <c r="D918" s="13"/>
      <c r="E918" s="13"/>
      <c r="F918" s="13"/>
      <c r="G918" s="13"/>
      <c r="H918" s="13"/>
      <c r="I918" s="13"/>
      <c r="J918" s="13"/>
      <c r="K918" s="13"/>
      <c r="L918" s="13"/>
      <c r="M918" s="13"/>
      <c r="N918" s="13"/>
      <c r="O918" s="13"/>
      <c r="P918" s="13"/>
      <c r="Q918" s="13"/>
      <c r="R918" s="13"/>
      <c r="S918" s="13"/>
      <c r="T918" s="13"/>
      <c r="U918" s="13"/>
      <c r="V918" s="13"/>
      <c r="W918" s="13"/>
      <c r="X918" s="13"/>
      <c r="Y918" s="13"/>
    </row>
    <row r="919" spans="1:25" ht="15.75" customHeight="1" x14ac:dyDescent="0.25">
      <c r="A919" s="13"/>
      <c r="B919" s="13"/>
      <c r="C919" s="13"/>
      <c r="D919" s="13"/>
      <c r="E919" s="13"/>
      <c r="F919" s="13"/>
      <c r="G919" s="13"/>
      <c r="H919" s="13"/>
      <c r="I919" s="13"/>
      <c r="J919" s="13"/>
      <c r="K919" s="13"/>
      <c r="L919" s="13"/>
      <c r="M919" s="13"/>
      <c r="N919" s="13"/>
      <c r="O919" s="13"/>
      <c r="P919" s="13"/>
      <c r="Q919" s="13"/>
      <c r="R919" s="13"/>
      <c r="S919" s="13"/>
      <c r="T919" s="13"/>
      <c r="U919" s="13"/>
      <c r="V919" s="13"/>
      <c r="W919" s="13"/>
      <c r="X919" s="13"/>
      <c r="Y919" s="13"/>
    </row>
    <row r="920" spans="1:25" ht="15.75" customHeight="1" x14ac:dyDescent="0.25">
      <c r="A920" s="13"/>
      <c r="B920" s="13"/>
      <c r="C920" s="13"/>
      <c r="D920" s="13"/>
      <c r="E920" s="13"/>
      <c r="F920" s="13"/>
      <c r="G920" s="13"/>
      <c r="H920" s="13"/>
      <c r="I920" s="13"/>
      <c r="J920" s="13"/>
      <c r="K920" s="13"/>
      <c r="L920" s="13"/>
      <c r="M920" s="13"/>
      <c r="N920" s="13"/>
      <c r="O920" s="13"/>
      <c r="P920" s="13"/>
      <c r="Q920" s="13"/>
      <c r="R920" s="13"/>
      <c r="S920" s="13"/>
      <c r="T920" s="13"/>
      <c r="U920" s="13"/>
      <c r="V920" s="13"/>
      <c r="W920" s="13"/>
      <c r="X920" s="13"/>
      <c r="Y920" s="13"/>
    </row>
    <row r="921" spans="1:25" ht="15.75" customHeight="1" x14ac:dyDescent="0.25">
      <c r="A921" s="13"/>
      <c r="B921" s="13"/>
      <c r="C921" s="13"/>
      <c r="D921" s="13"/>
      <c r="E921" s="13"/>
      <c r="F921" s="13"/>
      <c r="G921" s="13"/>
      <c r="H921" s="13"/>
      <c r="I921" s="13"/>
      <c r="J921" s="13"/>
      <c r="K921" s="13"/>
      <c r="L921" s="13"/>
      <c r="M921" s="13"/>
      <c r="N921" s="13"/>
      <c r="O921" s="13"/>
      <c r="P921" s="13"/>
      <c r="Q921" s="13"/>
      <c r="R921" s="13"/>
      <c r="S921" s="13"/>
      <c r="T921" s="13"/>
      <c r="U921" s="13"/>
      <c r="V921" s="13"/>
      <c r="W921" s="13"/>
      <c r="X921" s="13"/>
      <c r="Y921" s="13"/>
    </row>
    <row r="922" spans="1:25" ht="15.75" customHeight="1" x14ac:dyDescent="0.25">
      <c r="A922" s="13"/>
      <c r="B922" s="13"/>
      <c r="C922" s="13"/>
      <c r="D922" s="13"/>
      <c r="E922" s="13"/>
      <c r="F922" s="13"/>
      <c r="G922" s="13"/>
      <c r="H922" s="13"/>
      <c r="I922" s="13"/>
      <c r="J922" s="13"/>
      <c r="K922" s="13"/>
      <c r="L922" s="13"/>
      <c r="M922" s="13"/>
      <c r="N922" s="13"/>
      <c r="O922" s="13"/>
      <c r="P922" s="13"/>
      <c r="Q922" s="13"/>
      <c r="R922" s="13"/>
      <c r="S922" s="13"/>
      <c r="T922" s="13"/>
      <c r="U922" s="13"/>
      <c r="V922" s="13"/>
      <c r="W922" s="13"/>
      <c r="X922" s="13"/>
      <c r="Y922" s="13"/>
    </row>
    <row r="923" spans="1:25" ht="15.75" customHeight="1" x14ac:dyDescent="0.25">
      <c r="A923" s="13"/>
      <c r="B923" s="13"/>
      <c r="C923" s="13"/>
      <c r="D923" s="13"/>
      <c r="E923" s="13"/>
      <c r="F923" s="13"/>
      <c r="G923" s="13"/>
      <c r="H923" s="13"/>
      <c r="I923" s="13"/>
      <c r="J923" s="13"/>
      <c r="K923" s="13"/>
      <c r="L923" s="13"/>
      <c r="M923" s="13"/>
      <c r="N923" s="13"/>
      <c r="O923" s="13"/>
      <c r="P923" s="13"/>
      <c r="Q923" s="13"/>
      <c r="R923" s="13"/>
      <c r="S923" s="13"/>
      <c r="T923" s="13"/>
      <c r="U923" s="13"/>
      <c r="V923" s="13"/>
      <c r="W923" s="13"/>
      <c r="X923" s="13"/>
      <c r="Y923" s="13"/>
    </row>
    <row r="924" spans="1:25" ht="15.75" customHeight="1" x14ac:dyDescent="0.25">
      <c r="A924" s="13"/>
      <c r="B924" s="13"/>
      <c r="C924" s="13"/>
      <c r="D924" s="13"/>
      <c r="E924" s="13"/>
      <c r="F924" s="13"/>
      <c r="G924" s="13"/>
      <c r="H924" s="13"/>
      <c r="I924" s="13"/>
      <c r="J924" s="13"/>
      <c r="K924" s="13"/>
      <c r="L924" s="13"/>
      <c r="M924" s="13"/>
      <c r="N924" s="13"/>
      <c r="O924" s="13"/>
      <c r="P924" s="13"/>
      <c r="Q924" s="13"/>
      <c r="R924" s="13"/>
      <c r="S924" s="13"/>
      <c r="T924" s="13"/>
      <c r="U924" s="13"/>
      <c r="V924" s="13"/>
      <c r="W924" s="13"/>
      <c r="X924" s="13"/>
      <c r="Y924" s="13"/>
    </row>
    <row r="925" spans="1:25" ht="15.75" customHeight="1" x14ac:dyDescent="0.25">
      <c r="A925" s="13"/>
      <c r="B925" s="13"/>
      <c r="C925" s="13"/>
      <c r="D925" s="13"/>
      <c r="E925" s="13"/>
      <c r="F925" s="13"/>
      <c r="G925" s="13"/>
      <c r="H925" s="13"/>
      <c r="I925" s="13"/>
      <c r="J925" s="13"/>
      <c r="K925" s="13"/>
      <c r="L925" s="13"/>
      <c r="M925" s="13"/>
      <c r="N925" s="13"/>
      <c r="O925" s="13"/>
      <c r="P925" s="13"/>
      <c r="Q925" s="13"/>
      <c r="R925" s="13"/>
      <c r="S925" s="13"/>
      <c r="T925" s="13"/>
      <c r="U925" s="13"/>
      <c r="V925" s="13"/>
      <c r="W925" s="13"/>
      <c r="X925" s="13"/>
      <c r="Y925" s="13"/>
    </row>
    <row r="926" spans="1:25" ht="15.75" customHeight="1" x14ac:dyDescent="0.25">
      <c r="A926" s="13"/>
      <c r="B926" s="13"/>
      <c r="C926" s="13"/>
      <c r="D926" s="13"/>
      <c r="E926" s="13"/>
      <c r="F926" s="13"/>
      <c r="G926" s="13"/>
      <c r="H926" s="13"/>
      <c r="I926" s="13"/>
      <c r="J926" s="13"/>
      <c r="K926" s="13"/>
      <c r="L926" s="13"/>
      <c r="M926" s="13"/>
      <c r="N926" s="13"/>
      <c r="O926" s="13"/>
      <c r="P926" s="13"/>
      <c r="Q926" s="13"/>
      <c r="R926" s="13"/>
      <c r="S926" s="13"/>
      <c r="T926" s="13"/>
      <c r="U926" s="13"/>
      <c r="V926" s="13"/>
      <c r="W926" s="13"/>
      <c r="X926" s="13"/>
      <c r="Y926" s="13"/>
    </row>
    <row r="927" spans="1:25" ht="15.75" customHeight="1" x14ac:dyDescent="0.25">
      <c r="A927" s="13"/>
      <c r="B927" s="13"/>
      <c r="C927" s="13"/>
      <c r="D927" s="13"/>
      <c r="E927" s="13"/>
      <c r="F927" s="13"/>
      <c r="G927" s="13"/>
      <c r="H927" s="13"/>
      <c r="I927" s="13"/>
      <c r="J927" s="13"/>
      <c r="K927" s="13"/>
      <c r="L927" s="13"/>
      <c r="M927" s="13"/>
      <c r="N927" s="13"/>
      <c r="O927" s="13"/>
      <c r="P927" s="13"/>
      <c r="Q927" s="13"/>
      <c r="R927" s="13"/>
      <c r="S927" s="13"/>
      <c r="T927" s="13"/>
      <c r="U927" s="13"/>
      <c r="V927" s="13"/>
      <c r="W927" s="13"/>
      <c r="X927" s="13"/>
      <c r="Y927" s="13"/>
    </row>
    <row r="928" spans="1:25" ht="15.75" customHeight="1" x14ac:dyDescent="0.25">
      <c r="A928" s="13"/>
      <c r="B928" s="13"/>
      <c r="C928" s="13"/>
      <c r="D928" s="13"/>
      <c r="E928" s="13"/>
      <c r="F928" s="13"/>
      <c r="G928" s="13"/>
      <c r="H928" s="13"/>
      <c r="I928" s="13"/>
      <c r="J928" s="13"/>
      <c r="K928" s="13"/>
      <c r="L928" s="13"/>
      <c r="M928" s="13"/>
      <c r="N928" s="13"/>
      <c r="O928" s="13"/>
      <c r="P928" s="13"/>
      <c r="Q928" s="13"/>
      <c r="R928" s="13"/>
      <c r="S928" s="13"/>
      <c r="T928" s="13"/>
      <c r="U928" s="13"/>
      <c r="V928" s="13"/>
      <c r="W928" s="13"/>
      <c r="X928" s="13"/>
      <c r="Y928" s="13"/>
    </row>
    <row r="929" spans="1:25" ht="15.75" customHeight="1" x14ac:dyDescent="0.25">
      <c r="A929" s="13"/>
      <c r="B929" s="13"/>
      <c r="C929" s="13"/>
      <c r="D929" s="13"/>
      <c r="E929" s="13"/>
      <c r="F929" s="13"/>
      <c r="G929" s="13"/>
      <c r="H929" s="13"/>
      <c r="I929" s="13"/>
      <c r="J929" s="13"/>
      <c r="K929" s="13"/>
      <c r="L929" s="13"/>
      <c r="M929" s="13"/>
      <c r="N929" s="13"/>
      <c r="O929" s="13"/>
      <c r="P929" s="13"/>
      <c r="Q929" s="13"/>
      <c r="R929" s="13"/>
      <c r="S929" s="13"/>
      <c r="T929" s="13"/>
      <c r="U929" s="13"/>
      <c r="V929" s="13"/>
      <c r="W929" s="13"/>
      <c r="X929" s="13"/>
      <c r="Y929" s="13"/>
    </row>
    <row r="930" spans="1:25" ht="15.75" customHeight="1" x14ac:dyDescent="0.25">
      <c r="A930" s="13"/>
      <c r="B930" s="13"/>
      <c r="C930" s="13"/>
      <c r="D930" s="13"/>
      <c r="E930" s="13"/>
      <c r="F930" s="13"/>
      <c r="G930" s="13"/>
      <c r="H930" s="13"/>
      <c r="I930" s="13"/>
      <c r="J930" s="13"/>
      <c r="K930" s="13"/>
      <c r="L930" s="13"/>
      <c r="M930" s="13"/>
      <c r="N930" s="13"/>
      <c r="O930" s="13"/>
      <c r="P930" s="13"/>
      <c r="Q930" s="13"/>
      <c r="R930" s="13"/>
      <c r="S930" s="13"/>
      <c r="T930" s="13"/>
      <c r="U930" s="13"/>
      <c r="V930" s="13"/>
      <c r="W930" s="13"/>
      <c r="X930" s="13"/>
      <c r="Y930" s="13"/>
    </row>
    <row r="931" spans="1:25" ht="15.75" customHeight="1" x14ac:dyDescent="0.25">
      <c r="A931" s="13"/>
      <c r="B931" s="13"/>
      <c r="C931" s="13"/>
      <c r="D931" s="13"/>
      <c r="E931" s="13"/>
      <c r="F931" s="13"/>
      <c r="G931" s="13"/>
      <c r="H931" s="13"/>
      <c r="I931" s="13"/>
      <c r="J931" s="13"/>
      <c r="K931" s="13"/>
      <c r="L931" s="13"/>
      <c r="M931" s="13"/>
      <c r="N931" s="13"/>
      <c r="O931" s="13"/>
      <c r="P931" s="13"/>
      <c r="Q931" s="13"/>
      <c r="R931" s="13"/>
      <c r="S931" s="13"/>
      <c r="T931" s="13"/>
      <c r="U931" s="13"/>
      <c r="V931" s="13"/>
      <c r="W931" s="13"/>
      <c r="X931" s="13"/>
      <c r="Y931" s="13"/>
    </row>
    <row r="932" spans="1:25" ht="15.75" customHeight="1" x14ac:dyDescent="0.25">
      <c r="A932" s="13"/>
      <c r="B932" s="13"/>
      <c r="C932" s="13"/>
      <c r="D932" s="13"/>
      <c r="E932" s="13"/>
      <c r="F932" s="13"/>
      <c r="G932" s="13"/>
      <c r="H932" s="13"/>
      <c r="I932" s="13"/>
      <c r="J932" s="13"/>
      <c r="K932" s="13"/>
      <c r="L932" s="13"/>
      <c r="M932" s="13"/>
      <c r="N932" s="13"/>
      <c r="O932" s="13"/>
      <c r="P932" s="13"/>
      <c r="Q932" s="13"/>
      <c r="R932" s="13"/>
      <c r="S932" s="13"/>
      <c r="T932" s="13"/>
      <c r="U932" s="13"/>
      <c r="V932" s="13"/>
      <c r="W932" s="13"/>
      <c r="X932" s="13"/>
      <c r="Y932" s="13"/>
    </row>
    <row r="933" spans="1:25" ht="15.75" customHeight="1" x14ac:dyDescent="0.25">
      <c r="A933" s="13"/>
      <c r="B933" s="13"/>
      <c r="C933" s="13"/>
      <c r="D933" s="13"/>
      <c r="E933" s="13"/>
      <c r="F933" s="13"/>
      <c r="G933" s="13"/>
      <c r="H933" s="13"/>
      <c r="I933" s="13"/>
      <c r="J933" s="13"/>
      <c r="K933" s="13"/>
      <c r="L933" s="13"/>
      <c r="M933" s="13"/>
      <c r="N933" s="13"/>
      <c r="O933" s="13"/>
      <c r="P933" s="13"/>
      <c r="Q933" s="13"/>
      <c r="R933" s="13"/>
      <c r="S933" s="13"/>
      <c r="T933" s="13"/>
      <c r="U933" s="13"/>
      <c r="V933" s="13"/>
      <c r="W933" s="13"/>
      <c r="X933" s="13"/>
      <c r="Y933" s="13"/>
    </row>
    <row r="934" spans="1:25" ht="15.75" customHeight="1" x14ac:dyDescent="0.25">
      <c r="A934" s="13"/>
      <c r="B934" s="13"/>
      <c r="C934" s="13"/>
      <c r="D934" s="13"/>
      <c r="E934" s="13"/>
      <c r="F934" s="13"/>
      <c r="G934" s="13"/>
      <c r="H934" s="13"/>
      <c r="I934" s="13"/>
      <c r="J934" s="13"/>
      <c r="K934" s="13"/>
      <c r="L934" s="13"/>
      <c r="M934" s="13"/>
      <c r="N934" s="13"/>
      <c r="O934" s="13"/>
      <c r="P934" s="13"/>
      <c r="Q934" s="13"/>
      <c r="R934" s="13"/>
      <c r="S934" s="13"/>
      <c r="T934" s="13"/>
      <c r="U934" s="13"/>
      <c r="V934" s="13"/>
      <c r="W934" s="13"/>
      <c r="X934" s="13"/>
      <c r="Y934" s="13"/>
    </row>
    <row r="935" spans="1:25" ht="15.75" customHeight="1" x14ac:dyDescent="0.25">
      <c r="A935" s="13"/>
      <c r="B935" s="13"/>
      <c r="C935" s="13"/>
      <c r="D935" s="13"/>
      <c r="E935" s="13"/>
      <c r="F935" s="13"/>
      <c r="G935" s="13"/>
      <c r="H935" s="13"/>
      <c r="I935" s="13"/>
      <c r="J935" s="13"/>
      <c r="K935" s="13"/>
      <c r="L935" s="13"/>
      <c r="M935" s="13"/>
      <c r="N935" s="13"/>
      <c r="O935" s="13"/>
      <c r="P935" s="13"/>
      <c r="Q935" s="13"/>
      <c r="R935" s="13"/>
      <c r="S935" s="13"/>
      <c r="T935" s="13"/>
      <c r="U935" s="13"/>
      <c r="V935" s="13"/>
      <c r="W935" s="13"/>
      <c r="X935" s="13"/>
      <c r="Y935" s="13"/>
    </row>
    <row r="936" spans="1:25" ht="15.75" customHeight="1" x14ac:dyDescent="0.25">
      <c r="A936" s="13"/>
      <c r="B936" s="13"/>
      <c r="C936" s="13"/>
      <c r="D936" s="13"/>
      <c r="E936" s="13"/>
      <c r="F936" s="13"/>
      <c r="G936" s="13"/>
      <c r="H936" s="13"/>
      <c r="I936" s="13"/>
      <c r="J936" s="13"/>
      <c r="K936" s="13"/>
      <c r="L936" s="13"/>
      <c r="M936" s="13"/>
      <c r="N936" s="13"/>
      <c r="O936" s="13"/>
      <c r="P936" s="13"/>
      <c r="Q936" s="13"/>
      <c r="R936" s="13"/>
      <c r="S936" s="13"/>
      <c r="T936" s="13"/>
      <c r="U936" s="13"/>
      <c r="V936" s="13"/>
      <c r="W936" s="13"/>
      <c r="X936" s="13"/>
      <c r="Y936" s="13"/>
    </row>
    <row r="937" spans="1:25" ht="15.75" customHeight="1" x14ac:dyDescent="0.25">
      <c r="A937" s="13"/>
      <c r="B937" s="13"/>
      <c r="C937" s="13"/>
      <c r="D937" s="13"/>
      <c r="E937" s="13"/>
      <c r="F937" s="13"/>
      <c r="G937" s="13"/>
      <c r="H937" s="13"/>
      <c r="I937" s="13"/>
      <c r="J937" s="13"/>
      <c r="K937" s="13"/>
      <c r="L937" s="13"/>
      <c r="M937" s="13"/>
      <c r="N937" s="13"/>
      <c r="O937" s="13"/>
      <c r="P937" s="13"/>
      <c r="Q937" s="13"/>
      <c r="R937" s="13"/>
      <c r="S937" s="13"/>
      <c r="T937" s="13"/>
      <c r="U937" s="13"/>
      <c r="V937" s="13"/>
      <c r="W937" s="13"/>
      <c r="X937" s="13"/>
      <c r="Y937" s="13"/>
    </row>
    <row r="938" spans="1:25" ht="15.75" customHeight="1" x14ac:dyDescent="0.25">
      <c r="A938" s="13"/>
      <c r="B938" s="13"/>
      <c r="C938" s="13"/>
      <c r="D938" s="13"/>
      <c r="E938" s="13"/>
      <c r="F938" s="13"/>
      <c r="G938" s="13"/>
      <c r="H938" s="13"/>
      <c r="I938" s="13"/>
      <c r="J938" s="13"/>
      <c r="K938" s="13"/>
      <c r="L938" s="13"/>
      <c r="M938" s="13"/>
      <c r="N938" s="13"/>
      <c r="O938" s="13"/>
      <c r="P938" s="13"/>
      <c r="Q938" s="13"/>
      <c r="R938" s="13"/>
      <c r="S938" s="13"/>
      <c r="T938" s="13"/>
      <c r="U938" s="13"/>
      <c r="V938" s="13"/>
      <c r="W938" s="13"/>
      <c r="X938" s="13"/>
      <c r="Y938" s="13"/>
    </row>
    <row r="939" spans="1:25" ht="15.75" customHeight="1" x14ac:dyDescent="0.25">
      <c r="A939" s="13"/>
      <c r="B939" s="13"/>
      <c r="C939" s="13"/>
      <c r="D939" s="13"/>
      <c r="E939" s="13"/>
      <c r="F939" s="13"/>
      <c r="G939" s="13"/>
      <c r="H939" s="13"/>
      <c r="I939" s="13"/>
      <c r="J939" s="13"/>
      <c r="K939" s="13"/>
      <c r="L939" s="13"/>
      <c r="M939" s="13"/>
      <c r="N939" s="13"/>
      <c r="O939" s="13"/>
      <c r="P939" s="13"/>
      <c r="Q939" s="13"/>
      <c r="R939" s="13"/>
      <c r="S939" s="13"/>
      <c r="T939" s="13"/>
      <c r="U939" s="13"/>
      <c r="V939" s="13"/>
      <c r="W939" s="13"/>
      <c r="X939" s="13"/>
      <c r="Y939" s="13"/>
    </row>
    <row r="940" spans="1:25" ht="15.75" customHeight="1" x14ac:dyDescent="0.25">
      <c r="A940" s="13"/>
      <c r="B940" s="13"/>
      <c r="C940" s="13"/>
      <c r="D940" s="13"/>
      <c r="E940" s="13"/>
      <c r="F940" s="13"/>
      <c r="G940" s="13"/>
      <c r="H940" s="13"/>
      <c r="I940" s="13"/>
      <c r="J940" s="13"/>
      <c r="K940" s="13"/>
      <c r="L940" s="13"/>
      <c r="M940" s="13"/>
      <c r="N940" s="13"/>
      <c r="O940" s="13"/>
      <c r="P940" s="13"/>
      <c r="Q940" s="13"/>
      <c r="R940" s="13"/>
      <c r="S940" s="13"/>
      <c r="T940" s="13"/>
      <c r="U940" s="13"/>
      <c r="V940" s="13"/>
      <c r="W940" s="13"/>
      <c r="X940" s="13"/>
      <c r="Y940" s="13"/>
    </row>
    <row r="941" spans="1:25" ht="15.75" customHeight="1" x14ac:dyDescent="0.25">
      <c r="A941" s="13"/>
      <c r="B941" s="13"/>
      <c r="C941" s="13"/>
      <c r="D941" s="13"/>
      <c r="E941" s="13"/>
      <c r="F941" s="13"/>
      <c r="G941" s="13"/>
      <c r="H941" s="13"/>
      <c r="I941" s="13"/>
      <c r="J941" s="13"/>
      <c r="K941" s="13"/>
      <c r="L941" s="13"/>
      <c r="M941" s="13"/>
      <c r="N941" s="13"/>
      <c r="O941" s="13"/>
      <c r="P941" s="13"/>
      <c r="Q941" s="13"/>
      <c r="R941" s="13"/>
      <c r="S941" s="13"/>
      <c r="T941" s="13"/>
      <c r="U941" s="13"/>
      <c r="V941" s="13"/>
      <c r="W941" s="13"/>
      <c r="X941" s="13"/>
      <c r="Y941" s="13"/>
    </row>
    <row r="942" spans="1:25" ht="15.75" customHeight="1" x14ac:dyDescent="0.25">
      <c r="A942" s="13"/>
      <c r="B942" s="13"/>
      <c r="C942" s="13"/>
      <c r="D942" s="13"/>
      <c r="E942" s="13"/>
      <c r="F942" s="13"/>
      <c r="G942" s="13"/>
      <c r="H942" s="13"/>
      <c r="I942" s="13"/>
      <c r="J942" s="13"/>
      <c r="K942" s="13"/>
      <c r="L942" s="13"/>
      <c r="M942" s="13"/>
      <c r="N942" s="13"/>
      <c r="O942" s="13"/>
      <c r="P942" s="13"/>
      <c r="Q942" s="13"/>
      <c r="R942" s="13"/>
      <c r="S942" s="13"/>
      <c r="T942" s="13"/>
      <c r="U942" s="13"/>
      <c r="V942" s="13"/>
      <c r="W942" s="13"/>
      <c r="X942" s="13"/>
      <c r="Y942" s="13"/>
    </row>
    <row r="943" spans="1:25" ht="15.75" customHeight="1" x14ac:dyDescent="0.25">
      <c r="A943" s="13"/>
      <c r="B943" s="13"/>
      <c r="C943" s="13"/>
      <c r="D943" s="13"/>
      <c r="E943" s="13"/>
      <c r="F943" s="13"/>
      <c r="G943" s="13"/>
      <c r="H943" s="13"/>
      <c r="I943" s="13"/>
      <c r="J943" s="13"/>
      <c r="K943" s="13"/>
      <c r="L943" s="13"/>
      <c r="M943" s="13"/>
      <c r="N943" s="13"/>
      <c r="O943" s="13"/>
      <c r="P943" s="13"/>
      <c r="Q943" s="13"/>
      <c r="R943" s="13"/>
      <c r="S943" s="13"/>
      <c r="T943" s="13"/>
      <c r="U943" s="13"/>
      <c r="V943" s="13"/>
      <c r="W943" s="13"/>
      <c r="X943" s="13"/>
      <c r="Y943" s="13"/>
    </row>
    <row r="944" spans="1:25" ht="15.75" customHeight="1" x14ac:dyDescent="0.25">
      <c r="A944" s="13"/>
      <c r="B944" s="13"/>
      <c r="C944" s="13"/>
      <c r="D944" s="13"/>
      <c r="E944" s="13"/>
      <c r="F944" s="13"/>
      <c r="G944" s="13"/>
      <c r="H944" s="13"/>
      <c r="I944" s="13"/>
      <c r="J944" s="13"/>
      <c r="K944" s="13"/>
      <c r="L944" s="13"/>
      <c r="M944" s="13"/>
      <c r="N944" s="13"/>
      <c r="O944" s="13"/>
      <c r="P944" s="13"/>
      <c r="Q944" s="13"/>
      <c r="R944" s="13"/>
      <c r="S944" s="13"/>
      <c r="T944" s="13"/>
      <c r="U944" s="13"/>
      <c r="V944" s="13"/>
      <c r="W944" s="13"/>
      <c r="X944" s="13"/>
      <c r="Y944" s="13"/>
    </row>
    <row r="945" spans="1:25" ht="15.75" customHeight="1" x14ac:dyDescent="0.25">
      <c r="A945" s="13"/>
      <c r="B945" s="13"/>
      <c r="C945" s="13"/>
      <c r="D945" s="13"/>
      <c r="E945" s="13"/>
      <c r="F945" s="13"/>
      <c r="G945" s="13"/>
      <c r="H945" s="13"/>
      <c r="I945" s="13"/>
      <c r="J945" s="13"/>
      <c r="K945" s="13"/>
      <c r="L945" s="13"/>
      <c r="M945" s="13"/>
      <c r="N945" s="13"/>
      <c r="O945" s="13"/>
      <c r="P945" s="13"/>
      <c r="Q945" s="13"/>
      <c r="R945" s="13"/>
      <c r="S945" s="13"/>
      <c r="T945" s="13"/>
      <c r="U945" s="13"/>
      <c r="V945" s="13"/>
      <c r="W945" s="13"/>
      <c r="X945" s="13"/>
      <c r="Y945" s="13"/>
    </row>
    <row r="946" spans="1:25" ht="15.75" customHeight="1" x14ac:dyDescent="0.25">
      <c r="A946" s="13"/>
      <c r="B946" s="13"/>
      <c r="C946" s="13"/>
      <c r="D946" s="13"/>
      <c r="E946" s="13"/>
      <c r="F946" s="13"/>
      <c r="G946" s="13"/>
      <c r="H946" s="13"/>
      <c r="I946" s="13"/>
      <c r="J946" s="13"/>
      <c r="K946" s="13"/>
      <c r="L946" s="13"/>
      <c r="M946" s="13"/>
      <c r="N946" s="13"/>
      <c r="O946" s="13"/>
      <c r="P946" s="13"/>
      <c r="Q946" s="13"/>
      <c r="R946" s="13"/>
      <c r="S946" s="13"/>
      <c r="T946" s="13"/>
      <c r="U946" s="13"/>
      <c r="V946" s="13"/>
      <c r="W946" s="13"/>
      <c r="X946" s="13"/>
      <c r="Y946" s="13"/>
    </row>
    <row r="947" spans="1:25" ht="15.75" customHeight="1" x14ac:dyDescent="0.25">
      <c r="A947" s="13"/>
      <c r="B947" s="13"/>
      <c r="C947" s="13"/>
      <c r="D947" s="13"/>
      <c r="E947" s="13"/>
      <c r="F947" s="13"/>
      <c r="G947" s="13"/>
      <c r="H947" s="13"/>
      <c r="I947" s="13"/>
      <c r="J947" s="13"/>
      <c r="K947" s="13"/>
      <c r="L947" s="13"/>
      <c r="M947" s="13"/>
      <c r="N947" s="13"/>
      <c r="O947" s="13"/>
      <c r="P947" s="13"/>
      <c r="Q947" s="13"/>
      <c r="R947" s="13"/>
      <c r="S947" s="13"/>
      <c r="T947" s="13"/>
      <c r="U947" s="13"/>
      <c r="V947" s="13"/>
      <c r="W947" s="13"/>
      <c r="X947" s="13"/>
      <c r="Y947" s="13"/>
    </row>
    <row r="948" spans="1:25" ht="15.75" customHeight="1" x14ac:dyDescent="0.25">
      <c r="A948" s="13"/>
      <c r="B948" s="13"/>
      <c r="C948" s="13"/>
      <c r="D948" s="13"/>
      <c r="E948" s="13"/>
      <c r="F948" s="13"/>
      <c r="G948" s="13"/>
      <c r="H948" s="13"/>
      <c r="I948" s="13"/>
      <c r="J948" s="13"/>
      <c r="K948" s="13"/>
      <c r="L948" s="13"/>
      <c r="M948" s="13"/>
      <c r="N948" s="13"/>
      <c r="O948" s="13"/>
      <c r="P948" s="13"/>
      <c r="Q948" s="13"/>
      <c r="R948" s="13"/>
      <c r="S948" s="13"/>
      <c r="T948" s="13"/>
      <c r="U948" s="13"/>
      <c r="V948" s="13"/>
      <c r="W948" s="13"/>
      <c r="X948" s="13"/>
      <c r="Y948" s="13"/>
    </row>
    <row r="949" spans="1:25" ht="15.75" customHeight="1" x14ac:dyDescent="0.25">
      <c r="A949" s="13"/>
      <c r="B949" s="13"/>
      <c r="C949" s="13"/>
      <c r="D949" s="13"/>
      <c r="E949" s="13"/>
      <c r="F949" s="13"/>
      <c r="G949" s="13"/>
      <c r="H949" s="13"/>
      <c r="I949" s="13"/>
      <c r="J949" s="13"/>
      <c r="K949" s="13"/>
      <c r="L949" s="13"/>
      <c r="M949" s="13"/>
      <c r="N949" s="13"/>
      <c r="O949" s="13"/>
      <c r="P949" s="13"/>
      <c r="Q949" s="13"/>
      <c r="R949" s="13"/>
      <c r="S949" s="13"/>
      <c r="T949" s="13"/>
      <c r="U949" s="13"/>
      <c r="V949" s="13"/>
      <c r="W949" s="13"/>
      <c r="X949" s="13"/>
      <c r="Y949" s="13"/>
    </row>
    <row r="950" spans="1:25" ht="15.75" customHeight="1" x14ac:dyDescent="0.25">
      <c r="A950" s="13"/>
      <c r="B950" s="13"/>
      <c r="C950" s="13"/>
      <c r="D950" s="13"/>
      <c r="E950" s="13"/>
      <c r="F950" s="13"/>
      <c r="G950" s="13"/>
      <c r="H950" s="13"/>
      <c r="I950" s="13"/>
      <c r="J950" s="13"/>
      <c r="K950" s="13"/>
      <c r="L950" s="13"/>
      <c r="M950" s="13"/>
      <c r="N950" s="13"/>
      <c r="O950" s="13"/>
      <c r="P950" s="13"/>
      <c r="Q950" s="13"/>
      <c r="R950" s="13"/>
      <c r="S950" s="13"/>
      <c r="T950" s="13"/>
      <c r="U950" s="13"/>
      <c r="V950" s="13"/>
      <c r="W950" s="13"/>
      <c r="X950" s="13"/>
      <c r="Y950" s="13"/>
    </row>
    <row r="951" spans="1:25" ht="15.75" customHeight="1" x14ac:dyDescent="0.25">
      <c r="A951" s="13"/>
      <c r="B951" s="13"/>
      <c r="C951" s="13"/>
      <c r="D951" s="13"/>
      <c r="E951" s="13"/>
      <c r="F951" s="13"/>
      <c r="G951" s="13"/>
      <c r="H951" s="13"/>
      <c r="I951" s="13"/>
      <c r="J951" s="13"/>
      <c r="K951" s="13"/>
      <c r="L951" s="13"/>
      <c r="M951" s="13"/>
      <c r="N951" s="13"/>
      <c r="O951" s="13"/>
      <c r="P951" s="13"/>
      <c r="Q951" s="13"/>
      <c r="R951" s="13"/>
      <c r="S951" s="13"/>
      <c r="T951" s="13"/>
      <c r="U951" s="13"/>
      <c r="V951" s="13"/>
      <c r="W951" s="13"/>
      <c r="X951" s="13"/>
      <c r="Y951" s="13"/>
    </row>
    <row r="952" spans="1:25" ht="15.75" customHeight="1" x14ac:dyDescent="0.25">
      <c r="A952" s="13"/>
      <c r="B952" s="13"/>
      <c r="C952" s="13"/>
      <c r="D952" s="13"/>
      <c r="E952" s="13"/>
      <c r="F952" s="13"/>
      <c r="G952" s="13"/>
      <c r="H952" s="13"/>
      <c r="I952" s="13"/>
      <c r="J952" s="13"/>
      <c r="K952" s="13"/>
      <c r="L952" s="13"/>
      <c r="M952" s="13"/>
      <c r="N952" s="13"/>
      <c r="O952" s="13"/>
      <c r="P952" s="13"/>
      <c r="Q952" s="13"/>
      <c r="R952" s="13"/>
      <c r="S952" s="13"/>
      <c r="T952" s="13"/>
      <c r="U952" s="13"/>
      <c r="V952" s="13"/>
      <c r="W952" s="13"/>
      <c r="X952" s="13"/>
      <c r="Y952" s="13"/>
    </row>
    <row r="953" spans="1:25" ht="15.75" customHeight="1" x14ac:dyDescent="0.25">
      <c r="A953" s="13"/>
      <c r="B953" s="13"/>
      <c r="C953" s="13"/>
      <c r="D953" s="13"/>
      <c r="E953" s="13"/>
      <c r="F953" s="13"/>
      <c r="G953" s="13"/>
      <c r="H953" s="13"/>
      <c r="I953" s="13"/>
      <c r="J953" s="13"/>
      <c r="K953" s="13"/>
      <c r="L953" s="13"/>
      <c r="M953" s="13"/>
      <c r="N953" s="13"/>
      <c r="O953" s="13"/>
      <c r="P953" s="13"/>
      <c r="Q953" s="13"/>
      <c r="R953" s="13"/>
      <c r="S953" s="13"/>
      <c r="T953" s="13"/>
      <c r="U953" s="13"/>
      <c r="V953" s="13"/>
      <c r="W953" s="13"/>
      <c r="X953" s="13"/>
      <c r="Y953" s="13"/>
    </row>
    <row r="954" spans="1:25" ht="15.75" customHeight="1" x14ac:dyDescent="0.25">
      <c r="A954" s="13"/>
      <c r="B954" s="13"/>
      <c r="C954" s="13"/>
      <c r="D954" s="13"/>
      <c r="E954" s="13"/>
      <c r="F954" s="13"/>
      <c r="G954" s="13"/>
      <c r="H954" s="13"/>
      <c r="I954" s="13"/>
      <c r="J954" s="13"/>
      <c r="K954" s="13"/>
      <c r="L954" s="13"/>
      <c r="M954" s="13"/>
      <c r="N954" s="13"/>
      <c r="O954" s="13"/>
      <c r="P954" s="13"/>
      <c r="Q954" s="13"/>
      <c r="R954" s="13"/>
      <c r="S954" s="13"/>
      <c r="T954" s="13"/>
      <c r="U954" s="13"/>
      <c r="V954" s="13"/>
      <c r="W954" s="13"/>
      <c r="X954" s="13"/>
      <c r="Y954" s="13"/>
    </row>
    <row r="955" spans="1:25" ht="15.75" customHeight="1" x14ac:dyDescent="0.25">
      <c r="A955" s="13"/>
      <c r="B955" s="13"/>
      <c r="C955" s="13"/>
      <c r="D955" s="13"/>
      <c r="E955" s="13"/>
      <c r="F955" s="13"/>
      <c r="G955" s="13"/>
      <c r="H955" s="13"/>
      <c r="I955" s="13"/>
      <c r="J955" s="13"/>
      <c r="K955" s="13"/>
      <c r="L955" s="13"/>
      <c r="M955" s="13"/>
      <c r="N955" s="13"/>
      <c r="O955" s="13"/>
      <c r="P955" s="13"/>
      <c r="Q955" s="13"/>
      <c r="R955" s="13"/>
      <c r="S955" s="13"/>
      <c r="T955" s="13"/>
      <c r="U955" s="13"/>
      <c r="V955" s="13"/>
      <c r="W955" s="13"/>
      <c r="X955" s="13"/>
      <c r="Y955" s="13"/>
    </row>
    <row r="956" spans="1:25" ht="15.75" customHeight="1" x14ac:dyDescent="0.25">
      <c r="A956" s="13"/>
      <c r="B956" s="13"/>
      <c r="C956" s="13"/>
      <c r="D956" s="13"/>
      <c r="E956" s="13"/>
      <c r="F956" s="13"/>
      <c r="G956" s="13"/>
      <c r="H956" s="13"/>
      <c r="I956" s="13"/>
      <c r="J956" s="13"/>
      <c r="K956" s="13"/>
      <c r="L956" s="13"/>
      <c r="M956" s="13"/>
      <c r="N956" s="13"/>
      <c r="O956" s="13"/>
      <c r="P956" s="13"/>
      <c r="Q956" s="13"/>
      <c r="R956" s="13"/>
      <c r="S956" s="13"/>
      <c r="T956" s="13"/>
      <c r="U956" s="13"/>
      <c r="V956" s="13"/>
      <c r="W956" s="13"/>
      <c r="X956" s="13"/>
      <c r="Y956" s="13"/>
    </row>
    <row r="957" spans="1:25" ht="15.75" customHeight="1" x14ac:dyDescent="0.25">
      <c r="A957" s="13"/>
      <c r="B957" s="13"/>
      <c r="C957" s="13"/>
      <c r="D957" s="13"/>
      <c r="E957" s="13"/>
      <c r="F957" s="13"/>
      <c r="G957" s="13"/>
      <c r="H957" s="13"/>
      <c r="I957" s="13"/>
      <c r="J957" s="13"/>
      <c r="K957" s="13"/>
      <c r="L957" s="13"/>
      <c r="M957" s="13"/>
      <c r="N957" s="13"/>
      <c r="O957" s="13"/>
      <c r="P957" s="13"/>
      <c r="Q957" s="13"/>
      <c r="R957" s="13"/>
      <c r="S957" s="13"/>
      <c r="T957" s="13"/>
      <c r="U957" s="13"/>
      <c r="V957" s="13"/>
      <c r="W957" s="13"/>
      <c r="X957" s="13"/>
      <c r="Y957" s="13"/>
    </row>
    <row r="958" spans="1:25" ht="15.75" customHeight="1" x14ac:dyDescent="0.25">
      <c r="A958" s="13"/>
      <c r="B958" s="13"/>
      <c r="C958" s="13"/>
      <c r="D958" s="13"/>
      <c r="E958" s="13"/>
      <c r="F958" s="13"/>
      <c r="G958" s="13"/>
      <c r="H958" s="13"/>
      <c r="I958" s="13"/>
      <c r="J958" s="13"/>
      <c r="K958" s="13"/>
      <c r="L958" s="13"/>
      <c r="M958" s="13"/>
      <c r="N958" s="13"/>
      <c r="O958" s="13"/>
      <c r="P958" s="13"/>
      <c r="Q958" s="13"/>
      <c r="R958" s="13"/>
      <c r="S958" s="13"/>
      <c r="T958" s="13"/>
      <c r="U958" s="13"/>
      <c r="V958" s="13"/>
      <c r="W958" s="13"/>
      <c r="X958" s="13"/>
      <c r="Y958" s="13"/>
    </row>
    <row r="959" spans="1:25" ht="15.75" customHeight="1" x14ac:dyDescent="0.25">
      <c r="A959" s="13"/>
      <c r="B959" s="13"/>
      <c r="C959" s="13"/>
      <c r="D959" s="13"/>
      <c r="E959" s="13"/>
      <c r="F959" s="13"/>
      <c r="G959" s="13"/>
      <c r="H959" s="13"/>
      <c r="I959" s="13"/>
      <c r="J959" s="13"/>
      <c r="K959" s="13"/>
      <c r="L959" s="13"/>
      <c r="M959" s="13"/>
      <c r="N959" s="13"/>
      <c r="O959" s="13"/>
      <c r="P959" s="13"/>
      <c r="Q959" s="13"/>
      <c r="R959" s="13"/>
      <c r="S959" s="13"/>
      <c r="T959" s="13"/>
      <c r="U959" s="13"/>
      <c r="V959" s="13"/>
      <c r="W959" s="13"/>
      <c r="X959" s="13"/>
      <c r="Y959" s="13"/>
    </row>
    <row r="960" spans="1:25" ht="15.75" customHeight="1" x14ac:dyDescent="0.25">
      <c r="A960" s="13"/>
      <c r="B960" s="13"/>
      <c r="C960" s="13"/>
      <c r="D960" s="13"/>
      <c r="E960" s="13"/>
      <c r="F960" s="13"/>
      <c r="G960" s="13"/>
      <c r="H960" s="13"/>
      <c r="I960" s="13"/>
      <c r="J960" s="13"/>
      <c r="K960" s="13"/>
      <c r="L960" s="13"/>
      <c r="M960" s="13"/>
      <c r="N960" s="13"/>
      <c r="O960" s="13"/>
      <c r="P960" s="13"/>
      <c r="Q960" s="13"/>
      <c r="R960" s="13"/>
      <c r="S960" s="13"/>
      <c r="T960" s="13"/>
      <c r="U960" s="13"/>
      <c r="V960" s="13"/>
      <c r="W960" s="13"/>
      <c r="X960" s="13"/>
      <c r="Y960" s="13"/>
    </row>
    <row r="961" spans="1:25" ht="15.75" customHeight="1" x14ac:dyDescent="0.25">
      <c r="A961" s="13"/>
      <c r="B961" s="13"/>
      <c r="C961" s="13"/>
      <c r="D961" s="13"/>
      <c r="E961" s="13"/>
      <c r="F961" s="13"/>
      <c r="G961" s="13"/>
      <c r="H961" s="13"/>
      <c r="I961" s="13"/>
      <c r="J961" s="13"/>
      <c r="K961" s="13"/>
      <c r="L961" s="13"/>
      <c r="M961" s="13"/>
      <c r="N961" s="13"/>
      <c r="O961" s="13"/>
      <c r="P961" s="13"/>
      <c r="Q961" s="13"/>
      <c r="R961" s="13"/>
      <c r="S961" s="13"/>
      <c r="T961" s="13"/>
      <c r="U961" s="13"/>
      <c r="V961" s="13"/>
      <c r="W961" s="13"/>
      <c r="X961" s="13"/>
      <c r="Y961" s="13"/>
    </row>
    <row r="962" spans="1:25" ht="15.75" customHeight="1" x14ac:dyDescent="0.25">
      <c r="A962" s="13"/>
      <c r="B962" s="13"/>
      <c r="C962" s="13"/>
      <c r="D962" s="13"/>
      <c r="E962" s="13"/>
      <c r="F962" s="13"/>
      <c r="G962" s="13"/>
      <c r="H962" s="13"/>
      <c r="I962" s="13"/>
      <c r="J962" s="13"/>
      <c r="K962" s="13"/>
      <c r="L962" s="13"/>
      <c r="M962" s="13"/>
      <c r="N962" s="13"/>
      <c r="O962" s="13"/>
      <c r="P962" s="13"/>
      <c r="Q962" s="13"/>
      <c r="R962" s="13"/>
      <c r="S962" s="13"/>
      <c r="T962" s="13"/>
      <c r="U962" s="13"/>
      <c r="V962" s="13"/>
      <c r="W962" s="13"/>
      <c r="X962" s="13"/>
      <c r="Y962" s="13"/>
    </row>
    <row r="963" spans="1:25" ht="15.75" customHeight="1" x14ac:dyDescent="0.25">
      <c r="A963" s="13"/>
      <c r="B963" s="13"/>
      <c r="C963" s="13"/>
      <c r="D963" s="13"/>
      <c r="E963" s="13"/>
      <c r="F963" s="13"/>
      <c r="G963" s="13"/>
      <c r="H963" s="13"/>
      <c r="I963" s="13"/>
      <c r="J963" s="13"/>
      <c r="K963" s="13"/>
      <c r="L963" s="13"/>
      <c r="M963" s="13"/>
      <c r="N963" s="13"/>
      <c r="O963" s="13"/>
      <c r="P963" s="13"/>
      <c r="Q963" s="13"/>
      <c r="R963" s="13"/>
      <c r="S963" s="13"/>
      <c r="T963" s="13"/>
      <c r="U963" s="13"/>
      <c r="V963" s="13"/>
      <c r="W963" s="13"/>
      <c r="X963" s="13"/>
      <c r="Y963" s="13"/>
    </row>
    <row r="964" spans="1:25" ht="15.75" customHeight="1" x14ac:dyDescent="0.25">
      <c r="A964" s="13"/>
      <c r="B964" s="13"/>
      <c r="C964" s="13"/>
      <c r="D964" s="13"/>
      <c r="E964" s="13"/>
      <c r="F964" s="13"/>
      <c r="G964" s="13"/>
      <c r="H964" s="13"/>
      <c r="I964" s="13"/>
      <c r="J964" s="13"/>
      <c r="K964" s="13"/>
      <c r="L964" s="13"/>
      <c r="M964" s="13"/>
      <c r="N964" s="13"/>
      <c r="O964" s="13"/>
      <c r="P964" s="13"/>
      <c r="Q964" s="13"/>
      <c r="R964" s="13"/>
      <c r="S964" s="13"/>
      <c r="T964" s="13"/>
      <c r="U964" s="13"/>
      <c r="V964" s="13"/>
      <c r="W964" s="13"/>
      <c r="X964" s="13"/>
      <c r="Y964" s="13"/>
    </row>
    <row r="965" spans="1:25" ht="15.75" customHeight="1" x14ac:dyDescent="0.25">
      <c r="A965" s="13"/>
      <c r="B965" s="13"/>
      <c r="C965" s="13"/>
      <c r="D965" s="13"/>
      <c r="E965" s="13"/>
      <c r="F965" s="13"/>
      <c r="G965" s="13"/>
      <c r="H965" s="13"/>
      <c r="I965" s="13"/>
      <c r="J965" s="13"/>
      <c r="K965" s="13"/>
      <c r="L965" s="13"/>
      <c r="M965" s="13"/>
      <c r="N965" s="13"/>
      <c r="O965" s="13"/>
      <c r="P965" s="13"/>
      <c r="Q965" s="13"/>
      <c r="R965" s="13"/>
      <c r="S965" s="13"/>
      <c r="T965" s="13"/>
      <c r="U965" s="13"/>
      <c r="V965" s="13"/>
      <c r="W965" s="13"/>
      <c r="X965" s="13"/>
      <c r="Y965" s="13"/>
    </row>
    <row r="966" spans="1:25" ht="15.75" customHeight="1" x14ac:dyDescent="0.25">
      <c r="A966" s="13"/>
      <c r="B966" s="13"/>
      <c r="C966" s="13"/>
      <c r="D966" s="13"/>
      <c r="E966" s="13"/>
      <c r="F966" s="13"/>
      <c r="G966" s="13"/>
      <c r="H966" s="13"/>
      <c r="I966" s="13"/>
      <c r="J966" s="13"/>
      <c r="K966" s="13"/>
      <c r="L966" s="13"/>
      <c r="M966" s="13"/>
      <c r="N966" s="13"/>
      <c r="O966" s="13"/>
      <c r="P966" s="13"/>
      <c r="Q966" s="13"/>
      <c r="R966" s="13"/>
      <c r="S966" s="13"/>
      <c r="T966" s="13"/>
      <c r="U966" s="13"/>
      <c r="V966" s="13"/>
      <c r="W966" s="13"/>
      <c r="X966" s="13"/>
      <c r="Y966" s="13"/>
    </row>
    <row r="967" spans="1:25" ht="15.75" customHeight="1" x14ac:dyDescent="0.25">
      <c r="A967" s="13"/>
      <c r="B967" s="13"/>
      <c r="C967" s="13"/>
      <c r="D967" s="13"/>
      <c r="E967" s="13"/>
      <c r="F967" s="13"/>
      <c r="G967" s="13"/>
      <c r="H967" s="13"/>
      <c r="I967" s="13"/>
      <c r="J967" s="13"/>
      <c r="K967" s="13"/>
      <c r="L967" s="13"/>
      <c r="M967" s="13"/>
      <c r="N967" s="13"/>
      <c r="O967" s="13"/>
      <c r="P967" s="13"/>
      <c r="Q967" s="13"/>
      <c r="R967" s="13"/>
      <c r="S967" s="13"/>
      <c r="T967" s="13"/>
      <c r="U967" s="13"/>
      <c r="V967" s="13"/>
      <c r="W967" s="13"/>
      <c r="X967" s="13"/>
      <c r="Y967" s="13"/>
    </row>
    <row r="968" spans="1:25" ht="15.75" customHeight="1" x14ac:dyDescent="0.25">
      <c r="A968" s="13"/>
      <c r="B968" s="13"/>
      <c r="C968" s="13"/>
      <c r="D968" s="13"/>
      <c r="E968" s="13"/>
      <c r="F968" s="13"/>
      <c r="G968" s="13"/>
      <c r="H968" s="13"/>
      <c r="I968" s="13"/>
      <c r="J968" s="13"/>
      <c r="K968" s="13"/>
      <c r="L968" s="13"/>
      <c r="M968" s="13"/>
      <c r="N968" s="13"/>
      <c r="O968" s="13"/>
      <c r="P968" s="13"/>
      <c r="Q968" s="13"/>
      <c r="R968" s="13"/>
      <c r="S968" s="13"/>
      <c r="T968" s="13"/>
      <c r="U968" s="13"/>
      <c r="V968" s="13"/>
      <c r="W968" s="13"/>
      <c r="X968" s="13"/>
      <c r="Y968" s="13"/>
    </row>
    <row r="969" spans="1:25" ht="15.75" customHeight="1" x14ac:dyDescent="0.25">
      <c r="A969" s="13"/>
      <c r="B969" s="13"/>
      <c r="C969" s="13"/>
      <c r="D969" s="13"/>
      <c r="E969" s="13"/>
      <c r="F969" s="13"/>
      <c r="G969" s="13"/>
      <c r="H969" s="13"/>
      <c r="I969" s="13"/>
      <c r="J969" s="13"/>
      <c r="K969" s="13"/>
      <c r="L969" s="13"/>
      <c r="M969" s="13"/>
      <c r="N969" s="13"/>
      <c r="O969" s="13"/>
      <c r="P969" s="13"/>
      <c r="Q969" s="13"/>
      <c r="R969" s="13"/>
      <c r="S969" s="13"/>
      <c r="T969" s="13"/>
      <c r="U969" s="13"/>
      <c r="V969" s="13"/>
      <c r="W969" s="13"/>
      <c r="X969" s="13"/>
      <c r="Y969" s="13"/>
    </row>
    <row r="970" spans="1:25" ht="15.75" customHeight="1" x14ac:dyDescent="0.25">
      <c r="A970" s="13"/>
      <c r="B970" s="13"/>
      <c r="C970" s="13"/>
      <c r="D970" s="13"/>
      <c r="E970" s="13"/>
      <c r="F970" s="13"/>
      <c r="G970" s="13"/>
      <c r="H970" s="13"/>
      <c r="I970" s="13"/>
      <c r="J970" s="13"/>
      <c r="K970" s="13"/>
      <c r="L970" s="13"/>
      <c r="M970" s="13"/>
      <c r="N970" s="13"/>
      <c r="O970" s="13"/>
      <c r="P970" s="13"/>
      <c r="Q970" s="13"/>
      <c r="R970" s="13"/>
      <c r="S970" s="13"/>
      <c r="T970" s="13"/>
      <c r="U970" s="13"/>
      <c r="V970" s="13"/>
      <c r="W970" s="13"/>
      <c r="X970" s="13"/>
      <c r="Y970" s="13"/>
    </row>
    <row r="971" spans="1:25" ht="15.75" customHeight="1" x14ac:dyDescent="0.25">
      <c r="A971" s="13"/>
      <c r="B971" s="13"/>
      <c r="C971" s="13"/>
      <c r="D971" s="13"/>
      <c r="E971" s="13"/>
      <c r="F971" s="13"/>
      <c r="G971" s="13"/>
      <c r="H971" s="13"/>
      <c r="I971" s="13"/>
      <c r="J971" s="13"/>
      <c r="K971" s="13"/>
      <c r="L971" s="13"/>
      <c r="M971" s="13"/>
      <c r="N971" s="13"/>
      <c r="O971" s="13"/>
      <c r="P971" s="13"/>
      <c r="Q971" s="13"/>
      <c r="R971" s="13"/>
      <c r="S971" s="13"/>
      <c r="T971" s="13"/>
      <c r="U971" s="13"/>
      <c r="V971" s="13"/>
      <c r="W971" s="13"/>
      <c r="X971" s="13"/>
      <c r="Y971" s="13"/>
    </row>
    <row r="972" spans="1:25" ht="15.75" customHeight="1" x14ac:dyDescent="0.25">
      <c r="A972" s="13"/>
      <c r="B972" s="13"/>
      <c r="C972" s="13"/>
      <c r="D972" s="13"/>
      <c r="E972" s="13"/>
      <c r="F972" s="13"/>
      <c r="G972" s="13"/>
      <c r="H972" s="13"/>
      <c r="I972" s="13"/>
      <c r="J972" s="13"/>
      <c r="K972" s="13"/>
      <c r="L972" s="13"/>
      <c r="M972" s="13"/>
      <c r="N972" s="13"/>
      <c r="O972" s="13"/>
      <c r="P972" s="13"/>
      <c r="Q972" s="13"/>
      <c r="R972" s="13"/>
      <c r="S972" s="13"/>
      <c r="T972" s="13"/>
      <c r="U972" s="13"/>
      <c r="V972" s="13"/>
      <c r="W972" s="13"/>
      <c r="X972" s="13"/>
      <c r="Y972" s="13"/>
    </row>
    <row r="973" spans="1:25" ht="15.75" customHeight="1" x14ac:dyDescent="0.25">
      <c r="A973" s="13"/>
      <c r="B973" s="13"/>
      <c r="C973" s="13"/>
      <c r="D973" s="13"/>
      <c r="E973" s="13"/>
      <c r="F973" s="13"/>
      <c r="G973" s="13"/>
      <c r="H973" s="13"/>
      <c r="I973" s="13"/>
      <c r="J973" s="13"/>
      <c r="K973" s="13"/>
      <c r="L973" s="13"/>
      <c r="M973" s="13"/>
      <c r="N973" s="13"/>
      <c r="O973" s="13"/>
      <c r="P973" s="13"/>
      <c r="Q973" s="13"/>
      <c r="R973" s="13"/>
      <c r="S973" s="13"/>
      <c r="T973" s="13"/>
      <c r="U973" s="13"/>
      <c r="V973" s="13"/>
      <c r="W973" s="13"/>
      <c r="X973" s="13"/>
      <c r="Y973" s="13"/>
    </row>
    <row r="974" spans="1:25" ht="15.75" customHeight="1" x14ac:dyDescent="0.25">
      <c r="A974" s="13"/>
      <c r="B974" s="13"/>
      <c r="C974" s="13"/>
      <c r="D974" s="13"/>
      <c r="E974" s="13"/>
      <c r="F974" s="13"/>
      <c r="G974" s="13"/>
      <c r="H974" s="13"/>
      <c r="I974" s="13"/>
      <c r="J974" s="13"/>
      <c r="K974" s="13"/>
      <c r="L974" s="13"/>
      <c r="M974" s="13"/>
      <c r="N974" s="13"/>
      <c r="O974" s="13"/>
      <c r="P974" s="13"/>
      <c r="Q974" s="13"/>
      <c r="R974" s="13"/>
      <c r="S974" s="13"/>
      <c r="T974" s="13"/>
      <c r="U974" s="13"/>
      <c r="V974" s="13"/>
      <c r="W974" s="13"/>
      <c r="X974" s="13"/>
      <c r="Y974" s="13"/>
    </row>
    <row r="975" spans="1:25" ht="15.75" customHeight="1" x14ac:dyDescent="0.25">
      <c r="A975" s="13"/>
      <c r="B975" s="13"/>
      <c r="C975" s="13"/>
      <c r="D975" s="13"/>
      <c r="E975" s="13"/>
      <c r="F975" s="13"/>
      <c r="G975" s="13"/>
      <c r="H975" s="13"/>
      <c r="I975" s="13"/>
      <c r="J975" s="13"/>
      <c r="K975" s="13"/>
      <c r="L975" s="13"/>
      <c r="M975" s="13"/>
      <c r="N975" s="13"/>
      <c r="O975" s="13"/>
      <c r="P975" s="13"/>
      <c r="Q975" s="13"/>
      <c r="R975" s="13"/>
      <c r="S975" s="13"/>
      <c r="T975" s="13"/>
      <c r="U975" s="13"/>
      <c r="V975" s="13"/>
      <c r="W975" s="13"/>
      <c r="X975" s="13"/>
      <c r="Y975" s="13"/>
    </row>
    <row r="976" spans="1:25" ht="15.75" customHeight="1" x14ac:dyDescent="0.25">
      <c r="A976" s="13"/>
      <c r="B976" s="13"/>
      <c r="C976" s="13"/>
      <c r="D976" s="13"/>
      <c r="E976" s="13"/>
      <c r="F976" s="13"/>
      <c r="G976" s="13"/>
      <c r="H976" s="13"/>
      <c r="I976" s="13"/>
      <c r="J976" s="13"/>
      <c r="K976" s="13"/>
      <c r="L976" s="13"/>
      <c r="M976" s="13"/>
      <c r="N976" s="13"/>
      <c r="O976" s="13"/>
      <c r="P976" s="13"/>
      <c r="Q976" s="13"/>
      <c r="R976" s="13"/>
      <c r="S976" s="13"/>
      <c r="T976" s="13"/>
      <c r="U976" s="13"/>
      <c r="V976" s="13"/>
      <c r="W976" s="13"/>
      <c r="X976" s="13"/>
      <c r="Y976" s="13"/>
    </row>
    <row r="977" spans="1:25" ht="15.75" customHeight="1" x14ac:dyDescent="0.25">
      <c r="A977" s="13"/>
      <c r="B977" s="13"/>
      <c r="C977" s="13"/>
      <c r="D977" s="13"/>
      <c r="E977" s="13"/>
      <c r="F977" s="13"/>
      <c r="G977" s="13"/>
      <c r="H977" s="13"/>
      <c r="I977" s="13"/>
      <c r="J977" s="13"/>
      <c r="K977" s="13"/>
      <c r="L977" s="13"/>
      <c r="M977" s="13"/>
      <c r="N977" s="13"/>
      <c r="O977" s="13"/>
      <c r="P977" s="13"/>
      <c r="Q977" s="13"/>
      <c r="R977" s="13"/>
      <c r="S977" s="13"/>
      <c r="T977" s="13"/>
      <c r="U977" s="13"/>
      <c r="V977" s="13"/>
      <c r="W977" s="13"/>
      <c r="X977" s="13"/>
      <c r="Y977" s="13"/>
    </row>
    <row r="978" spans="1:25" ht="15.75" customHeight="1" x14ac:dyDescent="0.25">
      <c r="A978" s="13"/>
      <c r="B978" s="13"/>
      <c r="C978" s="13"/>
      <c r="D978" s="13"/>
      <c r="E978" s="13"/>
      <c r="F978" s="13"/>
      <c r="G978" s="13"/>
      <c r="H978" s="13"/>
      <c r="I978" s="13"/>
      <c r="J978" s="13"/>
      <c r="K978" s="13"/>
      <c r="L978" s="13"/>
      <c r="M978" s="13"/>
      <c r="N978" s="13"/>
      <c r="O978" s="13"/>
      <c r="P978" s="13"/>
      <c r="Q978" s="13"/>
      <c r="R978" s="13"/>
      <c r="S978" s="13"/>
      <c r="T978" s="13"/>
      <c r="U978" s="13"/>
      <c r="V978" s="13"/>
      <c r="W978" s="13"/>
      <c r="X978" s="13"/>
      <c r="Y978" s="13"/>
    </row>
    <row r="979" spans="1:25" ht="15.75" customHeight="1" x14ac:dyDescent="0.25">
      <c r="A979" s="13"/>
      <c r="B979" s="13"/>
      <c r="C979" s="13"/>
      <c r="D979" s="13"/>
      <c r="E979" s="13"/>
      <c r="F979" s="13"/>
      <c r="G979" s="13"/>
      <c r="H979" s="13"/>
      <c r="I979" s="13"/>
      <c r="J979" s="13"/>
      <c r="K979" s="13"/>
      <c r="L979" s="13"/>
      <c r="M979" s="13"/>
      <c r="N979" s="13"/>
      <c r="O979" s="13"/>
      <c r="P979" s="13"/>
      <c r="Q979" s="13"/>
      <c r="R979" s="13"/>
      <c r="S979" s="13"/>
      <c r="T979" s="13"/>
      <c r="U979" s="13"/>
      <c r="V979" s="13"/>
      <c r="W979" s="13"/>
      <c r="X979" s="13"/>
      <c r="Y979" s="13"/>
    </row>
    <row r="980" spans="1:25" ht="15.75" customHeight="1" x14ac:dyDescent="0.25">
      <c r="A980" s="13"/>
      <c r="B980" s="13"/>
      <c r="C980" s="13"/>
      <c r="D980" s="13"/>
      <c r="E980" s="13"/>
      <c r="F980" s="13"/>
      <c r="G980" s="13"/>
      <c r="H980" s="13"/>
      <c r="I980" s="13"/>
      <c r="J980" s="13"/>
      <c r="K980" s="13"/>
      <c r="L980" s="13"/>
      <c r="M980" s="13"/>
      <c r="N980" s="13"/>
      <c r="O980" s="13"/>
      <c r="P980" s="13"/>
      <c r="Q980" s="13"/>
      <c r="R980" s="13"/>
      <c r="S980" s="13"/>
      <c r="T980" s="13"/>
      <c r="U980" s="13"/>
      <c r="V980" s="13"/>
      <c r="W980" s="13"/>
      <c r="X980" s="13"/>
      <c r="Y980" s="13"/>
    </row>
    <row r="981" spans="1:25" ht="15.75" customHeight="1" x14ac:dyDescent="0.25">
      <c r="A981" s="13"/>
      <c r="B981" s="13"/>
      <c r="C981" s="13"/>
      <c r="D981" s="13"/>
      <c r="E981" s="13"/>
      <c r="F981" s="13"/>
      <c r="G981" s="13"/>
      <c r="H981" s="13"/>
      <c r="I981" s="13"/>
      <c r="J981" s="13"/>
      <c r="K981" s="13"/>
      <c r="L981" s="13"/>
      <c r="M981" s="13"/>
      <c r="N981" s="13"/>
      <c r="O981" s="13"/>
      <c r="P981" s="13"/>
      <c r="Q981" s="13"/>
      <c r="R981" s="13"/>
      <c r="S981" s="13"/>
      <c r="T981" s="13"/>
      <c r="U981" s="13"/>
      <c r="V981" s="13"/>
      <c r="W981" s="13"/>
      <c r="X981" s="13"/>
      <c r="Y981" s="13"/>
    </row>
    <row r="982" spans="1:25" ht="15.75" customHeight="1" x14ac:dyDescent="0.25">
      <c r="A982" s="13"/>
      <c r="B982" s="13"/>
      <c r="C982" s="13"/>
      <c r="D982" s="13"/>
      <c r="E982" s="13"/>
      <c r="F982" s="13"/>
      <c r="G982" s="13"/>
      <c r="H982" s="13"/>
      <c r="I982" s="13"/>
      <c r="J982" s="13"/>
      <c r="K982" s="13"/>
      <c r="L982" s="13"/>
      <c r="M982" s="13"/>
      <c r="N982" s="13"/>
      <c r="O982" s="13"/>
      <c r="P982" s="13"/>
      <c r="Q982" s="13"/>
      <c r="R982" s="13"/>
      <c r="S982" s="13"/>
      <c r="T982" s="13"/>
      <c r="U982" s="13"/>
      <c r="V982" s="13"/>
      <c r="W982" s="13"/>
      <c r="X982" s="13"/>
      <c r="Y982" s="13"/>
    </row>
    <row r="983" spans="1:25" ht="15.75" customHeight="1" x14ac:dyDescent="0.25">
      <c r="A983" s="13"/>
      <c r="B983" s="13"/>
      <c r="C983" s="13"/>
      <c r="D983" s="13"/>
      <c r="E983" s="13"/>
      <c r="F983" s="13"/>
      <c r="G983" s="13"/>
      <c r="H983" s="13"/>
      <c r="I983" s="13"/>
      <c r="J983" s="13"/>
      <c r="K983" s="13"/>
      <c r="L983" s="13"/>
      <c r="M983" s="13"/>
      <c r="N983" s="13"/>
      <c r="O983" s="13"/>
      <c r="P983" s="13"/>
      <c r="Q983" s="13"/>
      <c r="R983" s="13"/>
      <c r="S983" s="13"/>
      <c r="T983" s="13"/>
      <c r="U983" s="13"/>
      <c r="V983" s="13"/>
      <c r="W983" s="13"/>
      <c r="X983" s="13"/>
      <c r="Y983" s="13"/>
    </row>
    <row r="984" spans="1:25" ht="15.75" customHeight="1" x14ac:dyDescent="0.25">
      <c r="A984" s="13"/>
      <c r="B984" s="13"/>
      <c r="C984" s="13"/>
      <c r="D984" s="13"/>
      <c r="E984" s="13"/>
      <c r="F984" s="13"/>
      <c r="G984" s="13"/>
      <c r="H984" s="13"/>
      <c r="I984" s="13"/>
      <c r="J984" s="13"/>
      <c r="K984" s="13"/>
      <c r="L984" s="13"/>
      <c r="M984" s="13"/>
      <c r="N984" s="13"/>
      <c r="O984" s="13"/>
      <c r="P984" s="13"/>
      <c r="Q984" s="13"/>
      <c r="R984" s="13"/>
      <c r="S984" s="13"/>
      <c r="T984" s="13"/>
      <c r="U984" s="13"/>
      <c r="V984" s="13"/>
      <c r="W984" s="13"/>
      <c r="X984" s="13"/>
      <c r="Y984" s="13"/>
    </row>
    <row r="985" spans="1:25" ht="15.75" customHeight="1" x14ac:dyDescent="0.25">
      <c r="A985" s="13"/>
      <c r="B985" s="13"/>
      <c r="C985" s="13"/>
      <c r="D985" s="13"/>
      <c r="E985" s="13"/>
      <c r="F985" s="13"/>
      <c r="G985" s="13"/>
      <c r="H985" s="13"/>
      <c r="I985" s="13"/>
      <c r="J985" s="13"/>
      <c r="K985" s="13"/>
      <c r="L985" s="13"/>
      <c r="M985" s="13"/>
      <c r="N985" s="13"/>
      <c r="O985" s="13"/>
      <c r="P985" s="13"/>
      <c r="Q985" s="13"/>
      <c r="R985" s="13"/>
      <c r="S985" s="13"/>
      <c r="T985" s="13"/>
      <c r="U985" s="13"/>
      <c r="V985" s="13"/>
      <c r="W985" s="13"/>
      <c r="X985" s="13"/>
      <c r="Y985" s="13"/>
    </row>
    <row r="986" spans="1:25" ht="15.75" customHeight="1" x14ac:dyDescent="0.25">
      <c r="A986" s="13"/>
      <c r="B986" s="13"/>
      <c r="C986" s="13"/>
      <c r="D986" s="13"/>
      <c r="E986" s="13"/>
      <c r="F986" s="13"/>
      <c r="G986" s="13"/>
      <c r="H986" s="13"/>
      <c r="I986" s="13"/>
      <c r="J986" s="13"/>
      <c r="K986" s="13"/>
      <c r="L986" s="13"/>
      <c r="M986" s="13"/>
      <c r="N986" s="13"/>
      <c r="O986" s="13"/>
      <c r="P986" s="13"/>
      <c r="Q986" s="13"/>
      <c r="R986" s="13"/>
      <c r="S986" s="13"/>
      <c r="T986" s="13"/>
      <c r="U986" s="13"/>
      <c r="V986" s="13"/>
      <c r="W986" s="13"/>
      <c r="X986" s="13"/>
      <c r="Y986" s="13"/>
    </row>
    <row r="987" spans="1:25" ht="15.75" customHeight="1" x14ac:dyDescent="0.25">
      <c r="A987" s="13"/>
      <c r="B987" s="13"/>
      <c r="C987" s="13"/>
      <c r="D987" s="13"/>
      <c r="E987" s="13"/>
      <c r="F987" s="13"/>
      <c r="G987" s="13"/>
      <c r="H987" s="13"/>
      <c r="I987" s="13"/>
      <c r="J987" s="13"/>
      <c r="K987" s="13"/>
      <c r="L987" s="13"/>
      <c r="M987" s="13"/>
      <c r="N987" s="13"/>
      <c r="O987" s="13"/>
      <c r="P987" s="13"/>
      <c r="Q987" s="13"/>
      <c r="R987" s="13"/>
      <c r="S987" s="13"/>
      <c r="T987" s="13"/>
      <c r="U987" s="13"/>
      <c r="V987" s="13"/>
      <c r="W987" s="13"/>
      <c r="X987" s="13"/>
      <c r="Y987" s="13"/>
    </row>
    <row r="988" spans="1:25" ht="15.75" customHeight="1" x14ac:dyDescent="0.25">
      <c r="A988" s="13"/>
      <c r="B988" s="13"/>
      <c r="C988" s="13"/>
      <c r="D988" s="13"/>
      <c r="E988" s="13"/>
      <c r="F988" s="13"/>
      <c r="G988" s="13"/>
      <c r="H988" s="13"/>
      <c r="I988" s="13"/>
      <c r="J988" s="13"/>
      <c r="K988" s="13"/>
      <c r="L988" s="13"/>
      <c r="M988" s="13"/>
      <c r="N988" s="13"/>
      <c r="O988" s="13"/>
      <c r="P988" s="13"/>
      <c r="Q988" s="13"/>
      <c r="R988" s="13"/>
      <c r="S988" s="13"/>
      <c r="T988" s="13"/>
      <c r="U988" s="13"/>
      <c r="V988" s="13"/>
      <c r="W988" s="13"/>
      <c r="X988" s="13"/>
      <c r="Y988" s="13"/>
    </row>
    <row r="989" spans="1:25" ht="15.75" customHeight="1" x14ac:dyDescent="0.25">
      <c r="A989" s="13"/>
      <c r="B989" s="13"/>
      <c r="C989" s="13"/>
      <c r="D989" s="13"/>
      <c r="E989" s="13"/>
      <c r="F989" s="13"/>
      <c r="G989" s="13"/>
      <c r="H989" s="13"/>
      <c r="I989" s="13"/>
      <c r="J989" s="13"/>
      <c r="K989" s="13"/>
      <c r="L989" s="13"/>
      <c r="M989" s="13"/>
      <c r="N989" s="13"/>
      <c r="O989" s="13"/>
      <c r="P989" s="13"/>
      <c r="Q989" s="13"/>
      <c r="R989" s="13"/>
      <c r="S989" s="13"/>
      <c r="T989" s="13"/>
      <c r="U989" s="13"/>
      <c r="V989" s="13"/>
      <c r="W989" s="13"/>
      <c r="X989" s="13"/>
      <c r="Y989" s="13"/>
    </row>
    <row r="990" spans="1:25" ht="15.75" customHeight="1" x14ac:dyDescent="0.25">
      <c r="A990" s="13"/>
      <c r="B990" s="13"/>
      <c r="C990" s="13"/>
      <c r="D990" s="13"/>
      <c r="E990" s="13"/>
      <c r="F990" s="13"/>
      <c r="G990" s="13"/>
      <c r="H990" s="13"/>
      <c r="I990" s="13"/>
      <c r="J990" s="13"/>
      <c r="K990" s="13"/>
      <c r="L990" s="13"/>
      <c r="M990" s="13"/>
      <c r="N990" s="13"/>
      <c r="O990" s="13"/>
      <c r="P990" s="13"/>
      <c r="Q990" s="13"/>
      <c r="R990" s="13"/>
      <c r="S990" s="13"/>
      <c r="T990" s="13"/>
      <c r="U990" s="13"/>
      <c r="V990" s="13"/>
      <c r="W990" s="13"/>
      <c r="X990" s="13"/>
      <c r="Y990" s="13"/>
    </row>
    <row r="991" spans="1:25" ht="15.75" customHeight="1" x14ac:dyDescent="0.25">
      <c r="A991" s="13"/>
      <c r="B991" s="13"/>
      <c r="C991" s="13"/>
      <c r="D991" s="13"/>
      <c r="E991" s="13"/>
      <c r="F991" s="13"/>
      <c r="G991" s="13"/>
      <c r="H991" s="13"/>
      <c r="I991" s="13"/>
      <c r="J991" s="13"/>
      <c r="K991" s="13"/>
      <c r="L991" s="13"/>
      <c r="M991" s="13"/>
      <c r="N991" s="13"/>
      <c r="O991" s="13"/>
      <c r="P991" s="13"/>
      <c r="Q991" s="13"/>
      <c r="R991" s="13"/>
      <c r="S991" s="13"/>
      <c r="T991" s="13"/>
      <c r="U991" s="13"/>
      <c r="V991" s="13"/>
      <c r="W991" s="13"/>
      <c r="X991" s="13"/>
      <c r="Y991" s="13"/>
    </row>
    <row r="992" spans="1:25" ht="15.75" customHeight="1" x14ac:dyDescent="0.25">
      <c r="A992" s="13"/>
      <c r="B992" s="13"/>
      <c r="C992" s="13"/>
      <c r="D992" s="13"/>
      <c r="E992" s="13"/>
      <c r="F992" s="13"/>
      <c r="G992" s="13"/>
      <c r="H992" s="13"/>
      <c r="I992" s="13"/>
      <c r="J992" s="13"/>
      <c r="K992" s="13"/>
      <c r="L992" s="13"/>
      <c r="M992" s="13"/>
      <c r="N992" s="13"/>
      <c r="O992" s="13"/>
      <c r="P992" s="13"/>
      <c r="Q992" s="13"/>
      <c r="R992" s="13"/>
      <c r="S992" s="13"/>
      <c r="T992" s="13"/>
      <c r="U992" s="13"/>
      <c r="V992" s="13"/>
      <c r="W992" s="13"/>
      <c r="X992" s="13"/>
      <c r="Y992" s="13"/>
    </row>
    <row r="993" spans="1:25" ht="15.75" customHeight="1" x14ac:dyDescent="0.25">
      <c r="A993" s="13"/>
      <c r="B993" s="13"/>
      <c r="C993" s="13"/>
      <c r="D993" s="13"/>
      <c r="E993" s="13"/>
      <c r="F993" s="13"/>
      <c r="G993" s="13"/>
      <c r="H993" s="13"/>
      <c r="I993" s="13"/>
      <c r="J993" s="13"/>
      <c r="K993" s="13"/>
      <c r="L993" s="13"/>
      <c r="M993" s="13"/>
      <c r="N993" s="13"/>
      <c r="O993" s="13"/>
      <c r="P993" s="13"/>
      <c r="Q993" s="13"/>
      <c r="R993" s="13"/>
      <c r="S993" s="13"/>
      <c r="T993" s="13"/>
      <c r="U993" s="13"/>
      <c r="V993" s="13"/>
      <c r="W993" s="13"/>
      <c r="X993" s="13"/>
      <c r="Y993" s="13"/>
    </row>
    <row r="994" spans="1:25" ht="15.75" customHeight="1" x14ac:dyDescent="0.25">
      <c r="A994" s="13"/>
      <c r="B994" s="13"/>
      <c r="C994" s="13"/>
      <c r="D994" s="13"/>
      <c r="E994" s="13"/>
      <c r="F994" s="13"/>
      <c r="G994" s="13"/>
      <c r="H994" s="13"/>
      <c r="I994" s="13"/>
      <c r="J994" s="13"/>
      <c r="K994" s="13"/>
      <c r="L994" s="13"/>
      <c r="M994" s="13"/>
      <c r="N994" s="13"/>
      <c r="O994" s="13"/>
      <c r="P994" s="13"/>
      <c r="Q994" s="13"/>
      <c r="R994" s="13"/>
      <c r="S994" s="13"/>
      <c r="T994" s="13"/>
      <c r="U994" s="13"/>
      <c r="V994" s="13"/>
      <c r="W994" s="13"/>
      <c r="X994" s="13"/>
      <c r="Y994" s="13"/>
    </row>
    <row r="995" spans="1:25" ht="15.75" customHeight="1" x14ac:dyDescent="0.25">
      <c r="A995" s="13"/>
      <c r="B995" s="13"/>
      <c r="C995" s="13"/>
      <c r="D995" s="13"/>
      <c r="E995" s="13"/>
      <c r="F995" s="13"/>
      <c r="G995" s="13"/>
      <c r="H995" s="13"/>
      <c r="I995" s="13"/>
      <c r="J995" s="13"/>
      <c r="K995" s="13"/>
      <c r="L995" s="13"/>
      <c r="M995" s="13"/>
      <c r="N995" s="13"/>
      <c r="O995" s="13"/>
      <c r="P995" s="13"/>
      <c r="Q995" s="13"/>
      <c r="R995" s="13"/>
      <c r="S995" s="13"/>
      <c r="T995" s="13"/>
      <c r="U995" s="13"/>
      <c r="V995" s="13"/>
      <c r="W995" s="13"/>
      <c r="X995" s="13"/>
      <c r="Y995" s="13"/>
    </row>
    <row r="996" spans="1:25" ht="15.75" customHeight="1" x14ac:dyDescent="0.25">
      <c r="A996" s="13"/>
      <c r="B996" s="13"/>
      <c r="C996" s="13"/>
      <c r="D996" s="13"/>
      <c r="E996" s="13"/>
      <c r="F996" s="13"/>
      <c r="G996" s="13"/>
      <c r="H996" s="13"/>
      <c r="I996" s="13"/>
      <c r="J996" s="13"/>
      <c r="K996" s="13"/>
      <c r="L996" s="13"/>
      <c r="M996" s="13"/>
      <c r="N996" s="13"/>
      <c r="O996" s="13"/>
      <c r="P996" s="13"/>
      <c r="Q996" s="13"/>
      <c r="R996" s="13"/>
      <c r="S996" s="13"/>
      <c r="T996" s="13"/>
      <c r="U996" s="13"/>
      <c r="V996" s="13"/>
      <c r="W996" s="13"/>
      <c r="X996" s="13"/>
      <c r="Y996" s="13"/>
    </row>
    <row r="997" spans="1:25" ht="15.75" customHeight="1" x14ac:dyDescent="0.25">
      <c r="A997" s="13"/>
      <c r="B997" s="13"/>
      <c r="C997" s="13"/>
      <c r="D997" s="13"/>
      <c r="E997" s="13"/>
      <c r="F997" s="13"/>
      <c r="G997" s="13"/>
      <c r="H997" s="13"/>
      <c r="I997" s="13"/>
      <c r="J997" s="13"/>
      <c r="K997" s="13"/>
      <c r="L997" s="13"/>
      <c r="M997" s="13"/>
      <c r="N997" s="13"/>
      <c r="O997" s="13"/>
      <c r="P997" s="13"/>
      <c r="Q997" s="13"/>
      <c r="R997" s="13"/>
      <c r="S997" s="13"/>
      <c r="T997" s="13"/>
      <c r="U997" s="13"/>
      <c r="V997" s="13"/>
      <c r="W997" s="13"/>
      <c r="X997" s="13"/>
      <c r="Y997" s="13"/>
    </row>
    <row r="998" spans="1:25" ht="15.75" customHeight="1" x14ac:dyDescent="0.25">
      <c r="A998" s="13"/>
      <c r="B998" s="13"/>
      <c r="C998" s="13"/>
      <c r="D998" s="13"/>
      <c r="E998" s="13"/>
      <c r="F998" s="13"/>
      <c r="G998" s="13"/>
      <c r="H998" s="13"/>
      <c r="I998" s="13"/>
      <c r="J998" s="13"/>
      <c r="K998" s="13"/>
      <c r="L998" s="13"/>
      <c r="M998" s="13"/>
      <c r="N998" s="13"/>
      <c r="O998" s="13"/>
      <c r="P998" s="13"/>
      <c r="Q998" s="13"/>
      <c r="R998" s="13"/>
      <c r="S998" s="13"/>
      <c r="T998" s="13"/>
      <c r="U998" s="13"/>
      <c r="V998" s="13"/>
      <c r="W998" s="13"/>
      <c r="X998" s="13"/>
      <c r="Y998" s="13"/>
    </row>
    <row r="999" spans="1:25" ht="15.75" customHeight="1" x14ac:dyDescent="0.25">
      <c r="A999" s="13"/>
      <c r="B999" s="13"/>
      <c r="C999" s="13"/>
      <c r="D999" s="13"/>
      <c r="E999" s="13"/>
      <c r="F999" s="13"/>
      <c r="G999" s="13"/>
      <c r="H999" s="13"/>
      <c r="I999" s="13"/>
      <c r="J999" s="13"/>
      <c r="K999" s="13"/>
      <c r="L999" s="13"/>
      <c r="M999" s="13"/>
      <c r="N999" s="13"/>
      <c r="O999" s="13"/>
      <c r="P999" s="13"/>
      <c r="Q999" s="13"/>
      <c r="R999" s="13"/>
      <c r="S999" s="13"/>
      <c r="T999" s="13"/>
      <c r="U999" s="13"/>
      <c r="V999" s="13"/>
      <c r="W999" s="13"/>
      <c r="X999" s="13"/>
      <c r="Y999" s="13"/>
    </row>
    <row r="1000" spans="1:25" ht="15.75" customHeight="1" x14ac:dyDescent="0.25">
      <c r="A1000" s="13"/>
      <c r="B1000" s="13"/>
      <c r="C1000" s="13"/>
      <c r="D1000" s="13"/>
      <c r="E1000" s="13"/>
      <c r="F1000" s="13"/>
      <c r="G1000" s="13"/>
      <c r="H1000" s="13"/>
      <c r="I1000" s="13"/>
      <c r="J1000" s="13"/>
      <c r="K1000" s="13"/>
      <c r="L1000" s="13"/>
      <c r="M1000" s="13"/>
      <c r="N1000" s="13"/>
      <c r="O1000" s="13"/>
      <c r="P1000" s="13"/>
      <c r="Q1000" s="13"/>
      <c r="R1000" s="13"/>
      <c r="S1000" s="13"/>
      <c r="T1000" s="13"/>
      <c r="U1000" s="13"/>
      <c r="V1000" s="13"/>
      <c r="W1000" s="13"/>
      <c r="X1000" s="13"/>
      <c r="Y1000" s="13"/>
    </row>
    <row r="1001" spans="1:25" ht="15.75" customHeight="1" x14ac:dyDescent="0.25">
      <c r="A1001" s="13"/>
      <c r="B1001" s="13"/>
      <c r="C1001" s="13"/>
      <c r="D1001" s="13"/>
      <c r="E1001" s="13"/>
      <c r="F1001" s="13"/>
      <c r="G1001" s="13"/>
      <c r="H1001" s="13"/>
      <c r="I1001" s="13"/>
      <c r="J1001" s="13"/>
      <c r="K1001" s="13"/>
      <c r="L1001" s="13"/>
      <c r="M1001" s="13"/>
      <c r="N1001" s="13"/>
      <c r="O1001" s="13"/>
      <c r="P1001" s="13"/>
      <c r="Q1001" s="13"/>
      <c r="R1001" s="13"/>
      <c r="S1001" s="13"/>
      <c r="T1001" s="13"/>
      <c r="U1001" s="13"/>
      <c r="V1001" s="13"/>
      <c r="W1001" s="13"/>
      <c r="X1001" s="13"/>
      <c r="Y1001" s="13"/>
    </row>
    <row r="1002" spans="1:25" ht="15.75" customHeight="1" x14ac:dyDescent="0.25">
      <c r="A1002" s="13"/>
      <c r="B1002" s="13"/>
      <c r="C1002" s="13"/>
      <c r="D1002" s="13"/>
      <c r="E1002" s="13"/>
      <c r="F1002" s="13"/>
      <c r="G1002" s="13"/>
      <c r="H1002" s="13"/>
      <c r="I1002" s="13"/>
      <c r="J1002" s="13"/>
      <c r="K1002" s="13"/>
      <c r="L1002" s="13"/>
      <c r="M1002" s="13"/>
      <c r="N1002" s="13"/>
      <c r="O1002" s="13"/>
      <c r="P1002" s="13"/>
      <c r="Q1002" s="13"/>
      <c r="R1002" s="13"/>
      <c r="S1002" s="13"/>
      <c r="T1002" s="13"/>
      <c r="U1002" s="13"/>
      <c r="V1002" s="13"/>
      <c r="W1002" s="13"/>
      <c r="X1002" s="13"/>
      <c r="Y1002" s="13"/>
    </row>
    <row r="1003" spans="1:25" ht="15.75" customHeight="1" x14ac:dyDescent="0.25">
      <c r="A1003" s="13"/>
      <c r="B1003" s="13"/>
      <c r="C1003" s="13"/>
      <c r="D1003" s="13"/>
      <c r="E1003" s="13"/>
      <c r="F1003" s="13"/>
      <c r="G1003" s="13"/>
      <c r="H1003" s="13"/>
      <c r="I1003" s="13"/>
      <c r="J1003" s="13"/>
      <c r="K1003" s="13"/>
      <c r="L1003" s="13"/>
      <c r="M1003" s="13"/>
      <c r="N1003" s="13"/>
      <c r="O1003" s="13"/>
      <c r="P1003" s="13"/>
      <c r="Q1003" s="13"/>
      <c r="R1003" s="13"/>
      <c r="S1003" s="13"/>
      <c r="T1003" s="13"/>
      <c r="U1003" s="13"/>
      <c r="V1003" s="13"/>
      <c r="W1003" s="13"/>
      <c r="X1003" s="13"/>
      <c r="Y1003" s="13"/>
    </row>
    <row r="1004" spans="1:25" ht="15.75" customHeight="1" x14ac:dyDescent="0.25">
      <c r="A1004" s="13"/>
      <c r="B1004" s="13"/>
      <c r="C1004" s="13"/>
      <c r="D1004" s="13"/>
      <c r="E1004" s="13"/>
      <c r="F1004" s="13"/>
      <c r="G1004" s="13"/>
      <c r="H1004" s="13"/>
      <c r="I1004" s="13"/>
      <c r="J1004" s="13"/>
      <c r="K1004" s="13"/>
      <c r="L1004" s="13"/>
      <c r="M1004" s="13"/>
      <c r="N1004" s="13"/>
      <c r="O1004" s="13"/>
      <c r="P1004" s="13"/>
      <c r="Q1004" s="13"/>
      <c r="R1004" s="13"/>
      <c r="S1004" s="13"/>
      <c r="T1004" s="13"/>
      <c r="U1004" s="13"/>
      <c r="V1004" s="13"/>
      <c r="W1004" s="13"/>
      <c r="X1004" s="13"/>
      <c r="Y1004" s="13"/>
    </row>
    <row r="1005" spans="1:25" ht="15.75" customHeight="1" x14ac:dyDescent="0.25">
      <c r="A1005" s="13"/>
      <c r="B1005" s="13"/>
      <c r="C1005" s="13"/>
      <c r="D1005" s="13"/>
      <c r="E1005" s="13"/>
      <c r="F1005" s="13"/>
      <c r="G1005" s="13"/>
      <c r="H1005" s="13"/>
      <c r="I1005" s="13"/>
      <c r="J1005" s="13"/>
      <c r="K1005" s="13"/>
      <c r="L1005" s="13"/>
      <c r="M1005" s="13"/>
      <c r="N1005" s="13"/>
      <c r="O1005" s="13"/>
      <c r="P1005" s="13"/>
      <c r="Q1005" s="13"/>
      <c r="R1005" s="13"/>
      <c r="S1005" s="13"/>
      <c r="T1005" s="13"/>
      <c r="U1005" s="13"/>
      <c r="V1005" s="13"/>
      <c r="W1005" s="13"/>
      <c r="X1005" s="13"/>
      <c r="Y1005" s="13"/>
    </row>
    <row r="1006" spans="1:25" ht="15.75" customHeight="1" x14ac:dyDescent="0.25">
      <c r="A1006" s="13"/>
      <c r="B1006" s="13"/>
      <c r="C1006" s="13"/>
      <c r="D1006" s="13"/>
      <c r="E1006" s="13"/>
      <c r="F1006" s="13"/>
      <c r="G1006" s="13"/>
      <c r="H1006" s="13"/>
      <c r="I1006" s="13"/>
      <c r="J1006" s="13"/>
      <c r="K1006" s="13"/>
      <c r="L1006" s="13"/>
      <c r="M1006" s="13"/>
      <c r="N1006" s="13"/>
      <c r="O1006" s="13"/>
      <c r="P1006" s="13"/>
      <c r="Q1006" s="13"/>
      <c r="R1006" s="13"/>
      <c r="S1006" s="13"/>
      <c r="T1006" s="13"/>
      <c r="U1006" s="13"/>
      <c r="V1006" s="13"/>
      <c r="W1006" s="13"/>
      <c r="X1006" s="13"/>
      <c r="Y1006" s="13"/>
    </row>
    <row r="1007" spans="1:25" ht="15.75" customHeight="1" x14ac:dyDescent="0.25">
      <c r="A1007" s="13"/>
      <c r="B1007" s="13"/>
      <c r="C1007" s="13"/>
      <c r="D1007" s="13"/>
      <c r="E1007" s="13"/>
      <c r="F1007" s="13"/>
      <c r="G1007" s="13"/>
      <c r="H1007" s="13"/>
      <c r="I1007" s="13"/>
      <c r="J1007" s="13"/>
      <c r="K1007" s="13"/>
      <c r="L1007" s="13"/>
      <c r="M1007" s="13"/>
      <c r="N1007" s="13"/>
      <c r="O1007" s="13"/>
      <c r="P1007" s="13"/>
      <c r="Q1007" s="13"/>
      <c r="R1007" s="13"/>
      <c r="S1007" s="13"/>
      <c r="T1007" s="13"/>
      <c r="U1007" s="13"/>
      <c r="V1007" s="13"/>
      <c r="W1007" s="13"/>
      <c r="X1007" s="13"/>
      <c r="Y1007" s="13"/>
    </row>
    <row r="1008" spans="1:25" ht="15.75" customHeight="1" x14ac:dyDescent="0.25">
      <c r="A1008" s="13"/>
      <c r="B1008" s="13"/>
      <c r="C1008" s="13"/>
      <c r="D1008" s="13"/>
      <c r="E1008" s="13"/>
      <c r="F1008" s="13"/>
      <c r="G1008" s="13"/>
      <c r="H1008" s="13"/>
      <c r="I1008" s="13"/>
      <c r="J1008" s="13"/>
      <c r="K1008" s="13"/>
      <c r="L1008" s="13"/>
      <c r="M1008" s="13"/>
      <c r="N1008" s="13"/>
      <c r="O1008" s="13"/>
      <c r="P1008" s="13"/>
      <c r="Q1008" s="13"/>
      <c r="R1008" s="13"/>
      <c r="S1008" s="13"/>
      <c r="T1008" s="13"/>
      <c r="U1008" s="13"/>
      <c r="V1008" s="13"/>
      <c r="W1008" s="13"/>
      <c r="X1008" s="13"/>
      <c r="Y1008" s="13"/>
    </row>
    <row r="1009" spans="1:25" ht="15.75" customHeight="1" x14ac:dyDescent="0.25">
      <c r="A1009" s="13"/>
      <c r="B1009" s="13"/>
      <c r="C1009" s="13"/>
      <c r="D1009" s="13"/>
      <c r="E1009" s="13"/>
      <c r="F1009" s="13"/>
      <c r="G1009" s="13"/>
      <c r="H1009" s="13"/>
      <c r="I1009" s="13"/>
      <c r="J1009" s="13"/>
      <c r="K1009" s="13"/>
      <c r="L1009" s="13"/>
      <c r="M1009" s="13"/>
      <c r="N1009" s="13"/>
      <c r="O1009" s="13"/>
      <c r="P1009" s="13"/>
      <c r="Q1009" s="13"/>
      <c r="R1009" s="13"/>
      <c r="S1009" s="13"/>
      <c r="T1009" s="13"/>
      <c r="U1009" s="13"/>
      <c r="V1009" s="13"/>
      <c r="W1009" s="13"/>
      <c r="X1009" s="13"/>
      <c r="Y1009" s="13"/>
    </row>
    <row r="1010" spans="1:25" ht="15.75" customHeight="1" x14ac:dyDescent="0.25">
      <c r="A1010" s="13"/>
      <c r="B1010" s="13"/>
      <c r="C1010" s="13"/>
      <c r="D1010" s="13"/>
      <c r="E1010" s="13"/>
      <c r="F1010" s="13"/>
      <c r="G1010" s="13"/>
      <c r="H1010" s="13"/>
      <c r="I1010" s="13"/>
      <c r="J1010" s="13"/>
      <c r="K1010" s="13"/>
      <c r="L1010" s="13"/>
      <c r="M1010" s="13"/>
      <c r="N1010" s="13"/>
      <c r="O1010" s="13"/>
      <c r="P1010" s="13"/>
      <c r="Q1010" s="13"/>
      <c r="R1010" s="13"/>
      <c r="S1010" s="13"/>
      <c r="T1010" s="13"/>
      <c r="U1010" s="13"/>
      <c r="V1010" s="13"/>
      <c r="W1010" s="13"/>
      <c r="X1010" s="13"/>
      <c r="Y1010" s="13"/>
    </row>
    <row r="1011" spans="1:25" ht="15.75" customHeight="1" x14ac:dyDescent="0.25">
      <c r="A1011" s="13"/>
      <c r="B1011" s="13"/>
      <c r="C1011" s="13"/>
      <c r="D1011" s="13"/>
      <c r="E1011" s="13"/>
      <c r="F1011" s="13"/>
      <c r="G1011" s="13"/>
      <c r="H1011" s="13"/>
      <c r="I1011" s="13"/>
      <c r="J1011" s="13"/>
      <c r="K1011" s="13"/>
      <c r="L1011" s="13"/>
      <c r="M1011" s="13"/>
      <c r="N1011" s="13"/>
      <c r="O1011" s="13"/>
      <c r="P1011" s="13"/>
      <c r="Q1011" s="13"/>
      <c r="R1011" s="13"/>
      <c r="S1011" s="13"/>
      <c r="T1011" s="13"/>
      <c r="U1011" s="13"/>
      <c r="V1011" s="13"/>
      <c r="W1011" s="13"/>
      <c r="X1011" s="13"/>
      <c r="Y1011" s="13"/>
    </row>
    <row r="1012" spans="1:25" ht="15.75" customHeight="1" x14ac:dyDescent="0.25">
      <c r="A1012" s="13"/>
      <c r="B1012" s="13"/>
      <c r="C1012" s="13"/>
      <c r="D1012" s="13"/>
      <c r="E1012" s="13"/>
      <c r="F1012" s="13"/>
      <c r="G1012" s="13"/>
      <c r="H1012" s="13"/>
      <c r="I1012" s="13"/>
      <c r="J1012" s="13"/>
      <c r="K1012" s="13"/>
      <c r="L1012" s="13"/>
      <c r="M1012" s="13"/>
      <c r="N1012" s="13"/>
      <c r="O1012" s="13"/>
      <c r="P1012" s="13"/>
      <c r="Q1012" s="13"/>
      <c r="R1012" s="13"/>
      <c r="S1012" s="13"/>
      <c r="T1012" s="13"/>
      <c r="U1012" s="13"/>
      <c r="V1012" s="13"/>
      <c r="W1012" s="13"/>
      <c r="X1012" s="13"/>
      <c r="Y1012" s="13"/>
    </row>
    <row r="1013" spans="1:25" ht="15.75" customHeight="1" x14ac:dyDescent="0.25">
      <c r="A1013" s="13"/>
      <c r="B1013" s="13"/>
      <c r="C1013" s="13"/>
      <c r="D1013" s="13"/>
      <c r="E1013" s="13"/>
      <c r="F1013" s="13"/>
      <c r="G1013" s="13"/>
      <c r="H1013" s="13"/>
      <c r="I1013" s="13"/>
      <c r="J1013" s="13"/>
      <c r="K1013" s="13"/>
      <c r="L1013" s="13"/>
      <c r="M1013" s="13"/>
      <c r="N1013" s="13"/>
      <c r="O1013" s="13"/>
      <c r="P1013" s="13"/>
      <c r="Q1013" s="13"/>
      <c r="R1013" s="13"/>
      <c r="S1013" s="13"/>
      <c r="T1013" s="13"/>
      <c r="U1013" s="13"/>
      <c r="V1013" s="13"/>
      <c r="W1013" s="13"/>
      <c r="X1013" s="13"/>
      <c r="Y1013" s="13"/>
    </row>
    <row r="1014" spans="1:25" ht="15.75" customHeight="1" x14ac:dyDescent="0.25">
      <c r="A1014" s="13"/>
      <c r="B1014" s="13"/>
      <c r="C1014" s="13"/>
      <c r="D1014" s="13"/>
      <c r="E1014" s="13"/>
      <c r="F1014" s="13"/>
      <c r="G1014" s="13"/>
      <c r="H1014" s="13"/>
      <c r="I1014" s="13"/>
      <c r="J1014" s="13"/>
      <c r="K1014" s="13"/>
      <c r="L1014" s="13"/>
      <c r="M1014" s="13"/>
      <c r="N1014" s="13"/>
      <c r="O1014" s="13"/>
      <c r="P1014" s="13"/>
      <c r="Q1014" s="13"/>
      <c r="R1014" s="13"/>
      <c r="S1014" s="13"/>
      <c r="T1014" s="13"/>
      <c r="U1014" s="13"/>
      <c r="V1014" s="13"/>
      <c r="W1014" s="13"/>
      <c r="X1014" s="13"/>
      <c r="Y1014" s="13"/>
    </row>
    <row r="1015" spans="1:25" ht="15.75" customHeight="1" x14ac:dyDescent="0.25">
      <c r="A1015" s="13"/>
      <c r="B1015" s="13"/>
      <c r="C1015" s="13"/>
      <c r="D1015" s="13"/>
      <c r="E1015" s="13"/>
      <c r="F1015" s="13"/>
      <c r="G1015" s="13"/>
      <c r="H1015" s="13"/>
      <c r="I1015" s="13"/>
      <c r="J1015" s="13"/>
      <c r="K1015" s="13"/>
      <c r="L1015" s="13"/>
      <c r="M1015" s="13"/>
      <c r="N1015" s="13"/>
      <c r="O1015" s="13"/>
      <c r="P1015" s="13"/>
      <c r="Q1015" s="13"/>
      <c r="R1015" s="13"/>
      <c r="S1015" s="13"/>
      <c r="T1015" s="13"/>
      <c r="U1015" s="13"/>
      <c r="V1015" s="13"/>
      <c r="W1015" s="13"/>
      <c r="X1015" s="13"/>
      <c r="Y1015" s="13"/>
    </row>
    <row r="1016" spans="1:25" ht="15.75" customHeight="1" x14ac:dyDescent="0.25">
      <c r="A1016" s="13"/>
      <c r="B1016" s="13"/>
      <c r="C1016" s="13"/>
      <c r="D1016" s="13"/>
      <c r="E1016" s="13"/>
      <c r="F1016" s="13"/>
      <c r="G1016" s="13"/>
      <c r="H1016" s="13"/>
      <c r="I1016" s="13"/>
      <c r="J1016" s="13"/>
      <c r="K1016" s="13"/>
      <c r="L1016" s="13"/>
      <c r="M1016" s="13"/>
      <c r="N1016" s="13"/>
      <c r="O1016" s="13"/>
      <c r="P1016" s="13"/>
      <c r="Q1016" s="13"/>
      <c r="R1016" s="13"/>
      <c r="S1016" s="13"/>
      <c r="T1016" s="13"/>
      <c r="U1016" s="13"/>
      <c r="V1016" s="13"/>
      <c r="W1016" s="13"/>
      <c r="X1016" s="13"/>
      <c r="Y1016" s="13"/>
    </row>
    <row r="1017" spans="1:25" ht="15.75" customHeight="1" x14ac:dyDescent="0.25">
      <c r="A1017" s="13"/>
      <c r="B1017" s="13"/>
      <c r="C1017" s="13"/>
      <c r="D1017" s="13"/>
      <c r="E1017" s="13"/>
      <c r="F1017" s="13"/>
      <c r="G1017" s="13"/>
      <c r="H1017" s="13"/>
      <c r="I1017" s="13"/>
      <c r="J1017" s="13"/>
      <c r="K1017" s="13"/>
      <c r="L1017" s="13"/>
      <c r="M1017" s="13"/>
      <c r="N1017" s="13"/>
      <c r="O1017" s="13"/>
      <c r="P1017" s="13"/>
      <c r="Q1017" s="13"/>
      <c r="R1017" s="13"/>
      <c r="S1017" s="13"/>
      <c r="T1017" s="13"/>
      <c r="U1017" s="13"/>
      <c r="V1017" s="13"/>
      <c r="W1017" s="13"/>
      <c r="X1017" s="13"/>
      <c r="Y1017" s="13"/>
    </row>
    <row r="1018" spans="1:25" ht="15.75" customHeight="1" x14ac:dyDescent="0.25">
      <c r="A1018" s="13"/>
      <c r="B1018" s="13"/>
      <c r="C1018" s="13"/>
      <c r="D1018" s="13"/>
      <c r="E1018" s="13"/>
      <c r="F1018" s="13"/>
      <c r="G1018" s="13"/>
      <c r="H1018" s="13"/>
      <c r="I1018" s="13"/>
      <c r="J1018" s="13"/>
      <c r="K1018" s="13"/>
      <c r="L1018" s="13"/>
      <c r="M1018" s="13"/>
      <c r="N1018" s="13"/>
      <c r="O1018" s="13"/>
      <c r="P1018" s="13"/>
      <c r="Q1018" s="13"/>
      <c r="R1018" s="13"/>
      <c r="S1018" s="13"/>
      <c r="T1018" s="13"/>
      <c r="U1018" s="13"/>
      <c r="V1018" s="13"/>
      <c r="W1018" s="13"/>
      <c r="X1018" s="13"/>
      <c r="Y1018" s="13"/>
    </row>
    <row r="1019" spans="1:25" ht="15.75" customHeight="1" x14ac:dyDescent="0.25">
      <c r="A1019" s="13"/>
      <c r="B1019" s="13"/>
      <c r="C1019" s="13"/>
      <c r="D1019" s="13"/>
      <c r="E1019" s="13"/>
      <c r="F1019" s="13"/>
      <c r="G1019" s="13"/>
      <c r="H1019" s="13"/>
      <c r="I1019" s="13"/>
      <c r="J1019" s="13"/>
      <c r="K1019" s="13"/>
      <c r="L1019" s="13"/>
      <c r="M1019" s="13"/>
      <c r="N1019" s="13"/>
      <c r="O1019" s="13"/>
      <c r="P1019" s="13"/>
      <c r="Q1019" s="13"/>
      <c r="R1019" s="13"/>
      <c r="S1019" s="13"/>
      <c r="T1019" s="13"/>
      <c r="U1019" s="13"/>
      <c r="V1019" s="13"/>
      <c r="W1019" s="13"/>
      <c r="X1019" s="13"/>
      <c r="Y1019" s="13"/>
    </row>
    <row r="1020" spans="1:25" ht="15.75" customHeight="1" x14ac:dyDescent="0.25">
      <c r="A1020" s="13"/>
      <c r="B1020" s="13"/>
      <c r="C1020" s="13"/>
      <c r="D1020" s="13"/>
      <c r="E1020" s="13"/>
      <c r="F1020" s="13"/>
      <c r="G1020" s="13"/>
      <c r="H1020" s="13"/>
      <c r="I1020" s="13"/>
      <c r="J1020" s="13"/>
      <c r="K1020" s="13"/>
      <c r="L1020" s="13"/>
      <c r="M1020" s="13"/>
      <c r="N1020" s="13"/>
      <c r="O1020" s="13"/>
      <c r="P1020" s="13"/>
      <c r="Q1020" s="13"/>
      <c r="R1020" s="13"/>
      <c r="S1020" s="13"/>
      <c r="T1020" s="13"/>
      <c r="U1020" s="13"/>
      <c r="V1020" s="13"/>
      <c r="W1020" s="13"/>
      <c r="X1020" s="13"/>
      <c r="Y1020" s="13"/>
    </row>
    <row r="1021" spans="1:25" ht="15.75" customHeight="1" x14ac:dyDescent="0.25">
      <c r="A1021" s="13"/>
      <c r="B1021" s="13"/>
      <c r="C1021" s="13"/>
      <c r="D1021" s="13"/>
      <c r="E1021" s="13"/>
      <c r="F1021" s="13"/>
      <c r="G1021" s="13"/>
      <c r="H1021" s="13"/>
      <c r="I1021" s="13"/>
      <c r="J1021" s="13"/>
      <c r="K1021" s="13"/>
      <c r="L1021" s="13"/>
      <c r="M1021" s="13"/>
      <c r="N1021" s="13"/>
      <c r="O1021" s="13"/>
      <c r="P1021" s="13"/>
      <c r="Q1021" s="13"/>
      <c r="R1021" s="13"/>
      <c r="S1021" s="13"/>
      <c r="T1021" s="13"/>
      <c r="U1021" s="13"/>
      <c r="V1021" s="13"/>
      <c r="W1021" s="13"/>
      <c r="X1021" s="13"/>
      <c r="Y1021" s="13"/>
    </row>
    <row r="1022" spans="1:25" ht="15.75" customHeight="1" x14ac:dyDescent="0.25">
      <c r="A1022" s="13"/>
      <c r="B1022" s="13"/>
      <c r="C1022" s="13"/>
      <c r="D1022" s="13"/>
      <c r="E1022" s="13"/>
      <c r="F1022" s="13"/>
      <c r="G1022" s="13"/>
      <c r="H1022" s="13"/>
      <c r="I1022" s="13"/>
      <c r="J1022" s="13"/>
      <c r="K1022" s="13"/>
      <c r="L1022" s="13"/>
      <c r="M1022" s="13"/>
      <c r="N1022" s="13"/>
      <c r="O1022" s="13"/>
      <c r="P1022" s="13"/>
      <c r="Q1022" s="13"/>
      <c r="R1022" s="13"/>
      <c r="S1022" s="13"/>
      <c r="T1022" s="13"/>
      <c r="U1022" s="13"/>
      <c r="V1022" s="13"/>
      <c r="W1022" s="13"/>
      <c r="X1022" s="13"/>
      <c r="Y1022" s="13"/>
    </row>
    <row r="1023" spans="1:25" ht="15.75" customHeight="1" x14ac:dyDescent="0.25">
      <c r="A1023" s="13"/>
      <c r="B1023" s="13"/>
      <c r="C1023" s="13"/>
      <c r="D1023" s="13"/>
      <c r="E1023" s="13"/>
      <c r="F1023" s="13"/>
      <c r="G1023" s="13"/>
      <c r="H1023" s="13"/>
      <c r="I1023" s="13"/>
      <c r="J1023" s="13"/>
      <c r="K1023" s="13"/>
      <c r="L1023" s="13"/>
      <c r="M1023" s="13"/>
      <c r="N1023" s="13"/>
      <c r="O1023" s="13"/>
      <c r="P1023" s="13"/>
      <c r="Q1023" s="13"/>
      <c r="R1023" s="13"/>
      <c r="S1023" s="13"/>
      <c r="T1023" s="13"/>
      <c r="U1023" s="13"/>
      <c r="V1023" s="13"/>
      <c r="W1023" s="13"/>
      <c r="X1023" s="13"/>
      <c r="Y1023" s="13"/>
    </row>
    <row r="1024" spans="1:25" ht="15.75" customHeight="1" x14ac:dyDescent="0.25">
      <c r="A1024" s="13"/>
      <c r="B1024" s="13"/>
      <c r="C1024" s="13"/>
      <c r="D1024" s="13"/>
      <c r="E1024" s="13"/>
      <c r="F1024" s="13"/>
      <c r="G1024" s="13"/>
      <c r="H1024" s="13"/>
      <c r="I1024" s="13"/>
      <c r="J1024" s="13"/>
      <c r="K1024" s="13"/>
      <c r="L1024" s="13"/>
      <c r="M1024" s="13"/>
      <c r="N1024" s="13"/>
      <c r="O1024" s="13"/>
      <c r="P1024" s="13"/>
      <c r="Q1024" s="13"/>
      <c r="R1024" s="13"/>
      <c r="S1024" s="13"/>
      <c r="T1024" s="13"/>
      <c r="U1024" s="13"/>
      <c r="V1024" s="13"/>
      <c r="W1024" s="13"/>
      <c r="X1024" s="13"/>
      <c r="Y1024" s="13"/>
    </row>
    <row r="1025" spans="1:25" ht="15.75" customHeight="1" x14ac:dyDescent="0.25">
      <c r="A1025" s="13"/>
      <c r="B1025" s="13"/>
      <c r="C1025" s="13"/>
      <c r="D1025" s="13"/>
      <c r="E1025" s="13"/>
      <c r="F1025" s="13"/>
      <c r="G1025" s="13"/>
      <c r="H1025" s="13"/>
      <c r="I1025" s="13"/>
      <c r="J1025" s="13"/>
      <c r="K1025" s="13"/>
      <c r="L1025" s="13"/>
      <c r="M1025" s="13"/>
      <c r="N1025" s="13"/>
      <c r="O1025" s="13"/>
      <c r="P1025" s="13"/>
      <c r="Q1025" s="13"/>
      <c r="R1025" s="13"/>
      <c r="S1025" s="13"/>
      <c r="T1025" s="13"/>
      <c r="U1025" s="13"/>
      <c r="V1025" s="13"/>
      <c r="W1025" s="13"/>
      <c r="X1025" s="13"/>
      <c r="Y1025" s="13"/>
    </row>
  </sheetData>
  <sheetProtection algorithmName="SHA-512" hashValue="/2QFuXr4F0KuUloCQC+S73yx4QNz4vvNJn9vyIXzeW4A485IgPzy6WRIKD75M/+WXU+Y7q8rYYU92EIORuxvLw==" saltValue="L+xQHxb+QyBDXenN/lMCtw==" spinCount="100000" sheet="1" objects="1" scenarios="1"/>
  <pageMargins left="0.7" right="0.7" top="0.75" bottom="0.75" header="0" footer="0"/>
  <pageSetup paperSize="5"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57"/>
  <sheetViews>
    <sheetView showGridLines="0" workbookViewId="0">
      <pane ySplit="2" topLeftCell="A3" activePane="bottomLeft" state="frozen"/>
      <selection pane="bottomLeft" activeCell="C2" sqref="C2"/>
    </sheetView>
  </sheetViews>
  <sheetFormatPr baseColWidth="10" defaultColWidth="12.6328125" defaultRowHeight="15" customHeight="1" x14ac:dyDescent="0.25"/>
  <cols>
    <col min="1" max="1" width="18.36328125" customWidth="1"/>
    <col min="2" max="2" width="23.453125" customWidth="1"/>
    <col min="3" max="3" width="59.6328125" customWidth="1"/>
    <col min="4" max="5" width="25.08984375" customWidth="1"/>
    <col min="6" max="6" width="28.36328125" customWidth="1"/>
    <col min="7" max="9" width="10.7265625" customWidth="1"/>
    <col min="10" max="25" width="14.453125" customWidth="1"/>
  </cols>
  <sheetData>
    <row r="1" spans="1:25" ht="15" customHeight="1" x14ac:dyDescent="0.3">
      <c r="A1" s="40" t="s">
        <v>84</v>
      </c>
    </row>
    <row r="2" spans="1:25" ht="13" x14ac:dyDescent="0.25">
      <c r="A2" s="2" t="s">
        <v>0</v>
      </c>
      <c r="B2" s="2" t="s">
        <v>1</v>
      </c>
      <c r="C2" s="3" t="s">
        <v>2</v>
      </c>
      <c r="D2" s="2" t="s">
        <v>3</v>
      </c>
      <c r="E2" s="2" t="s">
        <v>4</v>
      </c>
      <c r="F2" s="2" t="s">
        <v>5</v>
      </c>
      <c r="G2" s="1"/>
      <c r="H2" s="1"/>
      <c r="I2" s="1"/>
      <c r="J2" s="1"/>
      <c r="K2" s="1"/>
      <c r="L2" s="1"/>
      <c r="M2" s="1"/>
      <c r="N2" s="1"/>
      <c r="O2" s="1"/>
      <c r="P2" s="1"/>
      <c r="Q2" s="1"/>
      <c r="R2" s="1"/>
      <c r="S2" s="1"/>
      <c r="T2" s="1"/>
      <c r="U2" s="1"/>
      <c r="V2" s="1"/>
      <c r="W2" s="1"/>
      <c r="X2" s="1"/>
      <c r="Y2" s="1"/>
    </row>
    <row r="3" spans="1:25" ht="13" x14ac:dyDescent="0.25">
      <c r="A3" s="4" t="s">
        <v>22</v>
      </c>
      <c r="B3" s="5" t="s">
        <v>32</v>
      </c>
      <c r="C3" s="5" t="s">
        <v>33</v>
      </c>
      <c r="D3" s="5"/>
      <c r="E3" s="5"/>
      <c r="F3" s="5"/>
      <c r="G3" s="1"/>
      <c r="H3" s="1"/>
      <c r="I3" s="1"/>
      <c r="J3" s="1"/>
      <c r="K3" s="1"/>
      <c r="L3" s="1"/>
      <c r="M3" s="1"/>
      <c r="N3" s="1"/>
      <c r="O3" s="1"/>
      <c r="P3" s="1"/>
      <c r="Q3" s="1"/>
      <c r="R3" s="1"/>
      <c r="S3" s="1"/>
      <c r="T3" s="1"/>
      <c r="U3" s="1"/>
      <c r="V3" s="1"/>
      <c r="W3" s="1"/>
      <c r="X3" s="1"/>
      <c r="Y3" s="1"/>
    </row>
    <row r="4" spans="1:25" ht="13" x14ac:dyDescent="0.25">
      <c r="A4" s="7"/>
      <c r="B4" s="8"/>
      <c r="C4" s="26"/>
      <c r="D4" s="8"/>
      <c r="E4" s="8"/>
      <c r="F4" s="8"/>
      <c r="G4" s="1"/>
      <c r="H4" s="1"/>
      <c r="I4" s="1"/>
      <c r="J4" s="1"/>
      <c r="K4" s="1"/>
      <c r="L4" s="1"/>
      <c r="M4" s="1"/>
      <c r="N4" s="1"/>
      <c r="O4" s="1"/>
      <c r="P4" s="1"/>
      <c r="Q4" s="1"/>
      <c r="R4" s="1"/>
      <c r="S4" s="1"/>
      <c r="T4" s="1"/>
      <c r="U4" s="1"/>
      <c r="V4" s="1"/>
      <c r="W4" s="1"/>
      <c r="X4" s="1"/>
      <c r="Y4" s="1"/>
    </row>
    <row r="5" spans="1:25" ht="13" x14ac:dyDescent="0.25">
      <c r="A5" s="7"/>
      <c r="B5" s="8"/>
      <c r="C5" s="26"/>
      <c r="D5" s="8"/>
      <c r="E5" s="8"/>
      <c r="F5" s="8"/>
      <c r="G5" s="1"/>
      <c r="H5" s="1"/>
      <c r="I5" s="1"/>
      <c r="J5" s="1"/>
      <c r="K5" s="1"/>
      <c r="L5" s="1"/>
      <c r="M5" s="1"/>
      <c r="N5" s="1"/>
      <c r="O5" s="1"/>
      <c r="P5" s="1"/>
      <c r="Q5" s="1"/>
      <c r="R5" s="1"/>
      <c r="S5" s="1"/>
      <c r="T5" s="1"/>
      <c r="U5" s="1"/>
      <c r="V5" s="1"/>
      <c r="W5" s="1"/>
      <c r="X5" s="1"/>
      <c r="Y5" s="1"/>
    </row>
    <row r="6" spans="1:25" ht="13" x14ac:dyDescent="0.25">
      <c r="A6" s="7"/>
      <c r="B6" s="8"/>
      <c r="C6" s="26"/>
      <c r="D6" s="8"/>
      <c r="E6" s="8"/>
      <c r="F6" s="8"/>
      <c r="G6" s="1"/>
      <c r="H6" s="1"/>
      <c r="I6" s="1"/>
      <c r="J6" s="1"/>
      <c r="K6" s="1"/>
      <c r="L6" s="1"/>
      <c r="M6" s="1"/>
      <c r="N6" s="1"/>
      <c r="O6" s="1"/>
      <c r="P6" s="1"/>
      <c r="Q6" s="1"/>
      <c r="R6" s="1"/>
      <c r="S6" s="1"/>
      <c r="T6" s="1"/>
      <c r="U6" s="1"/>
      <c r="V6" s="1"/>
      <c r="W6" s="1"/>
      <c r="X6" s="1"/>
      <c r="Y6" s="1"/>
    </row>
    <row r="7" spans="1:25" ht="13" x14ac:dyDescent="0.25">
      <c r="A7" s="7"/>
      <c r="B7" s="8"/>
      <c r="C7" s="9"/>
      <c r="D7" s="8"/>
      <c r="E7" s="8"/>
      <c r="F7" s="8"/>
      <c r="G7" s="1"/>
      <c r="H7" s="1"/>
      <c r="I7" s="1"/>
      <c r="J7" s="1"/>
      <c r="K7" s="1"/>
      <c r="L7" s="1"/>
      <c r="M7" s="1"/>
      <c r="N7" s="1"/>
      <c r="O7" s="1"/>
      <c r="P7" s="1"/>
      <c r="Q7" s="1"/>
      <c r="R7" s="1"/>
      <c r="S7" s="1"/>
      <c r="T7" s="1"/>
      <c r="U7" s="1"/>
      <c r="V7" s="1"/>
      <c r="W7" s="1"/>
      <c r="X7" s="1"/>
      <c r="Y7" s="1"/>
    </row>
    <row r="8" spans="1:25" ht="13" x14ac:dyDescent="0.25">
      <c r="A8" s="7"/>
      <c r="B8" s="8"/>
      <c r="C8" s="9"/>
      <c r="D8" s="8"/>
      <c r="E8" s="8"/>
      <c r="F8" s="8"/>
      <c r="G8" s="1"/>
      <c r="H8" s="1"/>
      <c r="I8" s="1"/>
      <c r="J8" s="1"/>
      <c r="K8" s="1"/>
      <c r="L8" s="1"/>
      <c r="M8" s="1"/>
      <c r="N8" s="1"/>
      <c r="O8" s="1"/>
      <c r="P8" s="1"/>
      <c r="Q8" s="1"/>
      <c r="R8" s="1"/>
      <c r="S8" s="1"/>
      <c r="T8" s="1"/>
      <c r="U8" s="1"/>
      <c r="V8" s="1"/>
      <c r="W8" s="1"/>
      <c r="X8" s="1"/>
      <c r="Y8" s="1"/>
    </row>
    <row r="9" spans="1:25" ht="13" x14ac:dyDescent="0.25">
      <c r="A9" s="7"/>
      <c r="B9" s="8"/>
      <c r="C9" s="9"/>
      <c r="D9" s="8"/>
      <c r="E9" s="8"/>
      <c r="F9" s="8"/>
      <c r="G9" s="1"/>
      <c r="H9" s="1"/>
      <c r="I9" s="1"/>
      <c r="J9" s="1"/>
      <c r="K9" s="1"/>
      <c r="L9" s="1"/>
      <c r="M9" s="1"/>
      <c r="N9" s="1"/>
      <c r="O9" s="1"/>
      <c r="P9" s="1"/>
      <c r="Q9" s="1"/>
      <c r="R9" s="1"/>
      <c r="S9" s="1"/>
      <c r="T9" s="1"/>
      <c r="U9" s="1"/>
      <c r="V9" s="1"/>
      <c r="W9" s="1"/>
      <c r="X9" s="1"/>
      <c r="Y9" s="1"/>
    </row>
    <row r="10" spans="1:25" ht="12.5" x14ac:dyDescent="0.25">
      <c r="A10" s="27"/>
      <c r="B10" s="28"/>
      <c r="C10" s="28"/>
      <c r="D10" s="28"/>
      <c r="E10" s="28"/>
      <c r="F10" s="28"/>
      <c r="G10" s="1"/>
      <c r="H10" s="1"/>
      <c r="I10" s="1"/>
      <c r="J10" s="1"/>
      <c r="K10" s="1"/>
      <c r="L10" s="1"/>
      <c r="M10" s="1"/>
      <c r="N10" s="1"/>
      <c r="O10" s="1"/>
      <c r="P10" s="1"/>
      <c r="Q10" s="1"/>
      <c r="R10" s="1"/>
      <c r="S10" s="1"/>
      <c r="T10" s="1"/>
      <c r="U10" s="1"/>
      <c r="V10" s="1"/>
      <c r="W10" s="1"/>
      <c r="X10" s="1"/>
      <c r="Y10" s="1"/>
    </row>
    <row r="11" spans="1:25" ht="12.5" x14ac:dyDescent="0.25">
      <c r="A11" s="1"/>
      <c r="B11" s="1"/>
      <c r="C11" s="1"/>
      <c r="D11" s="1"/>
      <c r="E11" s="1"/>
      <c r="F11" s="1"/>
      <c r="G11" s="1"/>
      <c r="H11" s="1"/>
      <c r="I11" s="1"/>
      <c r="J11" s="1"/>
      <c r="K11" s="1"/>
      <c r="L11" s="1"/>
      <c r="M11" s="1"/>
      <c r="N11" s="1"/>
      <c r="O11" s="1"/>
      <c r="P11" s="1"/>
      <c r="Q11" s="1"/>
      <c r="R11" s="1"/>
      <c r="S11" s="1"/>
      <c r="T11" s="1"/>
      <c r="U11" s="1"/>
      <c r="V11" s="1"/>
      <c r="W11" s="1"/>
      <c r="X11" s="1"/>
      <c r="Y11" s="1"/>
    </row>
    <row r="12" spans="1:25" ht="12.5" x14ac:dyDescent="0.25">
      <c r="A12" s="1"/>
      <c r="B12" s="1"/>
      <c r="C12" s="1"/>
      <c r="D12" s="1"/>
      <c r="E12" s="1"/>
      <c r="F12" s="1"/>
      <c r="G12" s="1"/>
      <c r="H12" s="1"/>
      <c r="I12" s="1"/>
      <c r="J12" s="1"/>
      <c r="K12" s="1"/>
      <c r="L12" s="1"/>
      <c r="M12" s="1"/>
      <c r="N12" s="1"/>
      <c r="O12" s="1"/>
      <c r="P12" s="1"/>
      <c r="Q12" s="1"/>
      <c r="R12" s="1"/>
      <c r="S12" s="1"/>
      <c r="T12" s="1"/>
      <c r="U12" s="1"/>
      <c r="V12" s="1"/>
      <c r="W12" s="1"/>
      <c r="X12" s="1"/>
      <c r="Y12" s="1"/>
    </row>
    <row r="13" spans="1:25" ht="12.5" x14ac:dyDescent="0.25">
      <c r="A13" s="1"/>
      <c r="B13" s="1"/>
      <c r="C13" s="1"/>
      <c r="D13" s="1"/>
      <c r="E13" s="1"/>
      <c r="F13" s="1"/>
      <c r="G13" s="1"/>
      <c r="H13" s="1"/>
      <c r="I13" s="1"/>
      <c r="J13" s="1"/>
      <c r="K13" s="1"/>
      <c r="L13" s="1"/>
      <c r="M13" s="1"/>
      <c r="N13" s="1"/>
      <c r="O13" s="1"/>
      <c r="P13" s="1"/>
      <c r="Q13" s="1"/>
      <c r="R13" s="1"/>
      <c r="S13" s="1"/>
      <c r="T13" s="1"/>
      <c r="U13" s="1"/>
      <c r="V13" s="1"/>
      <c r="W13" s="1"/>
      <c r="X13" s="1"/>
      <c r="Y13" s="1"/>
    </row>
    <row r="14" spans="1:25" ht="12.5" x14ac:dyDescent="0.25">
      <c r="A14" s="1"/>
      <c r="B14" s="1"/>
      <c r="C14" s="1"/>
      <c r="D14" s="1"/>
      <c r="E14" s="1"/>
      <c r="F14" s="1"/>
      <c r="G14" s="1"/>
      <c r="H14" s="1"/>
      <c r="I14" s="1"/>
      <c r="J14" s="1"/>
      <c r="K14" s="1"/>
      <c r="L14" s="1"/>
      <c r="M14" s="1"/>
      <c r="N14" s="1"/>
      <c r="O14" s="1"/>
      <c r="P14" s="1"/>
      <c r="Q14" s="1"/>
      <c r="R14" s="1"/>
      <c r="S14" s="1"/>
      <c r="T14" s="1"/>
      <c r="U14" s="1"/>
      <c r="V14" s="1"/>
      <c r="W14" s="1"/>
      <c r="X14" s="1"/>
      <c r="Y14" s="1"/>
    </row>
    <row r="15" spans="1:25" ht="12.5" x14ac:dyDescent="0.25">
      <c r="A15" s="1"/>
      <c r="B15" s="1"/>
      <c r="C15" s="1"/>
      <c r="D15" s="1"/>
      <c r="E15" s="1"/>
      <c r="F15" s="1"/>
      <c r="G15" s="1"/>
      <c r="H15" s="1"/>
      <c r="I15" s="1"/>
      <c r="J15" s="1"/>
      <c r="K15" s="1"/>
      <c r="L15" s="1"/>
      <c r="M15" s="1"/>
      <c r="N15" s="1"/>
      <c r="O15" s="1"/>
      <c r="P15" s="1"/>
      <c r="Q15" s="1"/>
      <c r="R15" s="1"/>
      <c r="S15" s="1"/>
      <c r="T15" s="1"/>
      <c r="U15" s="1"/>
      <c r="V15" s="1"/>
      <c r="W15" s="1"/>
      <c r="X15" s="1"/>
      <c r="Y15" s="1"/>
    </row>
    <row r="16" spans="1:25" ht="12.5" x14ac:dyDescent="0.25">
      <c r="A16" s="1"/>
      <c r="B16" s="1"/>
      <c r="C16" s="1"/>
      <c r="D16" s="1"/>
      <c r="E16" s="1"/>
      <c r="F16" s="1"/>
      <c r="G16" s="1"/>
      <c r="H16" s="1"/>
      <c r="I16" s="1"/>
      <c r="J16" s="1"/>
      <c r="K16" s="1"/>
      <c r="L16" s="1"/>
      <c r="M16" s="1"/>
      <c r="N16" s="1"/>
      <c r="O16" s="1"/>
      <c r="P16" s="1"/>
      <c r="Q16" s="1"/>
      <c r="R16" s="1"/>
      <c r="S16" s="1"/>
      <c r="T16" s="1"/>
      <c r="U16" s="1"/>
      <c r="V16" s="1"/>
      <c r="W16" s="1"/>
      <c r="X16" s="1"/>
      <c r="Y16" s="1"/>
    </row>
    <row r="17" spans="1:25" ht="12.5" x14ac:dyDescent="0.25">
      <c r="A17" s="1"/>
      <c r="B17" s="1"/>
      <c r="C17" s="1"/>
      <c r="D17" s="1"/>
      <c r="E17" s="1"/>
      <c r="F17" s="1"/>
      <c r="G17" s="1"/>
      <c r="H17" s="1"/>
      <c r="I17" s="1"/>
      <c r="J17" s="1"/>
      <c r="K17" s="1"/>
      <c r="L17" s="1"/>
      <c r="M17" s="1"/>
      <c r="N17" s="1"/>
      <c r="O17" s="1"/>
      <c r="P17" s="1"/>
      <c r="Q17" s="1"/>
      <c r="R17" s="1"/>
      <c r="S17" s="1"/>
      <c r="T17" s="1"/>
      <c r="U17" s="1"/>
      <c r="V17" s="1"/>
      <c r="W17" s="1"/>
      <c r="X17" s="1"/>
      <c r="Y17" s="1"/>
    </row>
    <row r="18" spans="1:25" ht="12.5" x14ac:dyDescent="0.25">
      <c r="A18" s="1"/>
      <c r="B18" s="1"/>
      <c r="C18" s="1"/>
      <c r="D18" s="1"/>
      <c r="E18" s="1"/>
      <c r="F18" s="1"/>
      <c r="G18" s="1"/>
      <c r="H18" s="1"/>
      <c r="I18" s="1"/>
      <c r="J18" s="1"/>
      <c r="K18" s="1"/>
      <c r="L18" s="1"/>
      <c r="M18" s="1"/>
      <c r="N18" s="1"/>
      <c r="O18" s="1"/>
      <c r="P18" s="1"/>
      <c r="Q18" s="1"/>
      <c r="R18" s="1"/>
      <c r="S18" s="1"/>
      <c r="T18" s="1"/>
      <c r="U18" s="1"/>
      <c r="V18" s="1"/>
      <c r="W18" s="1"/>
      <c r="X18" s="1"/>
      <c r="Y18" s="1"/>
    </row>
    <row r="19" spans="1:25" ht="12.5" x14ac:dyDescent="0.25">
      <c r="A19" s="1"/>
      <c r="B19" s="1"/>
      <c r="C19" s="1"/>
      <c r="D19" s="1"/>
      <c r="E19" s="1"/>
      <c r="F19" s="1"/>
      <c r="G19" s="1"/>
      <c r="H19" s="1"/>
      <c r="I19" s="1"/>
      <c r="J19" s="1"/>
      <c r="K19" s="1"/>
      <c r="L19" s="1"/>
      <c r="M19" s="1"/>
      <c r="N19" s="1"/>
      <c r="O19" s="1"/>
      <c r="P19" s="1"/>
      <c r="Q19" s="1"/>
      <c r="R19" s="1"/>
      <c r="S19" s="1"/>
      <c r="T19" s="1"/>
      <c r="U19" s="1"/>
      <c r="V19" s="1"/>
      <c r="W19" s="1"/>
      <c r="X19" s="1"/>
      <c r="Y19" s="1"/>
    </row>
    <row r="20" spans="1:25" ht="12.5" x14ac:dyDescent="0.25">
      <c r="A20" s="1"/>
      <c r="B20" s="1"/>
      <c r="C20" s="1"/>
      <c r="D20" s="1"/>
      <c r="E20" s="1"/>
      <c r="F20" s="1"/>
      <c r="G20" s="1"/>
      <c r="H20" s="1"/>
      <c r="I20" s="1"/>
      <c r="J20" s="1"/>
      <c r="K20" s="1"/>
      <c r="L20" s="1"/>
      <c r="M20" s="1"/>
      <c r="N20" s="1"/>
      <c r="O20" s="1"/>
      <c r="P20" s="1"/>
      <c r="Q20" s="1"/>
      <c r="R20" s="1"/>
      <c r="S20" s="1"/>
      <c r="T20" s="1"/>
      <c r="U20" s="1"/>
      <c r="V20" s="1"/>
      <c r="W20" s="1"/>
      <c r="X20" s="1"/>
      <c r="Y20" s="1"/>
    </row>
    <row r="21" spans="1:25" ht="12.5" x14ac:dyDescent="0.25">
      <c r="A21" s="1"/>
      <c r="B21" s="1"/>
      <c r="C21" s="1"/>
      <c r="D21" s="1"/>
      <c r="E21" s="1"/>
      <c r="F21" s="1"/>
      <c r="G21" s="1"/>
      <c r="H21" s="1"/>
      <c r="I21" s="1"/>
      <c r="J21" s="1"/>
      <c r="K21" s="1"/>
      <c r="L21" s="1"/>
      <c r="M21" s="1"/>
      <c r="N21" s="1"/>
      <c r="O21" s="1"/>
      <c r="P21" s="1"/>
      <c r="Q21" s="1"/>
      <c r="R21" s="1"/>
      <c r="S21" s="1"/>
      <c r="T21" s="1"/>
      <c r="U21" s="1"/>
      <c r="V21" s="1"/>
      <c r="W21" s="1"/>
      <c r="X21" s="1"/>
      <c r="Y21" s="1"/>
    </row>
    <row r="22" spans="1:25" ht="12.5" x14ac:dyDescent="0.25">
      <c r="A22" s="1"/>
      <c r="B22" s="1"/>
      <c r="C22" s="1"/>
      <c r="D22" s="1"/>
      <c r="E22" s="1"/>
      <c r="F22" s="1"/>
      <c r="G22" s="1"/>
      <c r="H22" s="1"/>
      <c r="I22" s="1"/>
      <c r="J22" s="1"/>
      <c r="K22" s="1"/>
      <c r="L22" s="1"/>
      <c r="M22" s="1"/>
      <c r="N22" s="1"/>
      <c r="O22" s="1"/>
      <c r="P22" s="1"/>
      <c r="Q22" s="1"/>
      <c r="R22" s="1"/>
      <c r="S22" s="1"/>
      <c r="T22" s="1"/>
      <c r="U22" s="1"/>
      <c r="V22" s="1"/>
      <c r="W22" s="1"/>
      <c r="X22" s="1"/>
      <c r="Y22" s="1"/>
    </row>
    <row r="23" spans="1:25" ht="12.5" x14ac:dyDescent="0.25">
      <c r="A23" s="1"/>
      <c r="B23" s="1"/>
      <c r="C23" s="1"/>
      <c r="D23" s="1"/>
      <c r="E23" s="1"/>
      <c r="F23" s="1"/>
      <c r="G23" s="1"/>
      <c r="H23" s="1"/>
      <c r="I23" s="1"/>
      <c r="J23" s="1"/>
      <c r="K23" s="1"/>
      <c r="L23" s="1"/>
      <c r="M23" s="1"/>
      <c r="N23" s="1"/>
      <c r="O23" s="1"/>
      <c r="P23" s="1"/>
      <c r="Q23" s="1"/>
      <c r="R23" s="1"/>
      <c r="S23" s="1"/>
      <c r="T23" s="1"/>
      <c r="U23" s="1"/>
      <c r="V23" s="1"/>
      <c r="W23" s="1"/>
      <c r="X23" s="1"/>
      <c r="Y23" s="1"/>
    </row>
    <row r="24" spans="1:25" ht="12.5" x14ac:dyDescent="0.25">
      <c r="A24" s="1"/>
      <c r="B24" s="1"/>
      <c r="C24" s="1"/>
      <c r="D24" s="1"/>
      <c r="E24" s="1"/>
      <c r="F24" s="1"/>
      <c r="G24" s="1"/>
      <c r="H24" s="1"/>
      <c r="I24" s="1"/>
      <c r="J24" s="1"/>
      <c r="K24" s="1"/>
      <c r="L24" s="1"/>
      <c r="M24" s="1"/>
      <c r="N24" s="1"/>
      <c r="O24" s="1"/>
      <c r="P24" s="1"/>
      <c r="Q24" s="1"/>
      <c r="R24" s="1"/>
      <c r="S24" s="1"/>
      <c r="T24" s="1"/>
      <c r="U24" s="1"/>
      <c r="V24" s="1"/>
      <c r="W24" s="1"/>
      <c r="X24" s="1"/>
      <c r="Y24" s="1"/>
    </row>
    <row r="25" spans="1:25" ht="12.5" x14ac:dyDescent="0.25">
      <c r="A25" s="1"/>
      <c r="B25" s="1"/>
      <c r="C25" s="1"/>
      <c r="D25" s="1"/>
      <c r="E25" s="1"/>
      <c r="F25" s="1"/>
      <c r="G25" s="1"/>
      <c r="H25" s="1"/>
      <c r="I25" s="1"/>
      <c r="J25" s="1"/>
      <c r="K25" s="1"/>
      <c r="L25" s="1"/>
      <c r="M25" s="1"/>
      <c r="N25" s="1"/>
      <c r="O25" s="1"/>
      <c r="P25" s="1"/>
      <c r="Q25" s="1"/>
      <c r="R25" s="1"/>
      <c r="S25" s="1"/>
      <c r="T25" s="1"/>
      <c r="U25" s="1"/>
      <c r="V25" s="1"/>
      <c r="W25" s="1"/>
      <c r="X25" s="1"/>
      <c r="Y25" s="1"/>
    </row>
    <row r="26" spans="1:25" ht="12.5" x14ac:dyDescent="0.25">
      <c r="A26" s="1"/>
      <c r="B26" s="1"/>
      <c r="C26" s="1"/>
      <c r="D26" s="1"/>
      <c r="E26" s="1"/>
      <c r="F26" s="1"/>
      <c r="G26" s="1"/>
      <c r="H26" s="1"/>
      <c r="I26" s="1"/>
      <c r="J26" s="1"/>
      <c r="K26" s="1"/>
      <c r="L26" s="1"/>
      <c r="M26" s="1"/>
      <c r="N26" s="1"/>
      <c r="O26" s="1"/>
      <c r="P26" s="1"/>
      <c r="Q26" s="1"/>
      <c r="R26" s="1"/>
      <c r="S26" s="1"/>
      <c r="T26" s="1"/>
      <c r="U26" s="1"/>
      <c r="V26" s="1"/>
      <c r="W26" s="1"/>
      <c r="X26" s="1"/>
      <c r="Y26" s="1"/>
    </row>
    <row r="27" spans="1:25" ht="12.5" x14ac:dyDescent="0.25">
      <c r="A27" s="1"/>
      <c r="B27" s="1"/>
      <c r="C27" s="1"/>
      <c r="D27" s="1"/>
      <c r="E27" s="1"/>
      <c r="F27" s="1"/>
      <c r="G27" s="1"/>
      <c r="H27" s="1"/>
      <c r="I27" s="1"/>
      <c r="J27" s="1"/>
      <c r="K27" s="1"/>
      <c r="L27" s="1"/>
      <c r="M27" s="1"/>
      <c r="N27" s="1"/>
      <c r="O27" s="1"/>
      <c r="P27" s="1"/>
      <c r="Q27" s="1"/>
      <c r="R27" s="1"/>
      <c r="S27" s="1"/>
      <c r="T27" s="1"/>
      <c r="U27" s="1"/>
      <c r="V27" s="1"/>
      <c r="W27" s="1"/>
      <c r="X27" s="1"/>
      <c r="Y27" s="1"/>
    </row>
    <row r="28" spans="1:25" ht="12.5" x14ac:dyDescent="0.25">
      <c r="A28" s="1"/>
      <c r="B28" s="1"/>
      <c r="C28" s="1"/>
      <c r="D28" s="1"/>
      <c r="E28" s="1"/>
      <c r="F28" s="1"/>
      <c r="G28" s="1"/>
      <c r="H28" s="1"/>
      <c r="I28" s="1"/>
      <c r="J28" s="1"/>
      <c r="K28" s="1"/>
      <c r="L28" s="1"/>
      <c r="M28" s="1"/>
      <c r="N28" s="1"/>
      <c r="O28" s="1"/>
      <c r="P28" s="1"/>
      <c r="Q28" s="1"/>
      <c r="R28" s="1"/>
      <c r="S28" s="1"/>
      <c r="T28" s="1"/>
      <c r="U28" s="1"/>
      <c r="V28" s="1"/>
      <c r="W28" s="1"/>
      <c r="X28" s="1"/>
      <c r="Y28" s="1"/>
    </row>
    <row r="29" spans="1:25" ht="12.5" x14ac:dyDescent="0.25">
      <c r="A29" s="1"/>
      <c r="B29" s="1"/>
      <c r="C29" s="1"/>
      <c r="D29" s="1"/>
      <c r="E29" s="1"/>
      <c r="F29" s="1"/>
      <c r="G29" s="1"/>
      <c r="H29" s="1"/>
      <c r="I29" s="1"/>
      <c r="J29" s="1"/>
      <c r="K29" s="1"/>
      <c r="L29" s="1"/>
      <c r="M29" s="1"/>
      <c r="N29" s="1"/>
      <c r="O29" s="1"/>
      <c r="P29" s="1"/>
      <c r="Q29" s="1"/>
      <c r="R29" s="1"/>
      <c r="S29" s="1"/>
      <c r="T29" s="1"/>
      <c r="U29" s="1"/>
      <c r="V29" s="1"/>
      <c r="W29" s="1"/>
      <c r="X29" s="1"/>
      <c r="Y29" s="1"/>
    </row>
    <row r="30" spans="1:25" ht="12.5" x14ac:dyDescent="0.25">
      <c r="A30" s="1"/>
      <c r="B30" s="1"/>
      <c r="C30" s="1"/>
      <c r="D30" s="1"/>
      <c r="E30" s="1"/>
      <c r="F30" s="1"/>
      <c r="G30" s="1"/>
      <c r="H30" s="1"/>
      <c r="I30" s="1"/>
      <c r="J30" s="1"/>
      <c r="K30" s="1"/>
      <c r="L30" s="1"/>
      <c r="M30" s="1"/>
      <c r="N30" s="1"/>
      <c r="O30" s="1"/>
      <c r="P30" s="1"/>
      <c r="Q30" s="1"/>
      <c r="R30" s="1"/>
      <c r="S30" s="1"/>
      <c r="T30" s="1"/>
      <c r="U30" s="1"/>
      <c r="V30" s="1"/>
      <c r="W30" s="1"/>
      <c r="X30" s="1"/>
      <c r="Y30" s="1"/>
    </row>
    <row r="31" spans="1:25" ht="12.5" x14ac:dyDescent="0.25">
      <c r="A31" s="1"/>
      <c r="B31" s="1"/>
      <c r="C31" s="1"/>
      <c r="D31" s="1"/>
      <c r="E31" s="1"/>
      <c r="F31" s="1"/>
      <c r="G31" s="1"/>
      <c r="H31" s="1"/>
      <c r="I31" s="1"/>
      <c r="J31" s="1"/>
      <c r="K31" s="1"/>
      <c r="L31" s="1"/>
      <c r="M31" s="1"/>
      <c r="N31" s="1"/>
      <c r="O31" s="1"/>
      <c r="P31" s="1"/>
      <c r="Q31" s="1"/>
      <c r="R31" s="1"/>
      <c r="S31" s="1"/>
      <c r="T31" s="1"/>
      <c r="U31" s="1"/>
      <c r="V31" s="1"/>
      <c r="W31" s="1"/>
      <c r="X31" s="1"/>
      <c r="Y31" s="1"/>
    </row>
    <row r="32" spans="1:25" ht="12.5" x14ac:dyDescent="0.25">
      <c r="A32" s="1"/>
      <c r="B32" s="1"/>
      <c r="C32" s="1"/>
      <c r="D32" s="1"/>
      <c r="E32" s="1"/>
      <c r="F32" s="1"/>
      <c r="G32" s="1"/>
      <c r="H32" s="1"/>
      <c r="I32" s="1"/>
      <c r="J32" s="1"/>
      <c r="K32" s="1"/>
      <c r="L32" s="1"/>
      <c r="M32" s="1"/>
      <c r="N32" s="1"/>
      <c r="O32" s="1"/>
      <c r="P32" s="1"/>
      <c r="Q32" s="1"/>
      <c r="R32" s="1"/>
      <c r="S32" s="1"/>
      <c r="T32" s="1"/>
      <c r="U32" s="1"/>
      <c r="V32" s="1"/>
      <c r="W32" s="1"/>
      <c r="X32" s="1"/>
      <c r="Y32" s="1"/>
    </row>
    <row r="33" spans="1:25" ht="12.5" x14ac:dyDescent="0.25">
      <c r="A33" s="1"/>
      <c r="B33" s="1"/>
      <c r="C33" s="1"/>
      <c r="D33" s="1"/>
      <c r="E33" s="1"/>
      <c r="F33" s="1"/>
      <c r="G33" s="1"/>
      <c r="H33" s="1"/>
      <c r="I33" s="1"/>
      <c r="J33" s="1"/>
      <c r="K33" s="1"/>
      <c r="L33" s="1"/>
      <c r="M33" s="1"/>
      <c r="N33" s="1"/>
      <c r="O33" s="1"/>
      <c r="P33" s="1"/>
      <c r="Q33" s="1"/>
      <c r="R33" s="1"/>
      <c r="S33" s="1"/>
      <c r="T33" s="1"/>
      <c r="U33" s="1"/>
      <c r="V33" s="1"/>
      <c r="W33" s="1"/>
      <c r="X33" s="1"/>
      <c r="Y33" s="1"/>
    </row>
    <row r="34" spans="1:25" ht="12.5" x14ac:dyDescent="0.25">
      <c r="A34" s="1"/>
      <c r="B34" s="1"/>
      <c r="C34" s="1"/>
      <c r="D34" s="1"/>
      <c r="E34" s="1"/>
      <c r="F34" s="1"/>
      <c r="G34" s="1"/>
      <c r="H34" s="1"/>
      <c r="I34" s="1"/>
      <c r="J34" s="1"/>
      <c r="K34" s="1"/>
      <c r="L34" s="1"/>
      <c r="M34" s="1"/>
      <c r="N34" s="1"/>
      <c r="O34" s="1"/>
      <c r="P34" s="1"/>
      <c r="Q34" s="1"/>
      <c r="R34" s="1"/>
      <c r="S34" s="1"/>
      <c r="T34" s="1"/>
      <c r="U34" s="1"/>
      <c r="V34" s="1"/>
      <c r="W34" s="1"/>
      <c r="X34" s="1"/>
      <c r="Y34" s="1"/>
    </row>
    <row r="35" spans="1:25" ht="12.5" x14ac:dyDescent="0.25">
      <c r="A35" s="1"/>
      <c r="B35" s="1"/>
      <c r="C35" s="1"/>
      <c r="D35" s="1"/>
      <c r="E35" s="1"/>
      <c r="F35" s="1"/>
      <c r="G35" s="1"/>
      <c r="H35" s="1"/>
      <c r="I35" s="1"/>
      <c r="J35" s="1"/>
      <c r="K35" s="1"/>
      <c r="L35" s="1"/>
      <c r="M35" s="1"/>
      <c r="N35" s="1"/>
      <c r="O35" s="1"/>
      <c r="P35" s="1"/>
      <c r="Q35" s="1"/>
      <c r="R35" s="1"/>
      <c r="S35" s="1"/>
      <c r="T35" s="1"/>
      <c r="U35" s="1"/>
      <c r="V35" s="1"/>
      <c r="W35" s="1"/>
      <c r="X35" s="1"/>
      <c r="Y35" s="1"/>
    </row>
    <row r="36" spans="1:25" ht="12.5" x14ac:dyDescent="0.25">
      <c r="A36" s="1"/>
      <c r="B36" s="1"/>
      <c r="C36" s="1"/>
      <c r="D36" s="1"/>
      <c r="E36" s="1"/>
      <c r="F36" s="1"/>
      <c r="G36" s="1"/>
      <c r="H36" s="1"/>
      <c r="I36" s="1"/>
      <c r="J36" s="1"/>
      <c r="K36" s="1"/>
      <c r="L36" s="1"/>
      <c r="M36" s="1"/>
      <c r="N36" s="1"/>
      <c r="O36" s="1"/>
      <c r="P36" s="1"/>
      <c r="Q36" s="1"/>
      <c r="R36" s="1"/>
      <c r="S36" s="1"/>
      <c r="T36" s="1"/>
      <c r="U36" s="1"/>
      <c r="V36" s="1"/>
      <c r="W36" s="1"/>
      <c r="X36" s="1"/>
      <c r="Y36" s="1"/>
    </row>
    <row r="37" spans="1:25" ht="12.5" x14ac:dyDescent="0.25">
      <c r="A37" s="1"/>
      <c r="B37" s="1"/>
      <c r="C37" s="1"/>
      <c r="D37" s="1"/>
      <c r="E37" s="1"/>
      <c r="F37" s="1"/>
      <c r="G37" s="1"/>
      <c r="H37" s="1"/>
      <c r="I37" s="1"/>
      <c r="J37" s="1"/>
      <c r="K37" s="1"/>
      <c r="L37" s="1"/>
      <c r="M37" s="1"/>
      <c r="N37" s="1"/>
      <c r="O37" s="1"/>
      <c r="P37" s="1"/>
      <c r="Q37" s="1"/>
      <c r="R37" s="1"/>
      <c r="S37" s="1"/>
      <c r="T37" s="1"/>
      <c r="U37" s="1"/>
      <c r="V37" s="1"/>
      <c r="W37" s="1"/>
      <c r="X37" s="1"/>
      <c r="Y37" s="1"/>
    </row>
    <row r="38" spans="1:25" ht="12.5" x14ac:dyDescent="0.25">
      <c r="A38" s="1"/>
      <c r="B38" s="1"/>
      <c r="C38" s="1"/>
      <c r="D38" s="1"/>
      <c r="E38" s="1"/>
      <c r="F38" s="1"/>
      <c r="G38" s="1"/>
      <c r="H38" s="1"/>
      <c r="I38" s="1"/>
      <c r="J38" s="1"/>
      <c r="K38" s="1"/>
      <c r="L38" s="1"/>
      <c r="M38" s="1"/>
      <c r="N38" s="1"/>
      <c r="O38" s="1"/>
      <c r="P38" s="1"/>
      <c r="Q38" s="1"/>
      <c r="R38" s="1"/>
      <c r="S38" s="1"/>
      <c r="T38" s="1"/>
      <c r="U38" s="1"/>
      <c r="V38" s="1"/>
      <c r="W38" s="1"/>
      <c r="X38" s="1"/>
      <c r="Y38" s="1"/>
    </row>
    <row r="39" spans="1:25" ht="12.5" x14ac:dyDescent="0.25">
      <c r="A39" s="1"/>
      <c r="B39" s="1"/>
      <c r="C39" s="1"/>
      <c r="D39" s="1"/>
      <c r="E39" s="1"/>
      <c r="F39" s="1"/>
      <c r="G39" s="1"/>
      <c r="H39" s="1"/>
      <c r="I39" s="1"/>
      <c r="J39" s="1"/>
      <c r="K39" s="1"/>
      <c r="L39" s="1"/>
      <c r="M39" s="1"/>
      <c r="N39" s="1"/>
      <c r="O39" s="1"/>
      <c r="P39" s="1"/>
      <c r="Q39" s="1"/>
      <c r="R39" s="1"/>
      <c r="S39" s="1"/>
      <c r="T39" s="1"/>
      <c r="U39" s="1"/>
      <c r="V39" s="1"/>
      <c r="W39" s="1"/>
      <c r="X39" s="1"/>
      <c r="Y39" s="1"/>
    </row>
    <row r="40" spans="1:25" ht="12.5" x14ac:dyDescent="0.25">
      <c r="A40" s="1"/>
      <c r="B40" s="1"/>
      <c r="C40" s="1"/>
      <c r="D40" s="1"/>
      <c r="E40" s="1"/>
      <c r="F40" s="1"/>
      <c r="G40" s="1"/>
      <c r="H40" s="1"/>
      <c r="I40" s="1"/>
      <c r="J40" s="1"/>
      <c r="K40" s="1"/>
      <c r="L40" s="1"/>
      <c r="M40" s="1"/>
      <c r="N40" s="1"/>
      <c r="O40" s="1"/>
      <c r="P40" s="1"/>
      <c r="Q40" s="1"/>
      <c r="R40" s="1"/>
      <c r="S40" s="1"/>
      <c r="T40" s="1"/>
      <c r="U40" s="1"/>
      <c r="V40" s="1"/>
      <c r="W40" s="1"/>
      <c r="X40" s="1"/>
      <c r="Y40" s="1"/>
    </row>
    <row r="41" spans="1:25" ht="12.5" x14ac:dyDescent="0.25">
      <c r="A41" s="1"/>
      <c r="B41" s="1"/>
      <c r="C41" s="1"/>
      <c r="D41" s="1"/>
      <c r="E41" s="1"/>
      <c r="F41" s="1"/>
      <c r="G41" s="1"/>
      <c r="H41" s="1"/>
      <c r="I41" s="1"/>
      <c r="J41" s="1"/>
      <c r="K41" s="1"/>
      <c r="L41" s="1"/>
      <c r="M41" s="1"/>
      <c r="N41" s="1"/>
      <c r="O41" s="1"/>
      <c r="P41" s="1"/>
      <c r="Q41" s="1"/>
      <c r="R41" s="1"/>
      <c r="S41" s="1"/>
      <c r="T41" s="1"/>
      <c r="U41" s="1"/>
      <c r="V41" s="1"/>
      <c r="W41" s="1"/>
      <c r="X41" s="1"/>
      <c r="Y41" s="1"/>
    </row>
    <row r="42" spans="1:25" ht="12.5" x14ac:dyDescent="0.25">
      <c r="A42" s="1"/>
      <c r="B42" s="1"/>
      <c r="C42" s="1"/>
      <c r="D42" s="1"/>
      <c r="E42" s="1"/>
      <c r="F42" s="1"/>
      <c r="G42" s="1"/>
      <c r="H42" s="1"/>
      <c r="I42" s="1"/>
      <c r="J42" s="1"/>
      <c r="K42" s="1"/>
      <c r="L42" s="1"/>
      <c r="M42" s="1"/>
      <c r="N42" s="1"/>
      <c r="O42" s="1"/>
      <c r="P42" s="1"/>
      <c r="Q42" s="1"/>
      <c r="R42" s="1"/>
      <c r="S42" s="1"/>
      <c r="T42" s="1"/>
      <c r="U42" s="1"/>
      <c r="V42" s="1"/>
      <c r="W42" s="1"/>
      <c r="X42" s="1"/>
      <c r="Y42" s="1"/>
    </row>
    <row r="43" spans="1:25" ht="12.5" x14ac:dyDescent="0.25">
      <c r="A43" s="1"/>
      <c r="B43" s="1"/>
      <c r="C43" s="1"/>
      <c r="D43" s="1"/>
      <c r="E43" s="1"/>
      <c r="F43" s="1"/>
      <c r="G43" s="1"/>
      <c r="H43" s="1"/>
      <c r="I43" s="1"/>
      <c r="J43" s="1"/>
      <c r="K43" s="1"/>
      <c r="L43" s="1"/>
      <c r="M43" s="1"/>
      <c r="N43" s="1"/>
      <c r="O43" s="1"/>
      <c r="P43" s="1"/>
      <c r="Q43" s="1"/>
      <c r="R43" s="1"/>
      <c r="S43" s="1"/>
      <c r="T43" s="1"/>
      <c r="U43" s="1"/>
      <c r="V43" s="1"/>
      <c r="W43" s="1"/>
      <c r="X43" s="1"/>
      <c r="Y43" s="1"/>
    </row>
    <row r="44" spans="1:25" ht="12.5" x14ac:dyDescent="0.25">
      <c r="A44" s="1"/>
      <c r="B44" s="1"/>
      <c r="C44" s="1"/>
      <c r="D44" s="1"/>
      <c r="E44" s="1"/>
      <c r="F44" s="1"/>
      <c r="G44" s="1"/>
      <c r="H44" s="1"/>
      <c r="I44" s="1"/>
      <c r="J44" s="1"/>
      <c r="K44" s="1"/>
      <c r="L44" s="1"/>
      <c r="M44" s="1"/>
      <c r="N44" s="1"/>
      <c r="O44" s="1"/>
      <c r="P44" s="1"/>
      <c r="Q44" s="1"/>
      <c r="R44" s="1"/>
      <c r="S44" s="1"/>
      <c r="T44" s="1"/>
      <c r="U44" s="1"/>
      <c r="V44" s="1"/>
      <c r="W44" s="1"/>
      <c r="X44" s="1"/>
      <c r="Y44" s="1"/>
    </row>
    <row r="45" spans="1:25" ht="12.5" x14ac:dyDescent="0.25">
      <c r="A45" s="1"/>
      <c r="B45" s="1"/>
      <c r="C45" s="1"/>
      <c r="D45" s="1"/>
      <c r="E45" s="1"/>
      <c r="F45" s="1"/>
      <c r="G45" s="1"/>
      <c r="H45" s="1"/>
      <c r="I45" s="1"/>
      <c r="J45" s="1"/>
      <c r="K45" s="1"/>
      <c r="L45" s="1"/>
      <c r="M45" s="1"/>
      <c r="N45" s="1"/>
      <c r="O45" s="1"/>
      <c r="P45" s="1"/>
      <c r="Q45" s="1"/>
      <c r="R45" s="1"/>
      <c r="S45" s="1"/>
      <c r="T45" s="1"/>
      <c r="U45" s="1"/>
      <c r="V45" s="1"/>
      <c r="W45" s="1"/>
      <c r="X45" s="1"/>
      <c r="Y45" s="1"/>
    </row>
    <row r="46" spans="1:25" ht="12.5" x14ac:dyDescent="0.25">
      <c r="A46" s="1"/>
      <c r="B46" s="1"/>
      <c r="C46" s="1"/>
      <c r="D46" s="1"/>
      <c r="E46" s="1"/>
      <c r="F46" s="1"/>
      <c r="G46" s="1"/>
      <c r="H46" s="1"/>
      <c r="I46" s="1"/>
      <c r="J46" s="1"/>
      <c r="K46" s="1"/>
      <c r="L46" s="1"/>
      <c r="M46" s="1"/>
      <c r="N46" s="1"/>
      <c r="O46" s="1"/>
      <c r="P46" s="1"/>
      <c r="Q46" s="1"/>
      <c r="R46" s="1"/>
      <c r="S46" s="1"/>
      <c r="T46" s="1"/>
      <c r="U46" s="1"/>
      <c r="V46" s="1"/>
      <c r="W46" s="1"/>
      <c r="X46" s="1"/>
      <c r="Y46" s="1"/>
    </row>
    <row r="47" spans="1:25" ht="12.5" x14ac:dyDescent="0.25">
      <c r="A47" s="1"/>
      <c r="B47" s="1"/>
      <c r="C47" s="1"/>
      <c r="D47" s="1"/>
      <c r="E47" s="1"/>
      <c r="F47" s="1"/>
      <c r="G47" s="1"/>
      <c r="H47" s="1"/>
      <c r="I47" s="1"/>
      <c r="J47" s="1"/>
      <c r="K47" s="1"/>
      <c r="L47" s="1"/>
      <c r="M47" s="1"/>
      <c r="N47" s="1"/>
      <c r="O47" s="1"/>
      <c r="P47" s="1"/>
      <c r="Q47" s="1"/>
      <c r="R47" s="1"/>
      <c r="S47" s="1"/>
      <c r="T47" s="1"/>
      <c r="U47" s="1"/>
      <c r="V47" s="1"/>
      <c r="W47" s="1"/>
      <c r="X47" s="1"/>
      <c r="Y47" s="1"/>
    </row>
    <row r="48" spans="1:25" ht="12.5" x14ac:dyDescent="0.25">
      <c r="A48" s="1"/>
      <c r="B48" s="1"/>
      <c r="C48" s="1"/>
      <c r="D48" s="1"/>
      <c r="E48" s="1"/>
      <c r="F48" s="1"/>
      <c r="G48" s="1"/>
      <c r="H48" s="1"/>
      <c r="I48" s="1"/>
      <c r="J48" s="1"/>
      <c r="K48" s="1"/>
      <c r="L48" s="1"/>
      <c r="M48" s="1"/>
      <c r="N48" s="1"/>
      <c r="O48" s="1"/>
      <c r="P48" s="1"/>
      <c r="Q48" s="1"/>
      <c r="R48" s="1"/>
      <c r="S48" s="1"/>
      <c r="T48" s="1"/>
      <c r="U48" s="1"/>
      <c r="V48" s="1"/>
      <c r="W48" s="1"/>
      <c r="X48" s="1"/>
      <c r="Y48" s="1"/>
    </row>
    <row r="49" spans="1:25" ht="12.5" x14ac:dyDescent="0.25">
      <c r="A49" s="1"/>
      <c r="B49" s="1"/>
      <c r="C49" s="1"/>
      <c r="D49" s="1"/>
      <c r="E49" s="1"/>
      <c r="F49" s="1"/>
      <c r="G49" s="1"/>
      <c r="H49" s="1"/>
      <c r="I49" s="1"/>
      <c r="J49" s="1"/>
      <c r="K49" s="1"/>
      <c r="L49" s="1"/>
      <c r="M49" s="1"/>
      <c r="N49" s="1"/>
      <c r="O49" s="1"/>
      <c r="P49" s="1"/>
      <c r="Q49" s="1"/>
      <c r="R49" s="1"/>
      <c r="S49" s="1"/>
      <c r="T49" s="1"/>
      <c r="U49" s="1"/>
      <c r="V49" s="1"/>
      <c r="W49" s="1"/>
      <c r="X49" s="1"/>
      <c r="Y49" s="1"/>
    </row>
    <row r="50" spans="1:25" ht="12.5" x14ac:dyDescent="0.25">
      <c r="A50" s="1"/>
      <c r="B50" s="1"/>
      <c r="C50" s="1"/>
      <c r="D50" s="1"/>
      <c r="E50" s="1"/>
      <c r="F50" s="1"/>
      <c r="G50" s="1"/>
      <c r="H50" s="1"/>
      <c r="I50" s="1"/>
      <c r="J50" s="1"/>
      <c r="K50" s="1"/>
      <c r="L50" s="1"/>
      <c r="M50" s="1"/>
      <c r="N50" s="1"/>
      <c r="O50" s="1"/>
      <c r="P50" s="1"/>
      <c r="Q50" s="1"/>
      <c r="R50" s="1"/>
      <c r="S50" s="1"/>
      <c r="T50" s="1"/>
      <c r="U50" s="1"/>
      <c r="V50" s="1"/>
      <c r="W50" s="1"/>
      <c r="X50" s="1"/>
      <c r="Y50" s="1"/>
    </row>
    <row r="51" spans="1:25" ht="12.5" x14ac:dyDescent="0.25">
      <c r="A51" s="1"/>
      <c r="B51" s="1"/>
      <c r="C51" s="1"/>
      <c r="D51" s="1"/>
      <c r="E51" s="1"/>
      <c r="F51" s="1"/>
      <c r="G51" s="1"/>
      <c r="H51" s="1"/>
      <c r="I51" s="1"/>
      <c r="J51" s="1"/>
      <c r="K51" s="1"/>
      <c r="L51" s="1"/>
      <c r="M51" s="1"/>
      <c r="N51" s="1"/>
      <c r="O51" s="1"/>
      <c r="P51" s="1"/>
      <c r="Q51" s="1"/>
      <c r="R51" s="1"/>
      <c r="S51" s="1"/>
      <c r="T51" s="1"/>
      <c r="U51" s="1"/>
      <c r="V51" s="1"/>
      <c r="W51" s="1"/>
      <c r="X51" s="1"/>
      <c r="Y51" s="1"/>
    </row>
    <row r="52" spans="1:25" ht="12.5" x14ac:dyDescent="0.25">
      <c r="A52" s="1"/>
      <c r="B52" s="1"/>
      <c r="C52" s="1"/>
      <c r="D52" s="1"/>
      <c r="E52" s="1"/>
      <c r="F52" s="1"/>
      <c r="G52" s="1"/>
      <c r="H52" s="1"/>
      <c r="I52" s="1"/>
      <c r="J52" s="1"/>
      <c r="K52" s="1"/>
      <c r="L52" s="1"/>
      <c r="M52" s="1"/>
      <c r="N52" s="1"/>
      <c r="O52" s="1"/>
      <c r="P52" s="1"/>
      <c r="Q52" s="1"/>
      <c r="R52" s="1"/>
      <c r="S52" s="1"/>
      <c r="T52" s="1"/>
      <c r="U52" s="1"/>
      <c r="V52" s="1"/>
      <c r="W52" s="1"/>
      <c r="X52" s="1"/>
      <c r="Y52" s="1"/>
    </row>
    <row r="53" spans="1:25" ht="12.5" x14ac:dyDescent="0.25">
      <c r="A53" s="1"/>
      <c r="B53" s="1"/>
      <c r="C53" s="1"/>
      <c r="D53" s="1"/>
      <c r="E53" s="1"/>
      <c r="F53" s="1"/>
      <c r="G53" s="1"/>
      <c r="H53" s="1"/>
      <c r="I53" s="1"/>
      <c r="J53" s="1"/>
      <c r="K53" s="1"/>
      <c r="L53" s="1"/>
      <c r="M53" s="1"/>
      <c r="N53" s="1"/>
      <c r="O53" s="1"/>
      <c r="P53" s="1"/>
      <c r="Q53" s="1"/>
      <c r="R53" s="1"/>
      <c r="S53" s="1"/>
      <c r="T53" s="1"/>
      <c r="U53" s="1"/>
      <c r="V53" s="1"/>
      <c r="W53" s="1"/>
      <c r="X53" s="1"/>
      <c r="Y53" s="1"/>
    </row>
    <row r="54" spans="1:25" ht="12.5" x14ac:dyDescent="0.25">
      <c r="A54" s="1"/>
      <c r="B54" s="1"/>
      <c r="C54" s="1"/>
      <c r="D54" s="1"/>
      <c r="E54" s="1"/>
      <c r="F54" s="1"/>
      <c r="G54" s="1"/>
      <c r="H54" s="1"/>
      <c r="I54" s="1"/>
      <c r="J54" s="1"/>
      <c r="K54" s="1"/>
      <c r="L54" s="1"/>
      <c r="M54" s="1"/>
      <c r="N54" s="1"/>
      <c r="O54" s="1"/>
      <c r="P54" s="1"/>
      <c r="Q54" s="1"/>
      <c r="R54" s="1"/>
      <c r="S54" s="1"/>
      <c r="T54" s="1"/>
      <c r="U54" s="1"/>
      <c r="V54" s="1"/>
      <c r="W54" s="1"/>
      <c r="X54" s="1"/>
      <c r="Y54" s="1"/>
    </row>
    <row r="55" spans="1:25" ht="12.5" x14ac:dyDescent="0.25">
      <c r="A55" s="1"/>
      <c r="B55" s="1"/>
      <c r="C55" s="1"/>
      <c r="D55" s="1"/>
      <c r="E55" s="1"/>
      <c r="F55" s="1"/>
      <c r="G55" s="1"/>
      <c r="H55" s="1"/>
      <c r="I55" s="1"/>
      <c r="J55" s="1"/>
      <c r="K55" s="1"/>
      <c r="L55" s="1"/>
      <c r="M55" s="1"/>
      <c r="N55" s="1"/>
      <c r="O55" s="1"/>
      <c r="P55" s="1"/>
      <c r="Q55" s="1"/>
      <c r="R55" s="1"/>
      <c r="S55" s="1"/>
      <c r="T55" s="1"/>
      <c r="U55" s="1"/>
      <c r="V55" s="1"/>
      <c r="W55" s="1"/>
      <c r="X55" s="1"/>
      <c r="Y55" s="1"/>
    </row>
    <row r="56" spans="1:25" ht="12.5" x14ac:dyDescent="0.25">
      <c r="A56" s="1"/>
      <c r="B56" s="1"/>
      <c r="C56" s="1"/>
      <c r="D56" s="1"/>
      <c r="E56" s="1"/>
      <c r="F56" s="1"/>
      <c r="G56" s="1"/>
      <c r="H56" s="1"/>
      <c r="I56" s="1"/>
      <c r="J56" s="1"/>
      <c r="K56" s="1"/>
      <c r="L56" s="1"/>
      <c r="M56" s="1"/>
      <c r="N56" s="1"/>
      <c r="O56" s="1"/>
      <c r="P56" s="1"/>
      <c r="Q56" s="1"/>
      <c r="R56" s="1"/>
      <c r="S56" s="1"/>
      <c r="T56" s="1"/>
      <c r="U56" s="1"/>
      <c r="V56" s="1"/>
      <c r="W56" s="1"/>
      <c r="X56" s="1"/>
      <c r="Y56" s="1"/>
    </row>
    <row r="57" spans="1:25" ht="12.5" x14ac:dyDescent="0.25">
      <c r="A57" s="1"/>
      <c r="B57" s="1"/>
      <c r="C57" s="1"/>
      <c r="D57" s="1"/>
      <c r="E57" s="1"/>
      <c r="F57" s="1"/>
      <c r="G57" s="1"/>
      <c r="H57" s="1"/>
      <c r="I57" s="1"/>
      <c r="J57" s="1"/>
      <c r="K57" s="1"/>
      <c r="L57" s="1"/>
      <c r="M57" s="1"/>
      <c r="N57" s="1"/>
      <c r="O57" s="1"/>
      <c r="P57" s="1"/>
      <c r="Q57" s="1"/>
      <c r="R57" s="1"/>
      <c r="S57" s="1"/>
      <c r="T57" s="1"/>
      <c r="U57" s="1"/>
      <c r="V57" s="1"/>
      <c r="W57" s="1"/>
      <c r="X57" s="1"/>
      <c r="Y57" s="1"/>
    </row>
    <row r="58" spans="1:25" ht="12.5" x14ac:dyDescent="0.25">
      <c r="A58" s="1"/>
      <c r="B58" s="1"/>
      <c r="C58" s="1"/>
      <c r="D58" s="1"/>
      <c r="E58" s="1"/>
      <c r="F58" s="1"/>
      <c r="G58" s="1"/>
      <c r="H58" s="1"/>
      <c r="I58" s="1"/>
      <c r="J58" s="1"/>
      <c r="K58" s="1"/>
      <c r="L58" s="1"/>
      <c r="M58" s="1"/>
      <c r="N58" s="1"/>
      <c r="O58" s="1"/>
      <c r="P58" s="1"/>
      <c r="Q58" s="1"/>
      <c r="R58" s="1"/>
      <c r="S58" s="1"/>
      <c r="T58" s="1"/>
      <c r="U58" s="1"/>
      <c r="V58" s="1"/>
      <c r="W58" s="1"/>
      <c r="X58" s="1"/>
      <c r="Y58" s="1"/>
    </row>
    <row r="59" spans="1:25" ht="12.5" x14ac:dyDescent="0.25">
      <c r="A59" s="1"/>
      <c r="B59" s="1"/>
      <c r="C59" s="1"/>
      <c r="D59" s="1"/>
      <c r="E59" s="1"/>
      <c r="F59" s="1"/>
      <c r="G59" s="1"/>
      <c r="H59" s="1"/>
      <c r="I59" s="1"/>
      <c r="J59" s="1"/>
      <c r="K59" s="1"/>
      <c r="L59" s="1"/>
      <c r="M59" s="1"/>
      <c r="N59" s="1"/>
      <c r="O59" s="1"/>
      <c r="P59" s="1"/>
      <c r="Q59" s="1"/>
      <c r="R59" s="1"/>
      <c r="S59" s="1"/>
      <c r="T59" s="1"/>
      <c r="U59" s="1"/>
      <c r="V59" s="1"/>
      <c r="W59" s="1"/>
      <c r="X59" s="1"/>
      <c r="Y59" s="1"/>
    </row>
    <row r="60" spans="1:25" ht="12.5" x14ac:dyDescent="0.25">
      <c r="A60" s="1"/>
      <c r="B60" s="1"/>
      <c r="C60" s="1"/>
      <c r="D60" s="1"/>
      <c r="E60" s="1"/>
      <c r="F60" s="1"/>
      <c r="G60" s="1"/>
      <c r="H60" s="1"/>
      <c r="I60" s="1"/>
      <c r="J60" s="1"/>
      <c r="K60" s="1"/>
      <c r="L60" s="1"/>
      <c r="M60" s="1"/>
      <c r="N60" s="1"/>
      <c r="O60" s="1"/>
      <c r="P60" s="1"/>
      <c r="Q60" s="1"/>
      <c r="R60" s="1"/>
      <c r="S60" s="1"/>
      <c r="T60" s="1"/>
      <c r="U60" s="1"/>
      <c r="V60" s="1"/>
      <c r="W60" s="1"/>
      <c r="X60" s="1"/>
      <c r="Y60" s="1"/>
    </row>
    <row r="61" spans="1:25" ht="12.5" x14ac:dyDescent="0.25">
      <c r="A61" s="1"/>
      <c r="B61" s="1"/>
      <c r="C61" s="1"/>
      <c r="D61" s="1"/>
      <c r="E61" s="1"/>
      <c r="F61" s="1"/>
      <c r="G61" s="1"/>
      <c r="H61" s="1"/>
      <c r="I61" s="1"/>
      <c r="J61" s="1"/>
      <c r="K61" s="1"/>
      <c r="L61" s="1"/>
      <c r="M61" s="1"/>
      <c r="N61" s="1"/>
      <c r="O61" s="1"/>
      <c r="P61" s="1"/>
      <c r="Q61" s="1"/>
      <c r="R61" s="1"/>
      <c r="S61" s="1"/>
      <c r="T61" s="1"/>
      <c r="U61" s="1"/>
      <c r="V61" s="1"/>
      <c r="W61" s="1"/>
      <c r="X61" s="1"/>
      <c r="Y61" s="1"/>
    </row>
    <row r="62" spans="1:25" ht="12.5" x14ac:dyDescent="0.25">
      <c r="A62" s="1"/>
      <c r="B62" s="1"/>
      <c r="C62" s="1"/>
      <c r="D62" s="1"/>
      <c r="E62" s="1"/>
      <c r="F62" s="1"/>
      <c r="G62" s="1"/>
      <c r="H62" s="1"/>
      <c r="I62" s="1"/>
      <c r="J62" s="1"/>
      <c r="K62" s="1"/>
      <c r="L62" s="1"/>
      <c r="M62" s="1"/>
      <c r="N62" s="1"/>
      <c r="O62" s="1"/>
      <c r="P62" s="1"/>
      <c r="Q62" s="1"/>
      <c r="R62" s="1"/>
      <c r="S62" s="1"/>
      <c r="T62" s="1"/>
      <c r="U62" s="1"/>
      <c r="V62" s="1"/>
      <c r="W62" s="1"/>
      <c r="X62" s="1"/>
      <c r="Y62" s="1"/>
    </row>
    <row r="63" spans="1:25" ht="12.5" x14ac:dyDescent="0.25">
      <c r="A63" s="1"/>
      <c r="B63" s="1"/>
      <c r="C63" s="1"/>
      <c r="D63" s="1"/>
      <c r="E63" s="1"/>
      <c r="F63" s="1"/>
      <c r="G63" s="1"/>
      <c r="H63" s="1"/>
      <c r="I63" s="1"/>
      <c r="J63" s="1"/>
      <c r="K63" s="1"/>
      <c r="L63" s="1"/>
      <c r="M63" s="1"/>
      <c r="N63" s="1"/>
      <c r="O63" s="1"/>
      <c r="P63" s="1"/>
      <c r="Q63" s="1"/>
      <c r="R63" s="1"/>
      <c r="S63" s="1"/>
      <c r="T63" s="1"/>
      <c r="U63" s="1"/>
      <c r="V63" s="1"/>
      <c r="W63" s="1"/>
      <c r="X63" s="1"/>
      <c r="Y63" s="1"/>
    </row>
    <row r="64" spans="1:25" ht="12.5" x14ac:dyDescent="0.25">
      <c r="A64" s="1"/>
      <c r="B64" s="1"/>
      <c r="C64" s="1"/>
      <c r="D64" s="1"/>
      <c r="E64" s="1"/>
      <c r="F64" s="1"/>
      <c r="G64" s="1"/>
      <c r="H64" s="1"/>
      <c r="I64" s="1"/>
      <c r="J64" s="1"/>
      <c r="K64" s="1"/>
      <c r="L64" s="1"/>
      <c r="M64" s="1"/>
      <c r="N64" s="1"/>
      <c r="O64" s="1"/>
      <c r="P64" s="1"/>
      <c r="Q64" s="1"/>
      <c r="R64" s="1"/>
      <c r="S64" s="1"/>
      <c r="T64" s="1"/>
      <c r="U64" s="1"/>
      <c r="V64" s="1"/>
      <c r="W64" s="1"/>
      <c r="X64" s="1"/>
      <c r="Y64" s="1"/>
    </row>
    <row r="65" spans="1:25" ht="12.5" x14ac:dyDescent="0.25">
      <c r="A65" s="1"/>
      <c r="B65" s="1"/>
      <c r="C65" s="1"/>
      <c r="D65" s="1"/>
      <c r="E65" s="1"/>
      <c r="F65" s="1"/>
      <c r="G65" s="1"/>
      <c r="H65" s="1"/>
      <c r="I65" s="1"/>
      <c r="J65" s="1"/>
      <c r="K65" s="1"/>
      <c r="L65" s="1"/>
      <c r="M65" s="1"/>
      <c r="N65" s="1"/>
      <c r="O65" s="1"/>
      <c r="P65" s="1"/>
      <c r="Q65" s="1"/>
      <c r="R65" s="1"/>
      <c r="S65" s="1"/>
      <c r="T65" s="1"/>
      <c r="U65" s="1"/>
      <c r="V65" s="1"/>
      <c r="W65" s="1"/>
      <c r="X65" s="1"/>
      <c r="Y65" s="1"/>
    </row>
    <row r="66" spans="1:25" ht="12.5" x14ac:dyDescent="0.25">
      <c r="A66" s="1"/>
      <c r="B66" s="1"/>
      <c r="C66" s="1"/>
      <c r="D66" s="1"/>
      <c r="E66" s="1"/>
      <c r="F66" s="1"/>
      <c r="G66" s="1"/>
      <c r="H66" s="1"/>
      <c r="I66" s="1"/>
      <c r="J66" s="1"/>
      <c r="K66" s="1"/>
      <c r="L66" s="1"/>
      <c r="M66" s="1"/>
      <c r="N66" s="1"/>
      <c r="O66" s="1"/>
      <c r="P66" s="1"/>
      <c r="Q66" s="1"/>
      <c r="R66" s="1"/>
      <c r="S66" s="1"/>
      <c r="T66" s="1"/>
      <c r="U66" s="1"/>
      <c r="V66" s="1"/>
      <c r="W66" s="1"/>
      <c r="X66" s="1"/>
      <c r="Y66" s="1"/>
    </row>
    <row r="67" spans="1:25" ht="12.5" x14ac:dyDescent="0.25">
      <c r="A67" s="1"/>
      <c r="B67" s="1"/>
      <c r="C67" s="1"/>
      <c r="D67" s="1"/>
      <c r="E67" s="1"/>
      <c r="F67" s="1"/>
      <c r="G67" s="1"/>
      <c r="H67" s="1"/>
      <c r="I67" s="1"/>
      <c r="J67" s="1"/>
      <c r="K67" s="1"/>
      <c r="L67" s="1"/>
      <c r="M67" s="1"/>
      <c r="N67" s="1"/>
      <c r="O67" s="1"/>
      <c r="P67" s="1"/>
      <c r="Q67" s="1"/>
      <c r="R67" s="1"/>
      <c r="S67" s="1"/>
      <c r="T67" s="1"/>
      <c r="U67" s="1"/>
      <c r="V67" s="1"/>
      <c r="W67" s="1"/>
      <c r="X67" s="1"/>
      <c r="Y67" s="1"/>
    </row>
    <row r="68" spans="1:25" ht="12.5" x14ac:dyDescent="0.25">
      <c r="A68" s="1"/>
      <c r="B68" s="1"/>
      <c r="C68" s="1"/>
      <c r="D68" s="1"/>
      <c r="E68" s="1"/>
      <c r="F68" s="1"/>
      <c r="G68" s="1"/>
      <c r="H68" s="1"/>
      <c r="I68" s="1"/>
      <c r="J68" s="1"/>
      <c r="K68" s="1"/>
      <c r="L68" s="1"/>
      <c r="M68" s="1"/>
      <c r="N68" s="1"/>
      <c r="O68" s="1"/>
      <c r="P68" s="1"/>
      <c r="Q68" s="1"/>
      <c r="R68" s="1"/>
      <c r="S68" s="1"/>
      <c r="T68" s="1"/>
      <c r="U68" s="1"/>
      <c r="V68" s="1"/>
      <c r="W68" s="1"/>
      <c r="X68" s="1"/>
      <c r="Y68" s="1"/>
    </row>
    <row r="69" spans="1:25" ht="12.5" x14ac:dyDescent="0.25">
      <c r="A69" s="1"/>
      <c r="B69" s="1"/>
      <c r="C69" s="1"/>
      <c r="D69" s="1"/>
      <c r="E69" s="1"/>
      <c r="F69" s="1"/>
      <c r="G69" s="1"/>
      <c r="H69" s="1"/>
      <c r="I69" s="1"/>
      <c r="J69" s="1"/>
      <c r="K69" s="1"/>
      <c r="L69" s="1"/>
      <c r="M69" s="1"/>
      <c r="N69" s="1"/>
      <c r="O69" s="1"/>
      <c r="P69" s="1"/>
      <c r="Q69" s="1"/>
      <c r="R69" s="1"/>
      <c r="S69" s="1"/>
      <c r="T69" s="1"/>
      <c r="U69" s="1"/>
      <c r="V69" s="1"/>
      <c r="W69" s="1"/>
      <c r="X69" s="1"/>
      <c r="Y69" s="1"/>
    </row>
    <row r="70" spans="1:25" ht="12.5" x14ac:dyDescent="0.25">
      <c r="A70" s="1"/>
      <c r="B70" s="1"/>
      <c r="C70" s="1"/>
      <c r="D70" s="1"/>
      <c r="E70" s="1"/>
      <c r="F70" s="1"/>
      <c r="G70" s="1"/>
      <c r="H70" s="1"/>
      <c r="I70" s="1"/>
      <c r="J70" s="1"/>
      <c r="K70" s="1"/>
      <c r="L70" s="1"/>
      <c r="M70" s="1"/>
      <c r="N70" s="1"/>
      <c r="O70" s="1"/>
      <c r="P70" s="1"/>
      <c r="Q70" s="1"/>
      <c r="R70" s="1"/>
      <c r="S70" s="1"/>
      <c r="T70" s="1"/>
      <c r="U70" s="1"/>
      <c r="V70" s="1"/>
      <c r="W70" s="1"/>
      <c r="X70" s="1"/>
      <c r="Y70" s="1"/>
    </row>
    <row r="71" spans="1:25" ht="12.5" x14ac:dyDescent="0.25">
      <c r="A71" s="1"/>
      <c r="B71" s="1"/>
      <c r="C71" s="1"/>
      <c r="D71" s="1"/>
      <c r="E71" s="1"/>
      <c r="F71" s="1"/>
      <c r="G71" s="1"/>
      <c r="H71" s="1"/>
      <c r="I71" s="1"/>
      <c r="J71" s="1"/>
      <c r="K71" s="1"/>
      <c r="L71" s="1"/>
      <c r="M71" s="1"/>
      <c r="N71" s="1"/>
      <c r="O71" s="1"/>
      <c r="P71" s="1"/>
      <c r="Q71" s="1"/>
      <c r="R71" s="1"/>
      <c r="S71" s="1"/>
      <c r="T71" s="1"/>
      <c r="U71" s="1"/>
      <c r="V71" s="1"/>
      <c r="W71" s="1"/>
      <c r="X71" s="1"/>
      <c r="Y71" s="1"/>
    </row>
    <row r="72" spans="1:25" ht="12.5" x14ac:dyDescent="0.25">
      <c r="A72" s="1"/>
      <c r="B72" s="1"/>
      <c r="C72" s="1"/>
      <c r="D72" s="1"/>
      <c r="E72" s="1"/>
      <c r="F72" s="1"/>
      <c r="G72" s="1"/>
      <c r="H72" s="1"/>
      <c r="I72" s="1"/>
      <c r="J72" s="1"/>
      <c r="K72" s="1"/>
      <c r="L72" s="1"/>
      <c r="M72" s="1"/>
      <c r="N72" s="1"/>
      <c r="O72" s="1"/>
      <c r="P72" s="1"/>
      <c r="Q72" s="1"/>
      <c r="R72" s="1"/>
      <c r="S72" s="1"/>
      <c r="T72" s="1"/>
      <c r="U72" s="1"/>
      <c r="V72" s="1"/>
      <c r="W72" s="1"/>
      <c r="X72" s="1"/>
      <c r="Y72" s="1"/>
    </row>
    <row r="73" spans="1:25" ht="12.5" x14ac:dyDescent="0.25">
      <c r="A73" s="1"/>
      <c r="B73" s="1"/>
      <c r="C73" s="1"/>
      <c r="D73" s="1"/>
      <c r="E73" s="1"/>
      <c r="F73" s="1"/>
      <c r="G73" s="1"/>
      <c r="H73" s="1"/>
      <c r="I73" s="1"/>
      <c r="J73" s="1"/>
      <c r="K73" s="1"/>
      <c r="L73" s="1"/>
      <c r="M73" s="1"/>
      <c r="N73" s="1"/>
      <c r="O73" s="1"/>
      <c r="P73" s="1"/>
      <c r="Q73" s="1"/>
      <c r="R73" s="1"/>
      <c r="S73" s="1"/>
      <c r="T73" s="1"/>
      <c r="U73" s="1"/>
      <c r="V73" s="1"/>
      <c r="W73" s="1"/>
      <c r="X73" s="1"/>
      <c r="Y73" s="1"/>
    </row>
    <row r="74" spans="1:25" ht="12.5" x14ac:dyDescent="0.25">
      <c r="A74" s="1"/>
      <c r="B74" s="1"/>
      <c r="C74" s="1"/>
      <c r="D74" s="1"/>
      <c r="E74" s="1"/>
      <c r="F74" s="1"/>
      <c r="G74" s="1"/>
      <c r="H74" s="1"/>
      <c r="I74" s="1"/>
      <c r="J74" s="1"/>
      <c r="K74" s="1"/>
      <c r="L74" s="1"/>
      <c r="M74" s="1"/>
      <c r="N74" s="1"/>
      <c r="O74" s="1"/>
      <c r="P74" s="1"/>
      <c r="Q74" s="1"/>
      <c r="R74" s="1"/>
      <c r="S74" s="1"/>
      <c r="T74" s="1"/>
      <c r="U74" s="1"/>
      <c r="V74" s="1"/>
      <c r="W74" s="1"/>
      <c r="X74" s="1"/>
      <c r="Y74" s="1"/>
    </row>
    <row r="75" spans="1:25" ht="12.5" x14ac:dyDescent="0.25">
      <c r="A75" s="1"/>
      <c r="B75" s="1"/>
      <c r="C75" s="1"/>
      <c r="D75" s="1"/>
      <c r="E75" s="1"/>
      <c r="F75" s="1"/>
      <c r="G75" s="1"/>
      <c r="H75" s="1"/>
      <c r="I75" s="1"/>
      <c r="J75" s="1"/>
      <c r="K75" s="1"/>
      <c r="L75" s="1"/>
      <c r="M75" s="1"/>
      <c r="N75" s="1"/>
      <c r="O75" s="1"/>
      <c r="P75" s="1"/>
      <c r="Q75" s="1"/>
      <c r="R75" s="1"/>
      <c r="S75" s="1"/>
      <c r="T75" s="1"/>
      <c r="U75" s="1"/>
      <c r="V75" s="1"/>
      <c r="W75" s="1"/>
      <c r="X75" s="1"/>
      <c r="Y75" s="1"/>
    </row>
    <row r="76" spans="1:25" ht="12.75" customHeight="1" x14ac:dyDescent="0.25">
      <c r="A76" s="1"/>
      <c r="B76" s="1"/>
      <c r="C76" s="1"/>
      <c r="D76" s="1"/>
      <c r="E76" s="1"/>
      <c r="F76" s="1"/>
      <c r="G76" s="1"/>
      <c r="H76" s="1"/>
      <c r="I76" s="1"/>
      <c r="J76" s="1"/>
      <c r="K76" s="1"/>
      <c r="L76" s="1"/>
      <c r="M76" s="1"/>
      <c r="N76" s="1"/>
      <c r="O76" s="1"/>
      <c r="P76" s="1"/>
      <c r="Q76" s="1"/>
      <c r="R76" s="1"/>
      <c r="S76" s="1"/>
      <c r="T76" s="1"/>
      <c r="U76" s="1"/>
      <c r="V76" s="1"/>
      <c r="W76" s="1"/>
      <c r="X76" s="1"/>
      <c r="Y76" s="1"/>
    </row>
    <row r="77" spans="1:25" ht="12.75" customHeight="1" x14ac:dyDescent="0.25">
      <c r="A77" s="1"/>
      <c r="B77" s="1"/>
      <c r="C77" s="1"/>
      <c r="D77" s="1"/>
      <c r="E77" s="1"/>
      <c r="F77" s="1"/>
      <c r="G77" s="1"/>
      <c r="H77" s="1"/>
      <c r="I77" s="1"/>
      <c r="J77" s="1"/>
      <c r="K77" s="1"/>
      <c r="L77" s="1"/>
      <c r="M77" s="1"/>
      <c r="N77" s="1"/>
      <c r="O77" s="1"/>
      <c r="P77" s="1"/>
      <c r="Q77" s="1"/>
      <c r="R77" s="1"/>
      <c r="S77" s="1"/>
      <c r="T77" s="1"/>
      <c r="U77" s="1"/>
      <c r="V77" s="1"/>
      <c r="W77" s="1"/>
      <c r="X77" s="1"/>
      <c r="Y77" s="1"/>
    </row>
    <row r="78" spans="1:25" ht="12.75" customHeight="1" x14ac:dyDescent="0.25">
      <c r="A78" s="1"/>
      <c r="B78" s="1"/>
      <c r="C78" s="1"/>
      <c r="D78" s="1"/>
      <c r="E78" s="1"/>
      <c r="F78" s="1"/>
      <c r="G78" s="1"/>
      <c r="H78" s="1"/>
      <c r="I78" s="1"/>
      <c r="J78" s="1"/>
      <c r="K78" s="1"/>
      <c r="L78" s="1"/>
      <c r="M78" s="1"/>
      <c r="N78" s="1"/>
      <c r="O78" s="1"/>
      <c r="P78" s="1"/>
      <c r="Q78" s="1"/>
      <c r="R78" s="1"/>
      <c r="S78" s="1"/>
      <c r="T78" s="1"/>
      <c r="U78" s="1"/>
      <c r="V78" s="1"/>
      <c r="W78" s="1"/>
      <c r="X78" s="1"/>
      <c r="Y78" s="1"/>
    </row>
    <row r="79" spans="1:25" ht="12.75" customHeight="1" x14ac:dyDescent="0.25">
      <c r="A79" s="1"/>
      <c r="B79" s="1"/>
      <c r="C79" s="1"/>
      <c r="D79" s="1"/>
      <c r="E79" s="1"/>
      <c r="F79" s="1"/>
      <c r="G79" s="1"/>
      <c r="H79" s="1"/>
      <c r="I79" s="1"/>
      <c r="J79" s="1"/>
      <c r="K79" s="1"/>
      <c r="L79" s="1"/>
      <c r="M79" s="1"/>
      <c r="N79" s="1"/>
      <c r="O79" s="1"/>
      <c r="P79" s="1"/>
      <c r="Q79" s="1"/>
      <c r="R79" s="1"/>
      <c r="S79" s="1"/>
      <c r="T79" s="1"/>
      <c r="U79" s="1"/>
      <c r="V79" s="1"/>
      <c r="W79" s="1"/>
      <c r="X79" s="1"/>
      <c r="Y79" s="1"/>
    </row>
    <row r="80" spans="1:25" ht="12.75" customHeight="1" x14ac:dyDescent="0.25">
      <c r="A80" s="1"/>
      <c r="B80" s="1"/>
      <c r="C80" s="1"/>
      <c r="D80" s="1"/>
      <c r="E80" s="1"/>
      <c r="F80" s="1"/>
      <c r="G80" s="1"/>
      <c r="H80" s="1"/>
      <c r="I80" s="1"/>
      <c r="J80" s="1"/>
      <c r="K80" s="1"/>
      <c r="L80" s="1"/>
      <c r="M80" s="1"/>
      <c r="N80" s="1"/>
      <c r="O80" s="1"/>
      <c r="P80" s="1"/>
      <c r="Q80" s="1"/>
      <c r="R80" s="1"/>
      <c r="S80" s="1"/>
      <c r="T80" s="1"/>
      <c r="U80" s="1"/>
      <c r="V80" s="1"/>
      <c r="W80" s="1"/>
      <c r="X80" s="1"/>
      <c r="Y80" s="1"/>
    </row>
    <row r="81" spans="1:25" ht="12.75" customHeight="1" x14ac:dyDescent="0.25">
      <c r="A81" s="1"/>
      <c r="B81" s="1"/>
      <c r="C81" s="1"/>
      <c r="D81" s="1"/>
      <c r="E81" s="1"/>
      <c r="F81" s="1"/>
      <c r="G81" s="1"/>
      <c r="H81" s="1"/>
      <c r="I81" s="1"/>
      <c r="J81" s="1"/>
      <c r="K81" s="1"/>
      <c r="L81" s="1"/>
      <c r="M81" s="1"/>
      <c r="N81" s="1"/>
      <c r="O81" s="1"/>
      <c r="P81" s="1"/>
      <c r="Q81" s="1"/>
      <c r="R81" s="1"/>
      <c r="S81" s="1"/>
      <c r="T81" s="1"/>
      <c r="U81" s="1"/>
      <c r="V81" s="1"/>
      <c r="W81" s="1"/>
      <c r="X81" s="1"/>
      <c r="Y81" s="1"/>
    </row>
    <row r="82" spans="1:25" ht="12.75" customHeight="1" x14ac:dyDescent="0.25">
      <c r="A82" s="1"/>
      <c r="B82" s="1"/>
      <c r="C82" s="1"/>
      <c r="D82" s="1"/>
      <c r="E82" s="1"/>
      <c r="F82" s="1"/>
      <c r="G82" s="1"/>
      <c r="H82" s="1"/>
      <c r="I82" s="1"/>
      <c r="J82" s="1"/>
      <c r="K82" s="1"/>
      <c r="L82" s="1"/>
      <c r="M82" s="1"/>
      <c r="N82" s="1"/>
      <c r="O82" s="1"/>
      <c r="P82" s="1"/>
      <c r="Q82" s="1"/>
      <c r="R82" s="1"/>
      <c r="S82" s="1"/>
      <c r="T82" s="1"/>
      <c r="U82" s="1"/>
      <c r="V82" s="1"/>
      <c r="W82" s="1"/>
      <c r="X82" s="1"/>
      <c r="Y82" s="1"/>
    </row>
    <row r="83" spans="1:25" ht="12.75" customHeight="1" x14ac:dyDescent="0.25">
      <c r="A83" s="1"/>
      <c r="B83" s="1"/>
      <c r="C83" s="1"/>
      <c r="D83" s="1"/>
      <c r="E83" s="1"/>
      <c r="F83" s="1"/>
      <c r="G83" s="1"/>
      <c r="H83" s="1"/>
      <c r="I83" s="1"/>
      <c r="J83" s="1"/>
      <c r="K83" s="1"/>
      <c r="L83" s="1"/>
      <c r="M83" s="1"/>
      <c r="N83" s="1"/>
      <c r="O83" s="1"/>
      <c r="P83" s="1"/>
      <c r="Q83" s="1"/>
      <c r="R83" s="1"/>
      <c r="S83" s="1"/>
      <c r="T83" s="1"/>
      <c r="U83" s="1"/>
      <c r="V83" s="1"/>
      <c r="W83" s="1"/>
      <c r="X83" s="1"/>
      <c r="Y83" s="1"/>
    </row>
    <row r="84" spans="1:25" ht="12.75" customHeight="1" x14ac:dyDescent="0.25">
      <c r="A84" s="1"/>
      <c r="B84" s="1"/>
      <c r="C84" s="1"/>
      <c r="D84" s="1"/>
      <c r="E84" s="1"/>
      <c r="F84" s="1"/>
      <c r="G84" s="1"/>
      <c r="H84" s="1"/>
      <c r="I84" s="1"/>
      <c r="J84" s="1"/>
      <c r="K84" s="1"/>
      <c r="L84" s="1"/>
      <c r="M84" s="1"/>
      <c r="N84" s="1"/>
      <c r="O84" s="1"/>
      <c r="P84" s="1"/>
      <c r="Q84" s="1"/>
      <c r="R84" s="1"/>
      <c r="S84" s="1"/>
      <c r="T84" s="1"/>
      <c r="U84" s="1"/>
      <c r="V84" s="1"/>
      <c r="W84" s="1"/>
      <c r="X84" s="1"/>
      <c r="Y84" s="1"/>
    </row>
    <row r="85" spans="1:25" ht="12.75" customHeight="1" x14ac:dyDescent="0.25">
      <c r="A85" s="1"/>
      <c r="B85" s="1"/>
      <c r="C85" s="1"/>
      <c r="D85" s="1"/>
      <c r="E85" s="1"/>
      <c r="F85" s="1"/>
      <c r="G85" s="1"/>
      <c r="H85" s="1"/>
      <c r="I85" s="1"/>
      <c r="J85" s="1"/>
      <c r="K85" s="1"/>
      <c r="L85" s="1"/>
      <c r="M85" s="1"/>
      <c r="N85" s="1"/>
      <c r="O85" s="1"/>
      <c r="P85" s="1"/>
      <c r="Q85" s="1"/>
      <c r="R85" s="1"/>
      <c r="S85" s="1"/>
      <c r="T85" s="1"/>
      <c r="U85" s="1"/>
      <c r="V85" s="1"/>
      <c r="W85" s="1"/>
      <c r="X85" s="1"/>
      <c r="Y85" s="1"/>
    </row>
    <row r="86" spans="1:25" ht="12.75" customHeight="1" x14ac:dyDescent="0.25">
      <c r="A86" s="1"/>
      <c r="B86" s="1"/>
      <c r="C86" s="1"/>
      <c r="D86" s="1"/>
      <c r="E86" s="1"/>
      <c r="F86" s="1"/>
      <c r="G86" s="1"/>
      <c r="H86" s="1"/>
      <c r="I86" s="1"/>
      <c r="J86" s="1"/>
      <c r="K86" s="1"/>
      <c r="L86" s="1"/>
      <c r="M86" s="1"/>
      <c r="N86" s="1"/>
      <c r="O86" s="1"/>
      <c r="P86" s="1"/>
      <c r="Q86" s="1"/>
      <c r="R86" s="1"/>
      <c r="S86" s="1"/>
      <c r="T86" s="1"/>
      <c r="U86" s="1"/>
      <c r="V86" s="1"/>
      <c r="W86" s="1"/>
      <c r="X86" s="1"/>
      <c r="Y86" s="1"/>
    </row>
    <row r="87" spans="1:25" ht="12.75" customHeight="1" x14ac:dyDescent="0.25">
      <c r="A87" s="1"/>
      <c r="B87" s="1"/>
      <c r="C87" s="1"/>
      <c r="D87" s="1"/>
      <c r="E87" s="1"/>
      <c r="F87" s="1"/>
      <c r="G87" s="1"/>
      <c r="H87" s="1"/>
      <c r="I87" s="1"/>
      <c r="J87" s="1"/>
      <c r="K87" s="1"/>
      <c r="L87" s="1"/>
      <c r="M87" s="1"/>
      <c r="N87" s="1"/>
      <c r="O87" s="1"/>
      <c r="P87" s="1"/>
      <c r="Q87" s="1"/>
      <c r="R87" s="1"/>
      <c r="S87" s="1"/>
      <c r="T87" s="1"/>
      <c r="U87" s="1"/>
      <c r="V87" s="1"/>
      <c r="W87" s="1"/>
      <c r="X87" s="1"/>
      <c r="Y87" s="1"/>
    </row>
    <row r="88" spans="1:25" ht="12.75" customHeight="1" x14ac:dyDescent="0.25">
      <c r="A88" s="1"/>
      <c r="B88" s="1"/>
      <c r="C88" s="1"/>
      <c r="D88" s="1"/>
      <c r="E88" s="1"/>
      <c r="F88" s="1"/>
      <c r="G88" s="1"/>
      <c r="H88" s="1"/>
      <c r="I88" s="1"/>
      <c r="J88" s="1"/>
      <c r="K88" s="1"/>
      <c r="L88" s="1"/>
      <c r="M88" s="1"/>
      <c r="N88" s="1"/>
      <c r="O88" s="1"/>
      <c r="P88" s="1"/>
      <c r="Q88" s="1"/>
      <c r="R88" s="1"/>
      <c r="S88" s="1"/>
      <c r="T88" s="1"/>
      <c r="U88" s="1"/>
      <c r="V88" s="1"/>
      <c r="W88" s="1"/>
      <c r="X88" s="1"/>
      <c r="Y88" s="1"/>
    </row>
    <row r="89" spans="1:25" ht="12.75" customHeight="1" x14ac:dyDescent="0.25">
      <c r="A89" s="1"/>
      <c r="B89" s="1"/>
      <c r="C89" s="1"/>
      <c r="D89" s="1"/>
      <c r="E89" s="1"/>
      <c r="F89" s="1"/>
      <c r="G89" s="1"/>
      <c r="H89" s="1"/>
      <c r="I89" s="1"/>
      <c r="J89" s="1"/>
      <c r="K89" s="1"/>
      <c r="L89" s="1"/>
      <c r="M89" s="1"/>
      <c r="N89" s="1"/>
      <c r="O89" s="1"/>
      <c r="P89" s="1"/>
      <c r="Q89" s="1"/>
      <c r="R89" s="1"/>
      <c r="S89" s="1"/>
      <c r="T89" s="1"/>
      <c r="U89" s="1"/>
      <c r="V89" s="1"/>
      <c r="W89" s="1"/>
      <c r="X89" s="1"/>
      <c r="Y89" s="1"/>
    </row>
    <row r="90" spans="1:25" ht="12.75" customHeight="1" x14ac:dyDescent="0.25">
      <c r="A90" s="1"/>
      <c r="B90" s="1"/>
      <c r="C90" s="1"/>
      <c r="D90" s="1"/>
      <c r="E90" s="1"/>
      <c r="F90" s="1"/>
      <c r="G90" s="1"/>
      <c r="H90" s="1"/>
      <c r="I90" s="1"/>
      <c r="J90" s="1"/>
      <c r="K90" s="1"/>
      <c r="L90" s="1"/>
      <c r="M90" s="1"/>
      <c r="N90" s="1"/>
      <c r="O90" s="1"/>
      <c r="P90" s="1"/>
      <c r="Q90" s="1"/>
      <c r="R90" s="1"/>
      <c r="S90" s="1"/>
      <c r="T90" s="1"/>
      <c r="U90" s="1"/>
      <c r="V90" s="1"/>
      <c r="W90" s="1"/>
      <c r="X90" s="1"/>
      <c r="Y90" s="1"/>
    </row>
    <row r="91" spans="1:25" ht="12.75" customHeight="1" x14ac:dyDescent="0.25">
      <c r="A91" s="1"/>
      <c r="B91" s="1"/>
      <c r="C91" s="1"/>
      <c r="D91" s="1"/>
      <c r="E91" s="1"/>
      <c r="F91" s="1"/>
      <c r="G91" s="1"/>
      <c r="H91" s="1"/>
      <c r="I91" s="1"/>
      <c r="J91" s="1"/>
      <c r="K91" s="1"/>
      <c r="L91" s="1"/>
      <c r="M91" s="1"/>
      <c r="N91" s="1"/>
      <c r="O91" s="1"/>
      <c r="P91" s="1"/>
      <c r="Q91" s="1"/>
      <c r="R91" s="1"/>
      <c r="S91" s="1"/>
      <c r="T91" s="1"/>
      <c r="U91" s="1"/>
      <c r="V91" s="1"/>
      <c r="W91" s="1"/>
      <c r="X91" s="1"/>
      <c r="Y91" s="1"/>
    </row>
    <row r="92" spans="1:25" ht="12.75" customHeight="1" x14ac:dyDescent="0.25">
      <c r="A92" s="1"/>
      <c r="B92" s="1"/>
      <c r="C92" s="1"/>
      <c r="D92" s="1"/>
      <c r="E92" s="1"/>
      <c r="F92" s="1"/>
      <c r="G92" s="1"/>
      <c r="H92" s="1"/>
      <c r="I92" s="1"/>
      <c r="J92" s="1"/>
      <c r="K92" s="1"/>
      <c r="L92" s="1"/>
      <c r="M92" s="1"/>
      <c r="N92" s="1"/>
      <c r="O92" s="1"/>
      <c r="P92" s="1"/>
      <c r="Q92" s="1"/>
      <c r="R92" s="1"/>
      <c r="S92" s="1"/>
      <c r="T92" s="1"/>
      <c r="U92" s="1"/>
      <c r="V92" s="1"/>
      <c r="W92" s="1"/>
      <c r="X92" s="1"/>
      <c r="Y92" s="1"/>
    </row>
    <row r="93" spans="1:25" ht="12.75" customHeight="1" x14ac:dyDescent="0.25">
      <c r="A93" s="1"/>
      <c r="B93" s="1"/>
      <c r="C93" s="1"/>
      <c r="D93" s="1"/>
      <c r="E93" s="1"/>
      <c r="F93" s="1"/>
      <c r="G93" s="1"/>
      <c r="H93" s="1"/>
      <c r="I93" s="1"/>
      <c r="J93" s="1"/>
      <c r="K93" s="1"/>
      <c r="L93" s="1"/>
      <c r="M93" s="1"/>
      <c r="N93" s="1"/>
      <c r="O93" s="1"/>
      <c r="P93" s="1"/>
      <c r="Q93" s="1"/>
      <c r="R93" s="1"/>
      <c r="S93" s="1"/>
      <c r="T93" s="1"/>
      <c r="U93" s="1"/>
      <c r="V93" s="1"/>
      <c r="W93" s="1"/>
      <c r="X93" s="1"/>
      <c r="Y93" s="1"/>
    </row>
    <row r="94" spans="1:25" ht="12.75" customHeight="1" x14ac:dyDescent="0.25">
      <c r="A94" s="1"/>
      <c r="B94" s="1"/>
      <c r="C94" s="1"/>
      <c r="D94" s="1"/>
      <c r="E94" s="1"/>
      <c r="F94" s="1"/>
      <c r="G94" s="1"/>
      <c r="H94" s="1"/>
      <c r="I94" s="1"/>
      <c r="J94" s="1"/>
      <c r="K94" s="1"/>
      <c r="L94" s="1"/>
      <c r="M94" s="1"/>
      <c r="N94" s="1"/>
      <c r="O94" s="1"/>
      <c r="P94" s="1"/>
      <c r="Q94" s="1"/>
      <c r="R94" s="1"/>
      <c r="S94" s="1"/>
      <c r="T94" s="1"/>
      <c r="U94" s="1"/>
      <c r="V94" s="1"/>
      <c r="W94" s="1"/>
      <c r="X94" s="1"/>
      <c r="Y94" s="1"/>
    </row>
    <row r="95" spans="1:25" ht="12.75" customHeight="1" x14ac:dyDescent="0.25">
      <c r="A95" s="1"/>
      <c r="B95" s="1"/>
      <c r="C95" s="1"/>
      <c r="D95" s="1"/>
      <c r="E95" s="1"/>
      <c r="F95" s="1"/>
      <c r="G95" s="1"/>
      <c r="H95" s="1"/>
      <c r="I95" s="1"/>
      <c r="J95" s="1"/>
      <c r="K95" s="1"/>
      <c r="L95" s="1"/>
      <c r="M95" s="1"/>
      <c r="N95" s="1"/>
      <c r="O95" s="1"/>
      <c r="P95" s="1"/>
      <c r="Q95" s="1"/>
      <c r="R95" s="1"/>
      <c r="S95" s="1"/>
      <c r="T95" s="1"/>
      <c r="U95" s="1"/>
      <c r="V95" s="1"/>
      <c r="W95" s="1"/>
      <c r="X95" s="1"/>
      <c r="Y95" s="1"/>
    </row>
    <row r="96" spans="1:25" ht="12.75" customHeight="1" x14ac:dyDescent="0.25">
      <c r="A96" s="1"/>
      <c r="B96" s="1"/>
      <c r="C96" s="1"/>
      <c r="D96" s="1"/>
      <c r="E96" s="1"/>
      <c r="F96" s="1"/>
      <c r="G96" s="1"/>
      <c r="H96" s="1"/>
      <c r="I96" s="1"/>
      <c r="J96" s="1"/>
      <c r="K96" s="1"/>
      <c r="L96" s="1"/>
      <c r="M96" s="1"/>
      <c r="N96" s="1"/>
      <c r="O96" s="1"/>
      <c r="P96" s="1"/>
      <c r="Q96" s="1"/>
      <c r="R96" s="1"/>
      <c r="S96" s="1"/>
      <c r="T96" s="1"/>
      <c r="U96" s="1"/>
      <c r="V96" s="1"/>
      <c r="W96" s="1"/>
      <c r="X96" s="1"/>
      <c r="Y96" s="1"/>
    </row>
    <row r="97" spans="1:25" ht="12.75" customHeight="1" x14ac:dyDescent="0.25">
      <c r="A97" s="1"/>
      <c r="B97" s="1"/>
      <c r="C97" s="1"/>
      <c r="D97" s="1"/>
      <c r="E97" s="1"/>
      <c r="F97" s="1"/>
      <c r="G97" s="1"/>
      <c r="H97" s="1"/>
      <c r="I97" s="1"/>
      <c r="J97" s="1"/>
      <c r="K97" s="1"/>
      <c r="L97" s="1"/>
      <c r="M97" s="1"/>
      <c r="N97" s="1"/>
      <c r="O97" s="1"/>
      <c r="P97" s="1"/>
      <c r="Q97" s="1"/>
      <c r="R97" s="1"/>
      <c r="S97" s="1"/>
      <c r="T97" s="1"/>
      <c r="U97" s="1"/>
      <c r="V97" s="1"/>
      <c r="W97" s="1"/>
      <c r="X97" s="1"/>
      <c r="Y97" s="1"/>
    </row>
    <row r="98" spans="1:25" ht="12.75" customHeight="1" x14ac:dyDescent="0.25">
      <c r="A98" s="1"/>
      <c r="B98" s="1"/>
      <c r="C98" s="1"/>
      <c r="D98" s="1"/>
      <c r="E98" s="1"/>
      <c r="F98" s="1"/>
      <c r="G98" s="1"/>
      <c r="H98" s="1"/>
      <c r="I98" s="1"/>
      <c r="J98" s="1"/>
      <c r="K98" s="1"/>
      <c r="L98" s="1"/>
      <c r="M98" s="1"/>
      <c r="N98" s="1"/>
      <c r="O98" s="1"/>
      <c r="P98" s="1"/>
      <c r="Q98" s="1"/>
      <c r="R98" s="1"/>
      <c r="S98" s="1"/>
      <c r="T98" s="1"/>
      <c r="U98" s="1"/>
      <c r="V98" s="1"/>
      <c r="W98" s="1"/>
      <c r="X98" s="1"/>
      <c r="Y98" s="1"/>
    </row>
    <row r="99" spans="1:25" ht="12.75" customHeight="1" x14ac:dyDescent="0.25">
      <c r="A99" s="1"/>
      <c r="B99" s="1"/>
      <c r="C99" s="1"/>
      <c r="D99" s="1"/>
      <c r="E99" s="1"/>
      <c r="F99" s="1"/>
      <c r="G99" s="1"/>
      <c r="H99" s="1"/>
      <c r="I99" s="1"/>
      <c r="J99" s="1"/>
      <c r="K99" s="1"/>
      <c r="L99" s="1"/>
      <c r="M99" s="1"/>
      <c r="N99" s="1"/>
      <c r="O99" s="1"/>
      <c r="P99" s="1"/>
      <c r="Q99" s="1"/>
      <c r="R99" s="1"/>
      <c r="S99" s="1"/>
      <c r="T99" s="1"/>
      <c r="U99" s="1"/>
      <c r="V99" s="1"/>
      <c r="W99" s="1"/>
      <c r="X99" s="1"/>
      <c r="Y99" s="1"/>
    </row>
    <row r="100" spans="1:25" ht="12.75" customHeight="1"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row>
    <row r="101" spans="1:25" ht="12.75" customHeight="1"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row>
    <row r="102" spans="1:25" ht="12.75" customHeight="1"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row>
    <row r="103" spans="1:25" ht="12.75" customHeight="1"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row>
    <row r="104" spans="1:25" ht="12.75" customHeight="1"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row>
    <row r="105" spans="1:25" ht="12.75" customHeight="1"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row>
    <row r="106" spans="1:25" ht="12.75" customHeight="1"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row>
    <row r="107" spans="1:25" ht="12.75" customHeight="1"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row>
    <row r="108" spans="1:25" ht="12.75" customHeight="1"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row>
    <row r="109" spans="1:25" ht="12.75" customHeight="1"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row>
    <row r="110" spans="1:25" ht="12.75" customHeight="1"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row>
    <row r="111" spans="1:25" ht="12.75" customHeight="1"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row>
    <row r="112" spans="1:25" ht="12.75" customHeight="1"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row>
    <row r="113" spans="1:25" ht="12.75" customHeight="1"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row>
    <row r="114" spans="1:25" ht="12.75" customHeight="1"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row>
    <row r="115" spans="1:25" ht="12.75" customHeight="1"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row>
    <row r="116" spans="1:25" ht="12.75" customHeight="1"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row>
    <row r="117" spans="1:25" ht="12.75" customHeight="1"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row>
    <row r="118" spans="1:25" ht="12.75" customHeight="1"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row>
    <row r="119" spans="1:25" ht="12.75" customHeight="1"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row>
    <row r="120" spans="1:25" ht="12.75" customHeight="1"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row>
    <row r="121" spans="1:25" ht="12.75" customHeight="1"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row>
    <row r="122" spans="1:25" ht="12.75" customHeight="1"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row>
    <row r="123" spans="1:25" ht="12.75" customHeight="1"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row>
    <row r="124" spans="1:25" ht="12.75" customHeight="1"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row>
    <row r="125" spans="1:25" ht="12.75" customHeight="1"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row>
    <row r="126" spans="1:25" ht="12.75" customHeight="1"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row>
    <row r="127" spans="1:25" ht="12.75" customHeight="1"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row>
    <row r="128" spans="1:25" ht="12.75" customHeight="1"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row>
    <row r="129" spans="1:25" ht="12.75" customHeight="1"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row>
    <row r="130" spans="1:25" ht="12.75" customHeight="1"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row>
    <row r="131" spans="1:25" ht="12.75" customHeight="1"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row>
    <row r="132" spans="1:25" ht="12.75" customHeight="1"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row>
    <row r="133" spans="1:25" ht="12.75" customHeight="1"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row>
    <row r="134" spans="1:25" ht="12.75" customHeight="1"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row>
    <row r="135" spans="1:25" ht="12.75" customHeight="1"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row>
    <row r="136" spans="1:25" ht="12.75" customHeight="1"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row>
    <row r="137" spans="1:25" ht="12.75" customHeight="1"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row>
    <row r="138" spans="1:25" ht="12.75" customHeight="1"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row>
    <row r="139" spans="1:25" ht="12.75" customHeight="1"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row>
    <row r="140" spans="1:25" ht="12.75" customHeight="1"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row>
    <row r="141" spans="1:25" ht="12.75" customHeight="1"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row>
    <row r="142" spans="1:25" ht="12.75" customHeight="1"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row>
    <row r="143" spans="1:25" ht="12.75" customHeight="1"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row>
    <row r="144" spans="1:25" ht="12.75" customHeight="1"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row>
    <row r="145" spans="1:25" ht="12.75" customHeight="1"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row>
    <row r="146" spans="1:25" ht="12.75" customHeight="1"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row>
    <row r="147" spans="1:25" ht="12.75" customHeight="1"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row>
    <row r="148" spans="1:25" ht="12.75" customHeight="1"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row>
    <row r="149" spans="1:25" ht="12.75" customHeight="1"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row>
    <row r="150" spans="1:25" ht="12.75" customHeight="1"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row>
    <row r="151" spans="1:25" ht="12.75" customHeight="1"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row>
    <row r="152" spans="1:25" ht="12.75" customHeight="1"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row>
    <row r="153" spans="1:25" ht="12.75" customHeight="1"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row>
    <row r="154" spans="1:25" ht="12.75" customHeight="1"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row>
    <row r="155" spans="1:25" ht="12.75" customHeight="1"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row>
    <row r="156" spans="1:25" ht="12.7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row>
    <row r="157" spans="1:25" ht="12.7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row>
    <row r="158" spans="1:25" ht="12.7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row>
    <row r="159" spans="1:25" ht="12.7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row>
    <row r="160" spans="1:25" ht="12.75" customHeight="1"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row>
    <row r="161" spans="1:25" ht="12.75" customHeight="1"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row>
    <row r="162" spans="1:25" ht="12.75" customHeight="1"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row>
    <row r="163" spans="1:25" ht="12.75" customHeight="1"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row>
    <row r="164" spans="1:25" ht="12.75" customHeight="1"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row>
    <row r="165" spans="1:25" ht="12.75" customHeight="1"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row>
    <row r="166" spans="1:25" ht="12.75" customHeight="1"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row>
    <row r="167" spans="1:25" ht="12.75" customHeight="1"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row>
    <row r="168" spans="1:25" ht="12.75" customHeight="1"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row>
    <row r="169" spans="1:25" ht="12.75" customHeight="1"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row>
    <row r="170" spans="1:25" ht="12.75" customHeight="1"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row>
    <row r="171" spans="1:25" ht="12.75" customHeight="1"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row>
    <row r="172" spans="1:25" ht="12.75" customHeight="1"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row>
    <row r="173" spans="1:25" ht="12.75" customHeight="1"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row>
    <row r="174" spans="1:25" ht="12.75" customHeight="1"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row>
    <row r="175" spans="1:25" ht="12.75" customHeight="1"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row>
    <row r="176" spans="1:25" ht="12.75" customHeight="1"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row>
    <row r="177" spans="1:25" ht="12.75" customHeight="1"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row>
    <row r="178" spans="1:25" ht="12.75" customHeight="1"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row>
    <row r="179" spans="1:25" ht="12.75" customHeight="1"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row>
    <row r="180" spans="1:25" ht="12.75" customHeight="1"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row>
    <row r="181" spans="1:25" ht="12.75" customHeight="1"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row>
    <row r="182" spans="1:25" ht="12.75" customHeight="1"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row>
    <row r="183" spans="1:25" ht="12.75" customHeight="1"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row>
    <row r="184" spans="1:25" ht="12.75" customHeight="1"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row>
    <row r="185" spans="1:25" ht="12.75" customHeight="1"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row>
    <row r="186" spans="1:25" ht="12.75" customHeight="1"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row>
    <row r="187" spans="1:25" ht="12.75" customHeight="1"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row>
    <row r="188" spans="1:25" ht="12.75" customHeight="1"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row>
    <row r="189" spans="1:25" ht="12.75" customHeight="1"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row>
    <row r="190" spans="1:25" ht="12.75" customHeight="1"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row>
    <row r="191" spans="1:25" ht="12.75" customHeight="1"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row>
    <row r="192" spans="1:25" ht="12.75" customHeight="1"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row>
    <row r="193" spans="1:25" ht="12.75" customHeight="1"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row>
    <row r="194" spans="1:25" ht="12.75" customHeight="1"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row>
    <row r="195" spans="1:25" ht="12.75" customHeight="1"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row>
    <row r="196" spans="1:25" ht="12.75" customHeight="1"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row>
    <row r="197" spans="1:25" ht="12.75" customHeight="1"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row>
    <row r="198" spans="1:25" ht="12.75" customHeight="1"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row>
    <row r="199" spans="1:25" ht="12.75" customHeight="1"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row>
    <row r="200" spans="1:25" ht="12.75" customHeight="1"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row>
    <row r="201" spans="1:25" ht="12.75" customHeight="1"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row>
    <row r="202" spans="1:25" ht="12.75" customHeight="1"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row>
    <row r="203" spans="1:25" ht="12.75" customHeight="1"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row>
    <row r="204" spans="1:25" ht="12.75" customHeight="1"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row>
    <row r="205" spans="1:25" ht="12.75" customHeight="1"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row>
    <row r="206" spans="1:25" ht="12.75" customHeight="1"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row>
    <row r="207" spans="1:25" ht="12.75" customHeight="1"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row>
    <row r="208" spans="1:25" ht="12.75" customHeight="1"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row>
    <row r="209" spans="1:25" ht="12.75" customHeight="1"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row>
    <row r="210" spans="1:25" ht="12.75" customHeight="1"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row>
    <row r="211" spans="1:25" ht="12.75" customHeight="1"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row>
    <row r="212" spans="1:25" ht="12.75" customHeight="1"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row>
    <row r="213" spans="1:25" ht="12.75" customHeight="1"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row>
    <row r="214" spans="1:25" ht="12.75" customHeight="1"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row>
    <row r="215" spans="1:25" ht="12.75" customHeight="1"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row>
    <row r="216" spans="1:25" ht="12.75" customHeight="1"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row>
    <row r="217" spans="1:25" ht="12.75" customHeight="1"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row>
    <row r="218" spans="1:25" ht="12.75" customHeight="1"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row>
    <row r="219" spans="1:25" ht="12.75" customHeight="1"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row>
    <row r="220" spans="1:25" ht="12.75" customHeight="1"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row>
    <row r="221" spans="1:25" ht="12.75" customHeight="1"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row>
    <row r="222" spans="1:25" ht="12.75" customHeight="1"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row>
    <row r="223" spans="1:25" ht="12.75" customHeight="1"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row>
    <row r="224" spans="1:25" ht="12.75" customHeight="1"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row>
    <row r="225" spans="1:25" ht="12.75" customHeight="1"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row>
    <row r="226" spans="1:25" ht="12.75" customHeight="1"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row>
    <row r="227" spans="1:25" ht="12.75" customHeight="1"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row>
    <row r="228" spans="1:25" ht="12.75" customHeight="1"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row>
    <row r="229" spans="1:25" ht="12.75" customHeight="1"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row>
    <row r="230" spans="1:25" ht="12.75" customHeight="1"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row>
    <row r="231" spans="1:25" ht="12.75" customHeight="1"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row>
    <row r="232" spans="1:25" ht="12.75" customHeight="1"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row>
    <row r="233" spans="1:25" ht="12.75" customHeight="1"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row>
    <row r="234" spans="1:25" ht="12.75" customHeight="1"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row>
    <row r="235" spans="1:25" ht="12.75" customHeight="1"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row>
    <row r="236" spans="1:25" ht="12.75" customHeight="1"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row>
    <row r="237" spans="1:25" ht="12.75" customHeight="1"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row>
    <row r="238" spans="1:25" ht="12.75" customHeight="1"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row>
    <row r="239" spans="1:25" ht="12.75" customHeight="1"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row>
    <row r="240" spans="1:25" ht="12.75" customHeight="1"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c r="Y240" s="1"/>
    </row>
    <row r="241" spans="1:25" ht="12.75" customHeight="1"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c r="Y241" s="1"/>
    </row>
    <row r="242" spans="1:25" ht="12.75" customHeight="1"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c r="Y242" s="1"/>
    </row>
    <row r="243" spans="1:25" ht="12.75" customHeight="1"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c r="Y243" s="1"/>
    </row>
    <row r="244" spans="1:25" ht="12.75" customHeight="1"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c r="Y244" s="1"/>
    </row>
    <row r="245" spans="1:25" ht="12.75" customHeight="1"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c r="Y245" s="1"/>
    </row>
    <row r="246" spans="1:25" ht="12.75" customHeight="1"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c r="Y246" s="1"/>
    </row>
    <row r="247" spans="1:25" ht="12.75" customHeight="1"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c r="Y247" s="1"/>
    </row>
    <row r="248" spans="1:25" ht="12.75" customHeight="1"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c r="Y248" s="1"/>
    </row>
    <row r="249" spans="1:25" ht="12.75" customHeight="1"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c r="Y249" s="1"/>
    </row>
    <row r="250" spans="1:25" ht="12.75" customHeight="1"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c r="Y250" s="1"/>
    </row>
    <row r="251" spans="1:25" ht="12.75" customHeight="1"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c r="Y251" s="1"/>
    </row>
    <row r="252" spans="1:25" ht="12.75" customHeight="1"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c r="Y252" s="1"/>
    </row>
    <row r="253" spans="1:25" ht="12.75" customHeight="1"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c r="Y253" s="1"/>
    </row>
    <row r="254" spans="1:25" ht="12.75" customHeight="1"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c r="Y254" s="1"/>
    </row>
    <row r="255" spans="1:25" ht="12.75" customHeight="1"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c r="Y255" s="1"/>
    </row>
    <row r="256" spans="1:25" ht="12.75" customHeight="1"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c r="Y256" s="1"/>
    </row>
    <row r="257" spans="1:25" ht="12.75" customHeight="1"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c r="Y257" s="1"/>
    </row>
    <row r="258" spans="1:25" ht="12.75" customHeight="1"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c r="Y258" s="1"/>
    </row>
    <row r="259" spans="1:25" ht="12.75" customHeight="1"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c r="Y259" s="1"/>
    </row>
    <row r="260" spans="1:25" ht="12.75" customHeight="1"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c r="Y260" s="1"/>
    </row>
    <row r="261" spans="1:25" ht="12.75" customHeight="1"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c r="Y261" s="1"/>
    </row>
    <row r="262" spans="1:25" ht="12.75" customHeight="1"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c r="Y262" s="1"/>
    </row>
    <row r="263" spans="1:25" ht="12.75" customHeight="1"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c r="Y263" s="1"/>
    </row>
    <row r="264" spans="1:25" ht="12.75" customHeight="1"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c r="Y264" s="1"/>
    </row>
    <row r="265" spans="1:25" ht="12.75" customHeight="1"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c r="Y265" s="1"/>
    </row>
    <row r="266" spans="1:25" ht="12.75" customHeight="1"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c r="Y266" s="1"/>
    </row>
    <row r="267" spans="1:25" ht="12.75" customHeight="1"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c r="Y267" s="1"/>
    </row>
    <row r="268" spans="1:25" ht="12.75" customHeight="1"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c r="Y268" s="1"/>
    </row>
    <row r="269" spans="1:25" ht="12.75" customHeight="1"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c r="Y269" s="1"/>
    </row>
    <row r="270" spans="1:25" ht="12.75" customHeight="1"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c r="Y270" s="1"/>
    </row>
    <row r="271" spans="1:25" ht="12.75" customHeight="1"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c r="Y271" s="1"/>
    </row>
    <row r="272" spans="1:25" ht="12.75" customHeight="1"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c r="Y272" s="1"/>
    </row>
    <row r="273" spans="1:25" ht="12.75" customHeight="1"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c r="Y273" s="1"/>
    </row>
    <row r="274" spans="1:25" ht="12.75" customHeight="1"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c r="Y274" s="1"/>
    </row>
    <row r="275" spans="1:25" ht="12.75" customHeight="1"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c r="Y275" s="1"/>
    </row>
    <row r="276" spans="1:25" ht="12.75" customHeight="1"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c r="Y276" s="1"/>
    </row>
    <row r="277" spans="1:25" ht="12.75" customHeight="1"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c r="Y277" s="1"/>
    </row>
    <row r="278" spans="1:25" ht="15.75" customHeight="1"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c r="Y278" s="1"/>
    </row>
    <row r="279" spans="1:25" ht="15.75" customHeight="1"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c r="Y279" s="1"/>
    </row>
    <row r="280" spans="1:25" ht="15.75" customHeight="1"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c r="Y280" s="1"/>
    </row>
    <row r="281" spans="1:25" ht="15.75" customHeight="1"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c r="Y281" s="1"/>
    </row>
    <row r="282" spans="1:25" ht="15.75" customHeight="1"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c r="Y282" s="1"/>
    </row>
    <row r="283" spans="1:25" ht="15.75" customHeight="1"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c r="Y283" s="1"/>
    </row>
    <row r="284" spans="1:25" ht="15.75" customHeight="1"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c r="Y284" s="1"/>
    </row>
    <row r="285" spans="1:25" ht="15.75" customHeight="1"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c r="Y285" s="1"/>
    </row>
    <row r="286" spans="1:25" ht="15.75" customHeight="1"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c r="Y286" s="1"/>
    </row>
    <row r="287" spans="1:25" ht="15.75" customHeight="1"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c r="Y287" s="1"/>
    </row>
    <row r="288" spans="1:25" ht="15.75" customHeight="1"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c r="Y288" s="1"/>
    </row>
    <row r="289" spans="1:25" ht="15.75" customHeight="1"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c r="Y289" s="1"/>
    </row>
    <row r="290" spans="1:25" ht="15.75" customHeight="1"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c r="Y290" s="1"/>
    </row>
    <row r="291" spans="1:25" ht="15.75" customHeight="1"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c r="Y291" s="1"/>
    </row>
    <row r="292" spans="1:25" ht="15.75" customHeight="1"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c r="Y292" s="1"/>
    </row>
    <row r="293" spans="1:25" ht="15.75" customHeight="1"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c r="Y293" s="1"/>
    </row>
    <row r="294" spans="1:25" ht="15.75" customHeight="1"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c r="Y294" s="1"/>
    </row>
    <row r="295" spans="1:25" ht="15.75" customHeight="1"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c r="Y295" s="1"/>
    </row>
    <row r="296" spans="1:25" ht="15.75" customHeight="1"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c r="Y296" s="1"/>
    </row>
    <row r="297" spans="1:25" ht="15.75" customHeight="1"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c r="Y297" s="1"/>
    </row>
    <row r="298" spans="1:25" ht="15.75" customHeight="1"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c r="Y298" s="1"/>
    </row>
    <row r="299" spans="1:25" ht="15.75" customHeight="1"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c r="Y299" s="1"/>
    </row>
    <row r="300" spans="1:25" ht="15.75" customHeight="1"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c r="Y300" s="1"/>
    </row>
    <row r="301" spans="1:25" ht="15.75" customHeight="1"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c r="Y301" s="1"/>
    </row>
    <row r="302" spans="1:25" ht="15.75" customHeight="1"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c r="Y302" s="1"/>
    </row>
    <row r="303" spans="1:25" ht="15.75" customHeight="1"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c r="Y303" s="1"/>
    </row>
    <row r="304" spans="1:25" ht="15.75" customHeight="1"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c r="Y304" s="1"/>
    </row>
    <row r="305" spans="1:25" ht="15.75" customHeight="1"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c r="Y305" s="1"/>
    </row>
    <row r="306" spans="1:25" ht="15.75" customHeight="1"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c r="Y306" s="1"/>
    </row>
    <row r="307" spans="1:25" ht="15.75" customHeight="1"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c r="Y307" s="1"/>
    </row>
    <row r="308" spans="1:25" ht="15.75" customHeight="1"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c r="Y308" s="1"/>
    </row>
    <row r="309" spans="1:25" ht="15.75" customHeight="1"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c r="Y309" s="1"/>
    </row>
    <row r="310" spans="1:25" ht="15.75" customHeight="1"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c r="Y310" s="1"/>
    </row>
    <row r="311" spans="1:25" ht="15.75" customHeight="1"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c r="Y311" s="1"/>
    </row>
    <row r="312" spans="1:25" ht="15.75" customHeight="1"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c r="Y312" s="1"/>
    </row>
    <row r="313" spans="1:25" ht="15.75" customHeight="1"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c r="Y313" s="1"/>
    </row>
    <row r="314" spans="1:25" ht="15.75" customHeight="1"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c r="Y314" s="1"/>
    </row>
    <row r="315" spans="1:25" ht="15.75" customHeight="1"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c r="Y315" s="1"/>
    </row>
    <row r="316" spans="1:25" ht="15.75" customHeight="1"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c r="Y316" s="1"/>
    </row>
    <row r="317" spans="1:25" ht="15.75" customHeight="1"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c r="Y317" s="1"/>
    </row>
    <row r="318" spans="1:25" ht="15.75" customHeight="1"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c r="Y318" s="1"/>
    </row>
    <row r="319" spans="1:25" ht="15.75" customHeight="1"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c r="Y319" s="1"/>
    </row>
    <row r="320" spans="1:25" ht="15.75" customHeight="1"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c r="Y320" s="1"/>
    </row>
    <row r="321" spans="1:25" ht="15.75" customHeight="1"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c r="Y321" s="1"/>
    </row>
    <row r="322" spans="1:25" ht="15.75" customHeight="1"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c r="Y322" s="1"/>
    </row>
    <row r="323" spans="1:25" ht="15.75" customHeight="1"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c r="Y323" s="1"/>
    </row>
    <row r="324" spans="1:25" ht="15.75" customHeight="1"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c r="Y324" s="1"/>
    </row>
    <row r="325" spans="1:25" ht="15.75" customHeight="1"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c r="Y325" s="1"/>
    </row>
    <row r="326" spans="1:25" ht="15.75" customHeight="1"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c r="Y326" s="1"/>
    </row>
    <row r="327" spans="1:25" ht="15.75" customHeight="1"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c r="Y327" s="1"/>
    </row>
    <row r="328" spans="1:25" ht="15.75" customHeight="1"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c r="Y328" s="1"/>
    </row>
    <row r="329" spans="1:25" ht="15.75" customHeight="1"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c r="Y329" s="1"/>
    </row>
    <row r="330" spans="1:25" ht="15.75" customHeight="1"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c r="Y330" s="1"/>
    </row>
    <row r="331" spans="1:25" ht="15.75" customHeight="1"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c r="Y331" s="1"/>
    </row>
    <row r="332" spans="1:25" ht="15.75" customHeight="1"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c r="Y332" s="1"/>
    </row>
    <row r="333" spans="1:25" ht="15.75" customHeight="1"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c r="Y333" s="1"/>
    </row>
    <row r="334" spans="1:25" ht="15.75" customHeight="1"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c r="Y334" s="1"/>
    </row>
    <row r="335" spans="1:25" ht="15.75" customHeight="1"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c r="Y335" s="1"/>
    </row>
    <row r="336" spans="1:25" ht="15.75" customHeight="1"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c r="Y336" s="1"/>
    </row>
    <row r="337" spans="1:25" ht="15.75" customHeight="1"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c r="Y337" s="1"/>
    </row>
    <row r="338" spans="1:25" ht="15.75" customHeight="1"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c r="Y338" s="1"/>
    </row>
    <row r="339" spans="1:25" ht="15.75" customHeight="1"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c r="Y339" s="1"/>
    </row>
    <row r="340" spans="1:25" ht="15.75" customHeight="1"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c r="Y340" s="1"/>
    </row>
    <row r="341" spans="1:25" ht="15.75" customHeight="1"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c r="Y341" s="1"/>
    </row>
    <row r="342" spans="1:25" ht="15.75" customHeight="1"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c r="Y342" s="1"/>
    </row>
    <row r="343" spans="1:25" ht="15.75" customHeight="1"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c r="Y343" s="1"/>
    </row>
    <row r="344" spans="1:25" ht="15.75" customHeight="1"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c r="Y344" s="1"/>
    </row>
    <row r="345" spans="1:25" ht="15.75" customHeight="1"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c r="Y345" s="1"/>
    </row>
    <row r="346" spans="1:25" ht="15.75" customHeight="1"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c r="Y346" s="1"/>
    </row>
    <row r="347" spans="1:25" ht="15.75" customHeight="1"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c r="Y347" s="1"/>
    </row>
    <row r="348" spans="1:25" ht="15.75" customHeight="1"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c r="Y348" s="1"/>
    </row>
    <row r="349" spans="1:25" ht="15.75" customHeight="1"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c r="Y349" s="1"/>
    </row>
    <row r="350" spans="1:25" ht="15.75" customHeight="1"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c r="Y350" s="1"/>
    </row>
    <row r="351" spans="1:25" ht="15.75" customHeight="1"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c r="Y351" s="1"/>
    </row>
    <row r="352" spans="1:25" ht="15.75" customHeight="1"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c r="Y352" s="1"/>
    </row>
    <row r="353" spans="1:25" ht="15.75" customHeight="1"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c r="Y353" s="1"/>
    </row>
    <row r="354" spans="1:25" ht="15.75" customHeight="1"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c r="Y354" s="1"/>
    </row>
    <row r="355" spans="1:25" ht="15.75" customHeight="1"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c r="Y355" s="1"/>
    </row>
    <row r="356" spans="1:25" ht="15.75" customHeight="1"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c r="Y356" s="1"/>
    </row>
    <row r="357" spans="1:25" ht="15.75" customHeight="1"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c r="Y357" s="1"/>
    </row>
    <row r="358" spans="1:25" ht="15.75" customHeight="1"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c r="Y358" s="1"/>
    </row>
    <row r="359" spans="1:25" ht="15.75" customHeight="1"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c r="Y359" s="1"/>
    </row>
    <row r="360" spans="1:25" ht="15.75" customHeight="1"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c r="Y360" s="1"/>
    </row>
    <row r="361" spans="1:25" ht="15.75" customHeight="1"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c r="Y361" s="1"/>
    </row>
    <row r="362" spans="1:25" ht="15.75" customHeight="1"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c r="Y362" s="1"/>
    </row>
    <row r="363" spans="1:25" ht="15.75" customHeight="1"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c r="Y363" s="1"/>
    </row>
    <row r="364" spans="1:25" ht="15.75" customHeight="1"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c r="Y364" s="1"/>
    </row>
    <row r="365" spans="1:25" ht="15.75" customHeight="1"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c r="Y365" s="1"/>
    </row>
    <row r="366" spans="1:25" ht="15.75" customHeight="1"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c r="Y366" s="1"/>
    </row>
    <row r="367" spans="1:25" ht="15.75" customHeight="1"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c r="Y367" s="1"/>
    </row>
    <row r="368" spans="1:25" ht="15.75" customHeight="1"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c r="Y368" s="1"/>
    </row>
    <row r="369" spans="1:25" ht="15.75" customHeight="1"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c r="Y369" s="1"/>
    </row>
    <row r="370" spans="1:25" ht="15.75" customHeight="1"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c r="Y370" s="1"/>
    </row>
    <row r="371" spans="1:25" ht="15.75" customHeight="1"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c r="Y371" s="1"/>
    </row>
    <row r="372" spans="1:25" ht="15.75" customHeight="1"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c r="Y372" s="1"/>
    </row>
    <row r="373" spans="1:25" ht="15.75" customHeight="1"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c r="Y373" s="1"/>
    </row>
    <row r="374" spans="1:25" ht="15.75" customHeight="1"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c r="Y374" s="1"/>
    </row>
    <row r="375" spans="1:25" ht="15.75" customHeight="1"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c r="Y375" s="1"/>
    </row>
    <row r="376" spans="1:25" ht="15.75" customHeight="1"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c r="Y376" s="1"/>
    </row>
    <row r="377" spans="1:25" ht="15.75" customHeight="1"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c r="Y377" s="1"/>
    </row>
    <row r="378" spans="1:25" ht="15.75" customHeight="1"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c r="Y378" s="1"/>
    </row>
    <row r="379" spans="1:25" ht="15.75" customHeight="1"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c r="Y379" s="1"/>
    </row>
    <row r="380" spans="1:25" ht="15.75" customHeight="1"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c r="Y380" s="1"/>
    </row>
    <row r="381" spans="1:25" ht="15.75" customHeight="1"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c r="Y381" s="1"/>
    </row>
    <row r="382" spans="1:25" ht="15.75" customHeight="1"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c r="Y382" s="1"/>
    </row>
    <row r="383" spans="1:25" ht="15.75" customHeight="1"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c r="Y383" s="1"/>
    </row>
    <row r="384" spans="1:25" ht="15.75" customHeight="1"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c r="Y384" s="1"/>
    </row>
    <row r="385" spans="1:25" ht="15.75" customHeight="1"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c r="Y385" s="1"/>
    </row>
    <row r="386" spans="1:25" ht="15.75" customHeight="1"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c r="Y386" s="1"/>
    </row>
    <row r="387" spans="1:25" ht="15.75" customHeight="1"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c r="Y387" s="1"/>
    </row>
    <row r="388" spans="1:25" ht="15.75" customHeight="1"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c r="Y388" s="1"/>
    </row>
    <row r="389" spans="1:25" ht="15.75" customHeight="1"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c r="Y389" s="1"/>
    </row>
    <row r="390" spans="1:25" ht="15.75" customHeight="1"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c r="Y390" s="1"/>
    </row>
    <row r="391" spans="1:25" ht="15.75" customHeight="1"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c r="Y391" s="1"/>
    </row>
    <row r="392" spans="1:25" ht="15.75" customHeight="1"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c r="Y392" s="1"/>
    </row>
    <row r="393" spans="1:25" ht="15.75" customHeight="1"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c r="Y393" s="1"/>
    </row>
    <row r="394" spans="1:25" ht="15.75" customHeight="1"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c r="Y394" s="1"/>
    </row>
    <row r="395" spans="1:25" ht="15.75" customHeight="1"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c r="Y395" s="1"/>
    </row>
    <row r="396" spans="1:25" ht="15.75" customHeight="1"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c r="Y396" s="1"/>
    </row>
    <row r="397" spans="1:25" ht="15.75" customHeight="1"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c r="Y397" s="1"/>
    </row>
    <row r="398" spans="1:25" ht="15.75" customHeight="1"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c r="Y398" s="1"/>
    </row>
    <row r="399" spans="1:25" ht="15.75" customHeight="1"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c r="Y399" s="1"/>
    </row>
    <row r="400" spans="1:25" ht="15.75" customHeight="1"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c r="Y400" s="1"/>
    </row>
    <row r="401" spans="1:25" ht="15.75" customHeight="1"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c r="Y401" s="1"/>
    </row>
    <row r="402" spans="1:25" ht="15.75" customHeight="1"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c r="Y402" s="1"/>
    </row>
    <row r="403" spans="1:25" ht="15.75" customHeight="1"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c r="Y403" s="1"/>
    </row>
    <row r="404" spans="1:25" ht="15.75" customHeight="1"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c r="Y404" s="1"/>
    </row>
    <row r="405" spans="1:25" ht="15.75" customHeight="1"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c r="Y405" s="1"/>
    </row>
    <row r="406" spans="1:25" ht="15.75" customHeight="1"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c r="Y406" s="1"/>
    </row>
    <row r="407" spans="1:25" ht="15.75" customHeight="1"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c r="Y407" s="1"/>
    </row>
    <row r="408" spans="1:25" ht="15.75" customHeight="1"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c r="Y408" s="1"/>
    </row>
    <row r="409" spans="1:25" ht="15.75" customHeight="1"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c r="Y409" s="1"/>
    </row>
    <row r="410" spans="1:25" ht="15.75" customHeight="1"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c r="Y410" s="1"/>
    </row>
    <row r="411" spans="1:25" ht="15.75" customHeight="1"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c r="Y411" s="1"/>
    </row>
    <row r="412" spans="1:25" ht="15.75" customHeight="1"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c r="Y412" s="1"/>
    </row>
    <row r="413" spans="1:25" ht="15.75" customHeight="1"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row>
    <row r="414" spans="1:25" ht="15.75" customHeight="1"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row>
    <row r="415" spans="1:25" ht="15.75" customHeight="1"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row>
    <row r="416" spans="1:25" ht="15.75" customHeight="1"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row>
    <row r="417" spans="1:25" ht="15.75" customHeight="1"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row>
    <row r="418" spans="1:25" ht="15.75" customHeight="1"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row>
    <row r="419" spans="1:25" ht="15.75" customHeight="1"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row>
    <row r="420" spans="1:25" ht="15.75" customHeight="1"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row>
    <row r="421" spans="1:25" ht="15.75" customHeight="1"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row>
    <row r="422" spans="1:25" ht="15.75" customHeight="1"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row>
    <row r="423" spans="1:25" ht="15.75" customHeight="1"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row>
    <row r="424" spans="1:25" ht="15.75" customHeight="1"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row>
    <row r="425" spans="1:25" ht="15.75" customHeight="1"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row>
    <row r="426" spans="1:25" ht="15.75" customHeight="1"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row>
    <row r="427" spans="1:25" ht="15.75" customHeight="1"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row>
    <row r="428" spans="1:25" ht="15.75" customHeight="1"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row>
    <row r="429" spans="1:25" ht="15.75" customHeight="1"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row>
    <row r="430" spans="1:25" ht="15.75" customHeight="1"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row>
    <row r="431" spans="1:25" ht="15.75" customHeight="1"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row>
    <row r="432" spans="1:25" ht="15.75" customHeight="1"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row>
    <row r="433" spans="1:25" ht="15.75" customHeight="1"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row>
    <row r="434" spans="1:25" ht="15.75" customHeight="1"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row>
    <row r="435" spans="1:25" ht="15.75" customHeight="1"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row>
    <row r="436" spans="1:25" ht="15.75" customHeight="1"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row>
    <row r="437" spans="1:25" ht="15.75" customHeight="1"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row>
    <row r="438" spans="1:25" ht="15.75" customHeight="1"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row>
    <row r="439" spans="1:25" ht="15.75" customHeight="1"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row>
    <row r="440" spans="1:25" ht="15.75" customHeight="1"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row>
    <row r="441" spans="1:25" ht="15.75" customHeight="1"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row>
    <row r="442" spans="1:25" ht="15.75" customHeight="1"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row>
    <row r="443" spans="1:25" ht="15.75" customHeight="1"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row>
    <row r="444" spans="1:25" ht="15.75" customHeight="1"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row>
    <row r="445" spans="1:25" ht="15.75" customHeight="1"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row>
    <row r="446" spans="1:25" ht="15.75" customHeight="1"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row>
    <row r="447" spans="1:25" ht="15.75" customHeight="1"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row>
    <row r="448" spans="1:25" ht="15.75" customHeight="1"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row>
    <row r="449" spans="1:25" ht="15.75" customHeight="1"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row>
    <row r="450" spans="1:25" ht="15.75" customHeight="1"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row>
    <row r="451" spans="1:25" ht="15.75" customHeight="1"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row>
    <row r="452" spans="1:25" ht="15.75" customHeight="1"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row>
    <row r="453" spans="1:25" ht="15.75" customHeight="1"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row>
    <row r="454" spans="1:25" ht="15.75" customHeight="1"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row>
    <row r="455" spans="1:25" ht="15.75" customHeight="1"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row>
    <row r="456" spans="1:25" ht="15.75" customHeight="1"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row>
    <row r="457" spans="1:25" ht="15.75" customHeight="1"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row>
    <row r="458" spans="1:25" ht="15.75" customHeight="1"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row>
    <row r="459" spans="1:25" ht="15.75" customHeight="1"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row>
    <row r="460" spans="1:25" ht="15.75" customHeight="1"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row>
    <row r="461" spans="1:25" ht="15.75" customHeight="1"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row>
    <row r="462" spans="1:25" ht="15.75" customHeight="1"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row>
    <row r="463" spans="1:25" ht="15.75" customHeight="1"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row>
    <row r="464" spans="1:25" ht="15.75" customHeight="1"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row>
    <row r="465" spans="1:25" ht="15.75" customHeight="1"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row>
    <row r="466" spans="1:25" ht="15.75" customHeight="1"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row>
    <row r="467" spans="1:25" ht="15.75" customHeight="1"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row>
    <row r="468" spans="1:25" ht="15.75" customHeight="1"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row>
    <row r="469" spans="1:25" ht="15.75" customHeight="1"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row>
    <row r="470" spans="1:25" ht="15.75" customHeight="1"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row>
    <row r="471" spans="1:25" ht="15.75" customHeight="1"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row>
    <row r="472" spans="1:25" ht="15.75" customHeight="1"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row>
    <row r="473" spans="1:25" ht="15.75" customHeight="1"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row>
    <row r="474" spans="1:25" ht="15.75" customHeight="1"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row>
    <row r="475" spans="1:25" ht="15.75" customHeight="1"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row>
    <row r="476" spans="1:25" ht="15.75" customHeight="1"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row>
    <row r="477" spans="1:25" ht="15.75" customHeight="1"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row>
    <row r="478" spans="1:25" ht="15.75" customHeight="1"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row>
    <row r="479" spans="1:25" ht="15.75" customHeight="1"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row>
    <row r="480" spans="1:25" ht="15.75" customHeight="1"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row>
    <row r="481" spans="1:25" ht="15.75" customHeight="1"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row>
    <row r="482" spans="1:25" ht="15.75" customHeight="1"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row>
    <row r="483" spans="1:25" ht="15.75" customHeight="1"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row>
    <row r="484" spans="1:25" ht="15.75" customHeight="1"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c r="Y484" s="1"/>
    </row>
    <row r="485" spans="1:25" ht="15.75" customHeight="1"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c r="Y485" s="1"/>
    </row>
    <row r="486" spans="1:25" ht="15.75" customHeight="1"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c r="Y486" s="1"/>
    </row>
    <row r="487" spans="1:25" ht="15.75" customHeight="1"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c r="Y487" s="1"/>
    </row>
    <row r="488" spans="1:25" ht="15.75" customHeight="1"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c r="Y488" s="1"/>
    </row>
    <row r="489" spans="1:25" ht="15.75" customHeight="1"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c r="Y489" s="1"/>
    </row>
    <row r="490" spans="1:25" ht="15.75" customHeight="1"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c r="Y490" s="1"/>
    </row>
    <row r="491" spans="1:25" ht="15.75" customHeight="1"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c r="Y491" s="1"/>
    </row>
    <row r="492" spans="1:25" ht="15.75" customHeight="1"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c r="Y492" s="1"/>
    </row>
    <row r="493" spans="1:25" ht="15.75" customHeight="1"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c r="Y493" s="1"/>
    </row>
    <row r="494" spans="1:25" ht="15.75" customHeight="1"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c r="Y494" s="1"/>
    </row>
    <row r="495" spans="1:25" ht="15.75" customHeight="1"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c r="Y495" s="1"/>
    </row>
    <row r="496" spans="1:25" ht="15.75" customHeight="1"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c r="Y496" s="1"/>
    </row>
    <row r="497" spans="1:25" ht="15.75" customHeight="1"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c r="Y497" s="1"/>
    </row>
    <row r="498" spans="1:25" ht="15.75" customHeight="1"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c r="Y498" s="1"/>
    </row>
    <row r="499" spans="1:25" ht="15.75" customHeight="1"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c r="Y499" s="1"/>
    </row>
    <row r="500" spans="1:25" ht="15.75" customHeight="1"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c r="Y500" s="1"/>
    </row>
    <row r="501" spans="1:25" ht="15.75" customHeight="1"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c r="Y501" s="1"/>
    </row>
    <row r="502" spans="1:25" ht="15.75" customHeight="1"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c r="Y502" s="1"/>
    </row>
    <row r="503" spans="1:25" ht="15.75" customHeight="1"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c r="Y503" s="1"/>
    </row>
    <row r="504" spans="1:25" ht="15.75" customHeight="1"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c r="Y504" s="1"/>
    </row>
    <row r="505" spans="1:25" ht="15.75" customHeight="1"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c r="Y505" s="1"/>
    </row>
    <row r="506" spans="1:25" ht="15.75" customHeight="1"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c r="Y506" s="1"/>
    </row>
    <row r="507" spans="1:25" ht="15.75" customHeight="1"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c r="Y507" s="1"/>
    </row>
    <row r="508" spans="1:25" ht="15.75" customHeight="1"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c r="Y508" s="1"/>
    </row>
    <row r="509" spans="1:25" ht="15.75" customHeight="1"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c r="Y509" s="1"/>
    </row>
    <row r="510" spans="1:25" ht="15.75" customHeight="1"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c r="Y510" s="1"/>
    </row>
    <row r="511" spans="1:25" ht="15.75" customHeight="1"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c r="Y511" s="1"/>
    </row>
    <row r="512" spans="1:25" ht="15.75" customHeight="1"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c r="Y512" s="1"/>
    </row>
    <row r="513" spans="1:25" ht="15.75" customHeight="1"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c r="Y513" s="1"/>
    </row>
    <row r="514" spans="1:25" ht="15.75" customHeight="1"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c r="Y514" s="1"/>
    </row>
    <row r="515" spans="1:25" ht="15.75" customHeight="1"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c r="Y515" s="1"/>
    </row>
    <row r="516" spans="1:25" ht="15.75" customHeight="1"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c r="Y516" s="1"/>
    </row>
    <row r="517" spans="1:25" ht="15.75" customHeight="1"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c r="Y517" s="1"/>
    </row>
    <row r="518" spans="1:25" ht="15.75" customHeight="1"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c r="Y518" s="1"/>
    </row>
    <row r="519" spans="1:25" ht="15.75" customHeight="1"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c r="Y519" s="1"/>
    </row>
    <row r="520" spans="1:25" ht="15.75" customHeight="1"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c r="Y520" s="1"/>
    </row>
    <row r="521" spans="1:25" ht="15.75" customHeight="1"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c r="Y521" s="1"/>
    </row>
    <row r="522" spans="1:25" ht="15.75" customHeight="1"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c r="Y522" s="1"/>
    </row>
    <row r="523" spans="1:25" ht="15.75" customHeight="1"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c r="Y523" s="1"/>
    </row>
    <row r="524" spans="1:25" ht="15.75" customHeight="1"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c r="Y524" s="1"/>
    </row>
    <row r="525" spans="1:25" ht="15.75" customHeight="1"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c r="Y525" s="1"/>
    </row>
    <row r="526" spans="1:25" ht="15.75" customHeight="1"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c r="Y526" s="1"/>
    </row>
    <row r="527" spans="1:25" ht="15.75" customHeight="1"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c r="Y527" s="1"/>
    </row>
    <row r="528" spans="1:25" ht="15.75" customHeight="1"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c r="Y528" s="1"/>
    </row>
    <row r="529" spans="1:25" ht="15.75" customHeight="1"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c r="Y529" s="1"/>
    </row>
    <row r="530" spans="1:25" ht="15.75" customHeight="1"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c r="Y530" s="1"/>
    </row>
    <row r="531" spans="1:25" ht="15.75" customHeight="1"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c r="Y531" s="1"/>
    </row>
    <row r="532" spans="1:25" ht="15.75" customHeight="1"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c r="Y532" s="1"/>
    </row>
    <row r="533" spans="1:25" ht="15.75" customHeight="1"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c r="Y533" s="1"/>
    </row>
    <row r="534" spans="1:25" ht="15.75" customHeight="1"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c r="Y534" s="1"/>
    </row>
    <row r="535" spans="1:25" ht="15.75" customHeight="1"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c r="Y535" s="1"/>
    </row>
    <row r="536" spans="1:25" ht="15.75" customHeight="1"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c r="Y536" s="1"/>
    </row>
    <row r="537" spans="1:25" ht="15.75" customHeight="1"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c r="Y537" s="1"/>
    </row>
    <row r="538" spans="1:25" ht="15.75" customHeight="1"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c r="Y538" s="1"/>
    </row>
    <row r="539" spans="1:25" ht="15.75" customHeight="1"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c r="Y539" s="1"/>
    </row>
    <row r="540" spans="1:25" ht="15.75" customHeight="1"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c r="Y540" s="1"/>
    </row>
    <row r="541" spans="1:25" ht="15.75" customHeight="1"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c r="Y541" s="1"/>
    </row>
    <row r="542" spans="1:25" ht="15.75" customHeight="1"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c r="Y542" s="1"/>
    </row>
    <row r="543" spans="1:25" ht="15.75" customHeight="1"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c r="Y543" s="1"/>
    </row>
    <row r="544" spans="1:25" ht="15.75" customHeight="1"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c r="Y544" s="1"/>
    </row>
    <row r="545" spans="1:25" ht="15.75" customHeight="1"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c r="Y545" s="1"/>
    </row>
    <row r="546" spans="1:25" ht="15.75" customHeight="1"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c r="Y546" s="1"/>
    </row>
    <row r="547" spans="1:25" ht="15.75" customHeight="1"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c r="Y547" s="1"/>
    </row>
    <row r="548" spans="1:25" ht="15.75" customHeight="1"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c r="Y548" s="1"/>
    </row>
    <row r="549" spans="1:25" ht="15.75" customHeight="1"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c r="Y549" s="1"/>
    </row>
    <row r="550" spans="1:25" ht="15.75" customHeight="1"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c r="Y550" s="1"/>
    </row>
    <row r="551" spans="1:25" ht="15.75" customHeight="1"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c r="Y551" s="1"/>
    </row>
    <row r="552" spans="1:25" ht="15.75" customHeight="1"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c r="Y552" s="1"/>
    </row>
    <row r="553" spans="1:25" ht="15.75" customHeight="1"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c r="Y553" s="1"/>
    </row>
    <row r="554" spans="1:25" ht="15.75" customHeight="1"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c r="Y554" s="1"/>
    </row>
    <row r="555" spans="1:25" ht="15.75" customHeight="1"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c r="Y555" s="1"/>
    </row>
    <row r="556" spans="1:25" ht="15.75" customHeight="1"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c r="Y556" s="1"/>
    </row>
    <row r="557" spans="1:25" ht="15.75" customHeight="1"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c r="Y557" s="1"/>
    </row>
    <row r="558" spans="1:25" ht="15.75" customHeight="1"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c r="Y558" s="1"/>
    </row>
    <row r="559" spans="1:25" ht="15.75" customHeight="1"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c r="Y559" s="1"/>
    </row>
    <row r="560" spans="1:25" ht="15.75" customHeight="1"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c r="Y560" s="1"/>
    </row>
    <row r="561" spans="1:25" ht="15.75" customHeight="1"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c r="Y561" s="1"/>
    </row>
    <row r="562" spans="1:25" ht="15.75" customHeight="1"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c r="Y562" s="1"/>
    </row>
    <row r="563" spans="1:25" ht="15.75" customHeight="1"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c r="Y563" s="1"/>
    </row>
    <row r="564" spans="1:25" ht="15.75" customHeight="1"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c r="Y564" s="1"/>
    </row>
    <row r="565" spans="1:25" ht="15.75" customHeight="1"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c r="Y565" s="1"/>
    </row>
    <row r="566" spans="1:25" ht="15.75" customHeight="1"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c r="Y566" s="1"/>
    </row>
    <row r="567" spans="1:25" ht="15.75" customHeight="1"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c r="Y567" s="1"/>
    </row>
    <row r="568" spans="1:25" ht="15.75" customHeight="1"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c r="Y568" s="1"/>
    </row>
    <row r="569" spans="1:25" ht="15.75" customHeight="1"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c r="Y569" s="1"/>
    </row>
    <row r="570" spans="1:25" ht="15.75" customHeight="1"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c r="Y570" s="1"/>
    </row>
    <row r="571" spans="1:25" ht="15.75" customHeight="1"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c r="Y571" s="1"/>
    </row>
    <row r="572" spans="1:25" ht="15.75" customHeight="1"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c r="Y572" s="1"/>
    </row>
    <row r="573" spans="1:25" ht="15.75" customHeight="1"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c r="Y573" s="1"/>
    </row>
    <row r="574" spans="1:25" ht="15.75" customHeight="1"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c r="Y574" s="1"/>
    </row>
    <row r="575" spans="1:25" ht="15.75" customHeight="1"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c r="Y575" s="1"/>
    </row>
    <row r="576" spans="1:25" ht="15.75" customHeight="1"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c r="Y576" s="1"/>
    </row>
    <row r="577" spans="1:25" ht="15.75" customHeight="1"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c r="Y577" s="1"/>
    </row>
    <row r="578" spans="1:25" ht="15.75" customHeight="1"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c r="Y578" s="1"/>
    </row>
    <row r="579" spans="1:25" ht="15.75" customHeight="1"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c r="Y579" s="1"/>
    </row>
    <row r="580" spans="1:25" ht="15.75" customHeight="1"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c r="Y580" s="1"/>
    </row>
    <row r="581" spans="1:25" ht="15.75" customHeight="1"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c r="Y581" s="1"/>
    </row>
    <row r="582" spans="1:25" ht="15.75" customHeight="1"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c r="Y582" s="1"/>
    </row>
    <row r="583" spans="1:25" ht="15.75" customHeight="1"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c r="Y583" s="1"/>
    </row>
    <row r="584" spans="1:25" ht="15.75" customHeight="1"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c r="Y584" s="1"/>
    </row>
    <row r="585" spans="1:25" ht="15.75" customHeight="1"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c r="Y585" s="1"/>
    </row>
    <row r="586" spans="1:25" ht="15.75" customHeight="1"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c r="Y586" s="1"/>
    </row>
    <row r="587" spans="1:25" ht="15.75" customHeight="1"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c r="Y587" s="1"/>
    </row>
    <row r="588" spans="1:25" ht="15.75" customHeight="1"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c r="Y588" s="1"/>
    </row>
    <row r="589" spans="1:25" ht="15.75" customHeight="1"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c r="Y589" s="1"/>
    </row>
    <row r="590" spans="1:25" ht="15.75" customHeight="1"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c r="Y590" s="1"/>
    </row>
    <row r="591" spans="1:25" ht="15.75" customHeight="1"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c r="Y591" s="1"/>
    </row>
    <row r="592" spans="1:25" ht="15.75" customHeight="1"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c r="Y592" s="1"/>
    </row>
    <row r="593" spans="1:25" ht="15.75" customHeight="1"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c r="Y593" s="1"/>
    </row>
    <row r="594" spans="1:25" ht="15.75" customHeight="1"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c r="Y594" s="1"/>
    </row>
    <row r="595" spans="1:25" ht="15.75" customHeight="1"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c r="Y595" s="1"/>
    </row>
    <row r="596" spans="1:25" ht="15.75" customHeight="1"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c r="Y596" s="1"/>
    </row>
    <row r="597" spans="1:25" ht="15.75" customHeight="1"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c r="Y597" s="1"/>
    </row>
    <row r="598" spans="1:25" ht="15.75" customHeight="1"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c r="Y598" s="1"/>
    </row>
    <row r="599" spans="1:25" ht="15.75" customHeight="1"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c r="Y599" s="1"/>
    </row>
    <row r="600" spans="1:25" ht="15.75" customHeight="1"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c r="Y600" s="1"/>
    </row>
    <row r="601" spans="1:25" ht="15.75" customHeight="1"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c r="Y601" s="1"/>
    </row>
    <row r="602" spans="1:25" ht="15.75" customHeight="1"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c r="Y602" s="1"/>
    </row>
    <row r="603" spans="1:25" ht="15.75" customHeight="1"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c r="Y603" s="1"/>
    </row>
    <row r="604" spans="1:25" ht="15.75" customHeight="1"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c r="Y604" s="1"/>
    </row>
    <row r="605" spans="1:25" ht="15.75" customHeight="1"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c r="Y605" s="1"/>
    </row>
    <row r="606" spans="1:25" ht="15.75" customHeight="1"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c r="Y606" s="1"/>
    </row>
    <row r="607" spans="1:25" ht="15.75" customHeight="1"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c r="Y607" s="1"/>
    </row>
    <row r="608" spans="1:25" ht="15.75" customHeight="1"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c r="Y608" s="1"/>
    </row>
    <row r="609" spans="1:25" ht="15.75" customHeight="1"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c r="Y609" s="1"/>
    </row>
    <row r="610" spans="1:25" ht="15.75" customHeight="1"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c r="Y610" s="1"/>
    </row>
    <row r="611" spans="1:25" ht="15.75" customHeight="1"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c r="Y611" s="1"/>
    </row>
    <row r="612" spans="1:25" ht="15.75" customHeight="1"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c r="Y612" s="1"/>
    </row>
    <row r="613" spans="1:25" ht="15.75" customHeight="1"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c r="Y613" s="1"/>
    </row>
    <row r="614" spans="1:25" ht="15.75" customHeight="1"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c r="Y614" s="1"/>
    </row>
    <row r="615" spans="1:25" ht="15.75" customHeight="1"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c r="Y615" s="1"/>
    </row>
    <row r="616" spans="1:25" ht="15.75" customHeight="1"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c r="Y616" s="1"/>
    </row>
    <row r="617" spans="1:25" ht="15.75" customHeight="1"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c r="Y617" s="1"/>
    </row>
    <row r="618" spans="1:25" ht="15.75" customHeight="1"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c r="Y618" s="1"/>
    </row>
    <row r="619" spans="1:25" ht="15.75" customHeight="1"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c r="Y619" s="1"/>
    </row>
    <row r="620" spans="1:25" ht="15.75" customHeight="1"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c r="Y620" s="1"/>
    </row>
    <row r="621" spans="1:25" ht="15.75" customHeight="1"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c r="Y621" s="1"/>
    </row>
    <row r="622" spans="1:25" ht="15.75" customHeight="1"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c r="Y622" s="1"/>
    </row>
    <row r="623" spans="1:25" ht="15.75" customHeight="1"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c r="Y623" s="1"/>
    </row>
    <row r="624" spans="1:25" ht="15.75" customHeight="1"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c r="Y624" s="1"/>
    </row>
    <row r="625" spans="1:25" ht="15.75" customHeight="1"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c r="Y625" s="1"/>
    </row>
    <row r="626" spans="1:25" ht="15.75" customHeight="1"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c r="Y626" s="1"/>
    </row>
    <row r="627" spans="1:25" ht="15.75" customHeight="1"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c r="Y627" s="1"/>
    </row>
    <row r="628" spans="1:25" ht="15.75" customHeight="1"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c r="Y628" s="1"/>
    </row>
    <row r="629" spans="1:25" ht="15.75" customHeight="1"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c r="Y629" s="1"/>
    </row>
    <row r="630" spans="1:25" ht="15.75" customHeight="1"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c r="Y630" s="1"/>
    </row>
    <row r="631" spans="1:25" ht="15.75" customHeight="1"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c r="Y631" s="1"/>
    </row>
    <row r="632" spans="1:25" ht="15.75" customHeight="1"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c r="Y632" s="1"/>
    </row>
    <row r="633" spans="1:25" ht="15.75" customHeight="1"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c r="Y633" s="1"/>
    </row>
    <row r="634" spans="1:25" ht="15.75" customHeight="1"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c r="Y634" s="1"/>
    </row>
    <row r="635" spans="1:25" ht="15.75" customHeight="1"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c r="Y635" s="1"/>
    </row>
    <row r="636" spans="1:25" ht="15.75" customHeight="1"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c r="Y636" s="1"/>
    </row>
    <row r="637" spans="1:25" ht="15.75" customHeight="1"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c r="Y637" s="1"/>
    </row>
    <row r="638" spans="1:25" ht="15.75" customHeight="1"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c r="Y638" s="1"/>
    </row>
    <row r="639" spans="1:25" ht="15.75" customHeight="1"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c r="Y639" s="1"/>
    </row>
    <row r="640" spans="1:25" ht="15.75" customHeight="1"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c r="Y640" s="1"/>
    </row>
    <row r="641" spans="1:25" ht="15.75" customHeight="1"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c r="Y641" s="1"/>
    </row>
    <row r="642" spans="1:25" ht="15.75" customHeight="1"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c r="Y642" s="1"/>
    </row>
    <row r="643" spans="1:25" ht="15.75" customHeight="1"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c r="Y643" s="1"/>
    </row>
    <row r="644" spans="1:25" ht="15.75" customHeight="1"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c r="Y644" s="1"/>
    </row>
    <row r="645" spans="1:25" ht="15.75" customHeight="1"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c r="Y645" s="1"/>
    </row>
    <row r="646" spans="1:25" ht="15.75" customHeight="1"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c r="Y646" s="1"/>
    </row>
    <row r="647" spans="1:25" ht="15.75" customHeight="1"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c r="Y647" s="1"/>
    </row>
    <row r="648" spans="1:25" ht="15.75" customHeight="1"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c r="Y648" s="1"/>
    </row>
    <row r="649" spans="1:25" ht="15.75" customHeight="1"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c r="Y649" s="1"/>
    </row>
    <row r="650" spans="1:25" ht="15.75" customHeight="1"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c r="Y650" s="1"/>
    </row>
    <row r="651" spans="1:25" ht="15.75" customHeight="1"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c r="Y651" s="1"/>
    </row>
    <row r="652" spans="1:25" ht="15.75" customHeight="1"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c r="Y652" s="1"/>
    </row>
    <row r="653" spans="1:25" ht="15.75" customHeight="1"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c r="Y653" s="1"/>
    </row>
    <row r="654" spans="1:25" ht="15.75" customHeight="1"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c r="Y654" s="1"/>
    </row>
    <row r="655" spans="1:25" ht="15.75" customHeight="1"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c r="Y655" s="1"/>
    </row>
    <row r="656" spans="1:25" ht="15.75" customHeight="1"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c r="Y656" s="1"/>
    </row>
    <row r="657" spans="1:25" ht="15.75" customHeight="1"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c r="Y657" s="1"/>
    </row>
    <row r="658" spans="1:25" ht="15.75" customHeight="1"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c r="Y658" s="1"/>
    </row>
    <row r="659" spans="1:25" ht="15.75" customHeight="1"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c r="Y659" s="1"/>
    </row>
    <row r="660" spans="1:25" ht="15.75" customHeight="1"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c r="Y660" s="1"/>
    </row>
    <row r="661" spans="1:25" ht="15.75" customHeight="1"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c r="Y661" s="1"/>
    </row>
    <row r="662" spans="1:25" ht="15.75" customHeight="1"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c r="Y662" s="1"/>
    </row>
    <row r="663" spans="1:25" ht="15.75" customHeight="1"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c r="Y663" s="1"/>
    </row>
    <row r="664" spans="1:25" ht="15.75" customHeight="1"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c r="Y664" s="1"/>
    </row>
    <row r="665" spans="1:25" ht="15.75" customHeight="1"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c r="Y665" s="1"/>
    </row>
    <row r="666" spans="1:25" ht="15.75" customHeight="1"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c r="Y666" s="1"/>
    </row>
    <row r="667" spans="1:25" ht="15.75" customHeight="1"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c r="Y667" s="1"/>
    </row>
    <row r="668" spans="1:25" ht="15.75" customHeight="1"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c r="Y668" s="1"/>
    </row>
    <row r="669" spans="1:25" ht="15.75" customHeight="1"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c r="Y669" s="1"/>
    </row>
    <row r="670" spans="1:25" ht="15.75" customHeight="1"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c r="Y670" s="1"/>
    </row>
    <row r="671" spans="1:25" ht="15.75" customHeight="1"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c r="Y671" s="1"/>
    </row>
    <row r="672" spans="1:25" ht="15.75" customHeight="1"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c r="Y672" s="1"/>
    </row>
    <row r="673" spans="1:25" ht="15.75" customHeight="1"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c r="Y673" s="1"/>
    </row>
    <row r="674" spans="1:25" ht="15.75" customHeight="1"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c r="Y674" s="1"/>
    </row>
    <row r="675" spans="1:25" ht="15.75" customHeight="1"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c r="Y675" s="1"/>
    </row>
    <row r="676" spans="1:25" ht="15.75" customHeight="1"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c r="Y676" s="1"/>
    </row>
    <row r="677" spans="1:25" ht="15.75" customHeight="1"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c r="Y677" s="1"/>
    </row>
    <row r="678" spans="1:25" ht="15.75" customHeight="1"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c r="Y678" s="1"/>
    </row>
    <row r="679" spans="1:25" ht="15.75" customHeight="1"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c r="Y679" s="1"/>
    </row>
    <row r="680" spans="1:25" ht="15.75" customHeight="1"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c r="Y680" s="1"/>
    </row>
    <row r="681" spans="1:25" ht="15.75" customHeight="1"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c r="Y681" s="1"/>
    </row>
    <row r="682" spans="1:25" ht="15.75" customHeight="1"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c r="Y682" s="1"/>
    </row>
    <row r="683" spans="1:25" ht="15.75" customHeight="1"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c r="Y683" s="1"/>
    </row>
    <row r="684" spans="1:25" ht="15.75" customHeight="1"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c r="Y684" s="1"/>
    </row>
    <row r="685" spans="1:25" ht="15.75" customHeight="1"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c r="Y685" s="1"/>
    </row>
    <row r="686" spans="1:25" ht="15.75" customHeight="1"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c r="Y686" s="1"/>
    </row>
    <row r="687" spans="1:25" ht="15.75" customHeight="1"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c r="Y687" s="1"/>
    </row>
    <row r="688" spans="1:25" ht="15.75" customHeight="1"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c r="Y688" s="1"/>
    </row>
    <row r="689" spans="1:25" ht="15.75" customHeight="1"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c r="Y689" s="1"/>
    </row>
    <row r="690" spans="1:25" ht="15.75" customHeight="1"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c r="Y690" s="1"/>
    </row>
    <row r="691" spans="1:25" ht="15.75" customHeight="1"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c r="Y691" s="1"/>
    </row>
    <row r="692" spans="1:25" ht="15.75" customHeight="1"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c r="Y692" s="1"/>
    </row>
    <row r="693" spans="1:25" ht="15.75" customHeight="1"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c r="Y693" s="1"/>
    </row>
    <row r="694" spans="1:25" ht="15.75" customHeight="1"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c r="Y694" s="1"/>
    </row>
    <row r="695" spans="1:25" ht="15.75" customHeight="1"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c r="Y695" s="1"/>
    </row>
    <row r="696" spans="1:25" ht="15.75" customHeight="1"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c r="Y696" s="1"/>
    </row>
    <row r="697" spans="1:25" ht="15.75" customHeight="1"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c r="Y697" s="1"/>
    </row>
    <row r="698" spans="1:25" ht="15.75" customHeight="1"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c r="Y698" s="1"/>
    </row>
    <row r="699" spans="1:25" ht="15.75" customHeight="1"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c r="Y699" s="1"/>
    </row>
    <row r="700" spans="1:25" ht="15.75" customHeight="1"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c r="Y700" s="1"/>
    </row>
    <row r="701" spans="1:25" ht="15.75" customHeight="1"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c r="Y701" s="1"/>
    </row>
    <row r="702" spans="1:25" ht="15.75" customHeight="1"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c r="Y702" s="1"/>
    </row>
    <row r="703" spans="1:25" ht="15.75" customHeight="1"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c r="Y703" s="1"/>
    </row>
    <row r="704" spans="1:25" ht="15.75" customHeight="1"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c r="Y704" s="1"/>
    </row>
    <row r="705" spans="1:25" ht="15.75" customHeight="1"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c r="Y705" s="1"/>
    </row>
    <row r="706" spans="1:25" ht="15.75" customHeight="1"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c r="Y706" s="1"/>
    </row>
    <row r="707" spans="1:25" ht="15.75" customHeight="1"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c r="Y707" s="1"/>
    </row>
    <row r="708" spans="1:25" ht="15.75" customHeight="1"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c r="Y708" s="1"/>
    </row>
    <row r="709" spans="1:25" ht="15.75" customHeight="1"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c r="Y709" s="1"/>
    </row>
    <row r="710" spans="1:25" ht="15.75" customHeight="1"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c r="Y710" s="1"/>
    </row>
    <row r="711" spans="1:25" ht="15.75" customHeight="1"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c r="Y711" s="1"/>
    </row>
    <row r="712" spans="1:25" ht="15.75" customHeight="1"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c r="Y712" s="1"/>
    </row>
    <row r="713" spans="1:25" ht="15.75" customHeight="1"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c r="Y713" s="1"/>
    </row>
    <row r="714" spans="1:25" ht="15.75" customHeight="1"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c r="Y714" s="1"/>
    </row>
    <row r="715" spans="1:25" ht="15.75" customHeight="1"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c r="Y715" s="1"/>
    </row>
    <row r="716" spans="1:25" ht="15.75" customHeight="1"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c r="Y716" s="1"/>
    </row>
    <row r="717" spans="1:25" ht="15.75" customHeight="1"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c r="Y717" s="1"/>
    </row>
    <row r="718" spans="1:25" ht="15.75" customHeight="1"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c r="Y718" s="1"/>
    </row>
    <row r="719" spans="1:25" ht="15.75" customHeight="1"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c r="Y719" s="1"/>
    </row>
    <row r="720" spans="1:25" ht="15.75" customHeight="1"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c r="Y720" s="1"/>
    </row>
    <row r="721" spans="1:25" ht="15.75" customHeight="1"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c r="Y721" s="1"/>
    </row>
    <row r="722" spans="1:25" ht="15.75" customHeight="1"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c r="Y722" s="1"/>
    </row>
    <row r="723" spans="1:25" ht="15.75" customHeight="1"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c r="Y723" s="1"/>
    </row>
    <row r="724" spans="1:25" ht="15.75" customHeight="1"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c r="Y724" s="1"/>
    </row>
    <row r="725" spans="1:25" ht="15.75" customHeight="1"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c r="Y725" s="1"/>
    </row>
    <row r="726" spans="1:25" ht="15.75" customHeight="1"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c r="Y726" s="1"/>
    </row>
    <row r="727" spans="1:25" ht="15.75" customHeight="1"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c r="Y727" s="1"/>
    </row>
    <row r="728" spans="1:25" ht="15.75" customHeight="1"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c r="Y728" s="1"/>
    </row>
    <row r="729" spans="1:25" ht="15.75" customHeight="1"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c r="Y729" s="1"/>
    </row>
    <row r="730" spans="1:25" ht="15.75" customHeight="1"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c r="Y730" s="1"/>
    </row>
    <row r="731" spans="1:25" ht="15.75" customHeight="1"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c r="Y731" s="1"/>
    </row>
    <row r="732" spans="1:25" ht="15.75" customHeight="1"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c r="Y732" s="1"/>
    </row>
    <row r="733" spans="1:25" ht="15.75" customHeight="1"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c r="Y733" s="1"/>
    </row>
    <row r="734" spans="1:25" ht="15.75" customHeight="1"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c r="Y734" s="1"/>
    </row>
    <row r="735" spans="1:25" ht="15.75" customHeight="1"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c r="Y735" s="1"/>
    </row>
    <row r="736" spans="1:25" ht="15.75" customHeight="1"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c r="Y736" s="1"/>
    </row>
    <row r="737" spans="1:25" ht="15.75" customHeight="1"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c r="Y737" s="1"/>
    </row>
    <row r="738" spans="1:25" ht="15.75" customHeight="1"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c r="Y738" s="1"/>
    </row>
    <row r="739" spans="1:25" ht="15.75" customHeight="1"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c r="Y739" s="1"/>
    </row>
    <row r="740" spans="1:25" ht="15.75" customHeight="1"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c r="Y740" s="1"/>
    </row>
    <row r="741" spans="1:25" ht="15.75" customHeight="1"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c r="Y741" s="1"/>
    </row>
    <row r="742" spans="1:25" ht="15.75" customHeight="1"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c r="Y742" s="1"/>
    </row>
    <row r="743" spans="1:25" ht="15.75" customHeight="1"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c r="Y743" s="1"/>
    </row>
    <row r="744" spans="1:25" ht="15.75" customHeight="1"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c r="Y744" s="1"/>
    </row>
    <row r="745" spans="1:25" ht="15.75" customHeight="1"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c r="Y745" s="1"/>
    </row>
    <row r="746" spans="1:25" ht="15.75" customHeight="1"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c r="Y746" s="1"/>
    </row>
    <row r="747" spans="1:25" ht="15.75" customHeight="1"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c r="Y747" s="1"/>
    </row>
    <row r="748" spans="1:25" ht="15.75" customHeight="1"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c r="Y748" s="1"/>
    </row>
    <row r="749" spans="1:25" ht="15.75" customHeight="1"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c r="Y749" s="1"/>
    </row>
    <row r="750" spans="1:25" ht="15.75" customHeight="1"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c r="Y750" s="1"/>
    </row>
    <row r="751" spans="1:25" ht="15.75" customHeight="1"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c r="Y751" s="1"/>
    </row>
    <row r="752" spans="1:25" ht="15.75" customHeight="1"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c r="Y752" s="1"/>
    </row>
    <row r="753" spans="1:25" ht="15.75" customHeight="1"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c r="Y753" s="1"/>
    </row>
    <row r="754" spans="1:25" ht="15.75" customHeight="1"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c r="Y754" s="1"/>
    </row>
    <row r="755" spans="1:25" ht="15.75" customHeight="1"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c r="Y755" s="1"/>
    </row>
    <row r="756" spans="1:25" ht="15.75" customHeight="1"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c r="Y756" s="1"/>
    </row>
    <row r="757" spans="1:25" ht="15.75" customHeight="1"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c r="Y757" s="1"/>
    </row>
    <row r="758" spans="1:25" ht="15.75" customHeight="1"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c r="Y758" s="1"/>
    </row>
    <row r="759" spans="1:25" ht="15.75" customHeight="1"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c r="Y759" s="1"/>
    </row>
    <row r="760" spans="1:25" ht="15.75" customHeight="1"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c r="Y760" s="1"/>
    </row>
    <row r="761" spans="1:25" ht="15.75" customHeight="1"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c r="Y761" s="1"/>
    </row>
    <row r="762" spans="1:25" ht="15.75" customHeight="1"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c r="Y762" s="1"/>
    </row>
    <row r="763" spans="1:25" ht="15.75" customHeight="1"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c r="Y763" s="1"/>
    </row>
    <row r="764" spans="1:25" ht="15.75" customHeight="1"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c r="Y764" s="1"/>
    </row>
    <row r="765" spans="1:25" ht="15.75" customHeight="1"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c r="Y765" s="1"/>
    </row>
    <row r="766" spans="1:25" ht="15.75" customHeight="1"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c r="Y766" s="1"/>
    </row>
    <row r="767" spans="1:25" ht="15.75" customHeight="1"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c r="Y767" s="1"/>
    </row>
    <row r="768" spans="1:25" ht="15.75" customHeight="1"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c r="Y768" s="1"/>
    </row>
    <row r="769" spans="1:25" ht="15.75" customHeight="1"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c r="Y769" s="1"/>
    </row>
    <row r="770" spans="1:25" ht="15.75" customHeight="1"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c r="Y770" s="1"/>
    </row>
    <row r="771" spans="1:25" ht="15.75" customHeight="1"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c r="Y771" s="1"/>
    </row>
    <row r="772" spans="1:25" ht="15.75" customHeight="1"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c r="Y772" s="1"/>
    </row>
    <row r="773" spans="1:25" ht="15.75" customHeight="1"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c r="Y773" s="1"/>
    </row>
    <row r="774" spans="1:25" ht="15.75" customHeight="1"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c r="Y774" s="1"/>
    </row>
    <row r="775" spans="1:25" ht="15.75" customHeight="1"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c r="Y775" s="1"/>
    </row>
    <row r="776" spans="1:25" ht="15.75" customHeight="1"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c r="Y776" s="1"/>
    </row>
    <row r="777" spans="1:25" ht="15.75" customHeight="1"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c r="Y777" s="1"/>
    </row>
    <row r="778" spans="1:25" ht="15.75" customHeight="1"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c r="Y778" s="1"/>
    </row>
    <row r="779" spans="1:25" ht="15.75" customHeight="1"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c r="Y779" s="1"/>
    </row>
    <row r="780" spans="1:25" ht="15.75" customHeight="1"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c r="Y780" s="1"/>
    </row>
    <row r="781" spans="1:25" ht="15.75" customHeight="1"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c r="Y781" s="1"/>
    </row>
    <row r="782" spans="1:25" ht="15.75" customHeight="1"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c r="Y782" s="1"/>
    </row>
    <row r="783" spans="1:25" ht="15.75" customHeight="1"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c r="Y783" s="1"/>
    </row>
    <row r="784" spans="1:25" ht="15.75" customHeight="1"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c r="Y784" s="1"/>
    </row>
    <row r="785" spans="1:25" ht="15.75" customHeight="1"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c r="Y785" s="1"/>
    </row>
    <row r="786" spans="1:25" ht="15.75" customHeight="1"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c r="Y786" s="1"/>
    </row>
    <row r="787" spans="1:25" ht="15.75" customHeight="1"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c r="Y787" s="1"/>
    </row>
    <row r="788" spans="1:25" ht="15.75" customHeight="1"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c r="Y788" s="1"/>
    </row>
    <row r="789" spans="1:25" ht="15.75" customHeight="1"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c r="Y789" s="1"/>
    </row>
    <row r="790" spans="1:25" ht="15.75" customHeight="1"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c r="Y790" s="1"/>
    </row>
    <row r="791" spans="1:25" ht="15.75" customHeight="1"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c r="Y791" s="1"/>
    </row>
    <row r="792" spans="1:25" ht="15.75" customHeight="1"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c r="Y792" s="1"/>
    </row>
    <row r="793" spans="1:25" ht="15.75" customHeight="1"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c r="Y793" s="1"/>
    </row>
    <row r="794" spans="1:25" ht="15.75" customHeight="1"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c r="Y794" s="1"/>
    </row>
    <row r="795" spans="1:25" ht="15.75" customHeight="1"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c r="Y795" s="1"/>
    </row>
    <row r="796" spans="1:25" ht="15.75" customHeight="1"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c r="Y796" s="1"/>
    </row>
    <row r="797" spans="1:25" ht="15.75" customHeight="1"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c r="Y797" s="1"/>
    </row>
    <row r="798" spans="1:25" ht="15.75" customHeight="1"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c r="Y798" s="1"/>
    </row>
    <row r="799" spans="1:25" ht="15.75" customHeight="1"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c r="Y799" s="1"/>
    </row>
    <row r="800" spans="1:25" ht="15.75" customHeight="1"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c r="Y800" s="1"/>
    </row>
    <row r="801" spans="1:25" ht="15.75" customHeight="1"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c r="Y801" s="1"/>
    </row>
    <row r="802" spans="1:25" ht="15.75" customHeight="1"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c r="Y802" s="1"/>
    </row>
    <row r="803" spans="1:25" ht="15.75" customHeight="1"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c r="Y803" s="1"/>
    </row>
    <row r="804" spans="1:25" ht="15.75" customHeight="1"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c r="Y804" s="1"/>
    </row>
    <row r="805" spans="1:25" ht="15.75" customHeight="1"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c r="Y805" s="1"/>
    </row>
    <row r="806" spans="1:25" ht="15.75" customHeight="1"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c r="Y806" s="1"/>
    </row>
    <row r="807" spans="1:25" ht="15.75" customHeight="1"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c r="Y807" s="1"/>
    </row>
    <row r="808" spans="1:25" ht="15.75" customHeight="1"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c r="Y808" s="1"/>
    </row>
    <row r="809" spans="1:25" ht="15.75" customHeight="1"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c r="Y809" s="1"/>
    </row>
    <row r="810" spans="1:25" ht="15.75" customHeight="1"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c r="Y810" s="1"/>
    </row>
    <row r="811" spans="1:25" ht="15.75" customHeight="1"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c r="Y811" s="1"/>
    </row>
    <row r="812" spans="1:25" ht="15.75" customHeight="1"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c r="Y812" s="1"/>
    </row>
    <row r="813" spans="1:25" ht="15.75" customHeight="1"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c r="Y813" s="1"/>
    </row>
    <row r="814" spans="1:25" ht="15.75" customHeight="1"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c r="Y814" s="1"/>
    </row>
    <row r="815" spans="1:25" ht="15.75" customHeight="1"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c r="Y815" s="1"/>
    </row>
    <row r="816" spans="1:25" ht="15.75" customHeight="1"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c r="Y816" s="1"/>
    </row>
    <row r="817" spans="1:25" ht="15.75" customHeight="1"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c r="Y817" s="1"/>
    </row>
    <row r="818" spans="1:25" ht="15.75" customHeight="1"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c r="Y818" s="1"/>
    </row>
    <row r="819" spans="1:25" ht="15.75" customHeight="1"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c r="Y819" s="1"/>
    </row>
    <row r="820" spans="1:25" ht="15.75" customHeight="1"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c r="Y820" s="1"/>
    </row>
    <row r="821" spans="1:25" ht="15.75" customHeight="1"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c r="Y821" s="1"/>
    </row>
    <row r="822" spans="1:25" ht="15.75" customHeight="1"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c r="Y822" s="1"/>
    </row>
    <row r="823" spans="1:25" ht="15.75" customHeight="1"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c r="Y823" s="1"/>
    </row>
    <row r="824" spans="1:25" ht="15.75" customHeight="1"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c r="Y824" s="1"/>
    </row>
    <row r="825" spans="1:25" ht="15.75" customHeight="1"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c r="Y825" s="1"/>
    </row>
    <row r="826" spans="1:25" ht="15.75" customHeight="1"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c r="Y826" s="1"/>
    </row>
    <row r="827" spans="1:25" ht="15.75" customHeight="1"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c r="Y827" s="1"/>
    </row>
    <row r="828" spans="1:25" ht="15.75" customHeight="1"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c r="Y828" s="1"/>
    </row>
    <row r="829" spans="1:25" ht="15.75" customHeight="1"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c r="Y829" s="1"/>
    </row>
    <row r="830" spans="1:25" ht="15.75" customHeight="1"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c r="Y830" s="1"/>
    </row>
    <row r="831" spans="1:25" ht="15.75" customHeight="1"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c r="Y831" s="1"/>
    </row>
    <row r="832" spans="1:25" ht="15.75" customHeight="1"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c r="Y832" s="1"/>
    </row>
    <row r="833" spans="1:25" ht="15.75" customHeight="1"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c r="Y833" s="1"/>
    </row>
    <row r="834" spans="1:25" ht="15.75" customHeight="1"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c r="Y834" s="1"/>
    </row>
    <row r="835" spans="1:25" ht="15.75" customHeight="1"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c r="Y835" s="1"/>
    </row>
    <row r="836" spans="1:25" ht="15.75" customHeight="1"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c r="Y836" s="1"/>
    </row>
    <row r="837" spans="1:25" ht="15.75" customHeight="1"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c r="Y837" s="1"/>
    </row>
    <row r="838" spans="1:25" ht="15.75" customHeight="1"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c r="Y838" s="1"/>
    </row>
    <row r="839" spans="1:25" ht="15.75" customHeight="1"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c r="Y839" s="1"/>
    </row>
    <row r="840" spans="1:25" ht="15.75" customHeight="1"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c r="Y840" s="1"/>
    </row>
    <row r="841" spans="1:25" ht="15.75" customHeight="1"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c r="Y841" s="1"/>
    </row>
    <row r="842" spans="1:25" ht="15.75" customHeight="1"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c r="Y842" s="1"/>
    </row>
    <row r="843" spans="1:25" ht="15.75" customHeight="1"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c r="Y843" s="1"/>
    </row>
    <row r="844" spans="1:25" ht="15.75" customHeight="1"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c r="Y844" s="1"/>
    </row>
    <row r="845" spans="1:25" ht="15.75" customHeight="1"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c r="Y845" s="1"/>
    </row>
    <row r="846" spans="1:25" ht="15.75" customHeight="1"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c r="Y846" s="1"/>
    </row>
    <row r="847" spans="1:25" ht="15.75" customHeight="1"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c r="Y847" s="1"/>
    </row>
    <row r="848" spans="1:25" ht="15.75" customHeight="1"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c r="Y848" s="1"/>
    </row>
    <row r="849" spans="1:25" ht="15.75" customHeight="1"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c r="Y849" s="1"/>
    </row>
    <row r="850" spans="1:25" ht="15.75" customHeight="1"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c r="Y850" s="1"/>
    </row>
    <row r="851" spans="1:25" ht="15.75" customHeight="1"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c r="Y851" s="1"/>
    </row>
    <row r="852" spans="1:25" ht="15.75" customHeight="1"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c r="Y852" s="1"/>
    </row>
    <row r="853" spans="1:25" ht="15.75" customHeight="1"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c r="Y853" s="1"/>
    </row>
    <row r="854" spans="1:25" ht="15.75" customHeight="1"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c r="Y854" s="1"/>
    </row>
    <row r="855" spans="1:25" ht="15.75" customHeight="1"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c r="Y855" s="1"/>
    </row>
    <row r="856" spans="1:25" ht="15.75" customHeight="1"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c r="Y856" s="1"/>
    </row>
    <row r="857" spans="1:25" ht="15.75" customHeight="1"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c r="Y857" s="1"/>
    </row>
    <row r="858" spans="1:25" ht="15.75" customHeight="1"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c r="Y858" s="1"/>
    </row>
    <row r="859" spans="1:25" ht="15.75" customHeight="1"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c r="Y859" s="1"/>
    </row>
    <row r="860" spans="1:25" ht="15.75" customHeight="1"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c r="Y860" s="1"/>
    </row>
    <row r="861" spans="1:25" ht="15.75" customHeight="1"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c r="Y861" s="1"/>
    </row>
    <row r="862" spans="1:25" ht="15.75" customHeight="1"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c r="Y862" s="1"/>
    </row>
    <row r="863" spans="1:25" ht="15.75" customHeight="1"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c r="Y863" s="1"/>
    </row>
    <row r="864" spans="1:25" ht="15.75" customHeight="1"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c r="Y864" s="1"/>
    </row>
    <row r="865" spans="1:25" ht="15.75" customHeight="1"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c r="Y865" s="1"/>
    </row>
    <row r="866" spans="1:25" ht="15.75" customHeight="1"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c r="Y866" s="1"/>
    </row>
    <row r="867" spans="1:25" ht="15.75" customHeight="1"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c r="Y867" s="1"/>
    </row>
    <row r="868" spans="1:25" ht="15.75" customHeight="1"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c r="Y868" s="1"/>
    </row>
    <row r="869" spans="1:25" ht="15.75" customHeight="1"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c r="Y869" s="1"/>
    </row>
    <row r="870" spans="1:25" ht="15.75" customHeight="1"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c r="Y870" s="1"/>
    </row>
    <row r="871" spans="1:25" ht="15.75" customHeight="1"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c r="Y871" s="1"/>
    </row>
    <row r="872" spans="1:25" ht="15.75" customHeight="1"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c r="Y872" s="1"/>
    </row>
    <row r="873" spans="1:25" ht="15.75" customHeight="1"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c r="Y873" s="1"/>
    </row>
    <row r="874" spans="1:25" ht="15.75" customHeight="1"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c r="Y874" s="1"/>
    </row>
    <row r="875" spans="1:25" ht="15.75" customHeight="1"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c r="Y875" s="1"/>
    </row>
    <row r="876" spans="1:25" ht="15.75" customHeight="1"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c r="Y876" s="1"/>
    </row>
    <row r="877" spans="1:25" ht="15.75" customHeight="1"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c r="Y877" s="1"/>
    </row>
    <row r="878" spans="1:25" ht="15.75" customHeight="1"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c r="Y878" s="1"/>
    </row>
    <row r="879" spans="1:25" ht="15.75" customHeight="1"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c r="Y879" s="1"/>
    </row>
    <row r="880" spans="1:25" ht="15.75" customHeight="1"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c r="Y880" s="1"/>
    </row>
    <row r="881" spans="1:25" ht="15.75" customHeight="1"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c r="Y881" s="1"/>
    </row>
    <row r="882" spans="1:25" ht="15.75" customHeight="1"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c r="Y882" s="1"/>
    </row>
    <row r="883" spans="1:25" ht="15.75" customHeight="1"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c r="Y883" s="1"/>
    </row>
    <row r="884" spans="1:25" ht="15.75" customHeight="1"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c r="Y884" s="1"/>
    </row>
    <row r="885" spans="1:25" ht="15.75" customHeight="1"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c r="Y885" s="1"/>
    </row>
    <row r="886" spans="1:25" ht="15.75" customHeight="1"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c r="Y886" s="1"/>
    </row>
    <row r="887" spans="1:25" ht="15.75" customHeight="1"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c r="Y887" s="1"/>
    </row>
    <row r="888" spans="1:25" ht="15.75" customHeight="1"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c r="Y888" s="1"/>
    </row>
    <row r="889" spans="1:25" ht="15.75" customHeight="1"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c r="Y889" s="1"/>
    </row>
    <row r="890" spans="1:25" ht="15.75" customHeight="1"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c r="Y890" s="1"/>
    </row>
    <row r="891" spans="1:25" ht="15.75" customHeight="1"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c r="Y891" s="1"/>
    </row>
    <row r="892" spans="1:25" ht="15.75" customHeight="1"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c r="Y892" s="1"/>
    </row>
    <row r="893" spans="1:25" ht="15.75" customHeight="1"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c r="Y893" s="1"/>
    </row>
    <row r="894" spans="1:25" ht="15.75" customHeight="1"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c r="Y894" s="1"/>
    </row>
    <row r="895" spans="1:25" ht="15.75" customHeight="1"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c r="Y895" s="1"/>
    </row>
    <row r="896" spans="1:25" ht="15.75" customHeight="1"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c r="Y896" s="1"/>
    </row>
    <row r="897" spans="1:25" ht="15.75" customHeight="1"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c r="Y897" s="1"/>
    </row>
    <row r="898" spans="1:25" ht="15.75" customHeight="1"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c r="Y898" s="1"/>
    </row>
    <row r="899" spans="1:25" ht="15.75" customHeight="1"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c r="Y899" s="1"/>
    </row>
    <row r="900" spans="1:25" ht="15.75" customHeight="1"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c r="Y900" s="1"/>
    </row>
    <row r="901" spans="1:25" ht="15.75" customHeight="1"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c r="Y901" s="1"/>
    </row>
    <row r="902" spans="1:25" ht="15.75" customHeight="1"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c r="Y902" s="1"/>
    </row>
    <row r="903" spans="1:25" ht="15.75" customHeight="1"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c r="Y903" s="1"/>
    </row>
    <row r="904" spans="1:25" ht="15.75" customHeight="1"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c r="Y904" s="1"/>
    </row>
    <row r="905" spans="1:25" ht="15.75" customHeight="1"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c r="Y905" s="1"/>
    </row>
    <row r="906" spans="1:25" ht="15.75" customHeight="1"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c r="Y906" s="1"/>
    </row>
    <row r="907" spans="1:25" ht="15.75" customHeight="1"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c r="Y907" s="1"/>
    </row>
    <row r="908" spans="1:25" ht="15.75" customHeight="1"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c r="Y908" s="1"/>
    </row>
    <row r="909" spans="1:25" ht="15.75" customHeight="1"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c r="Y909" s="1"/>
    </row>
    <row r="910" spans="1:25" ht="15.75" customHeight="1"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c r="Y910" s="1"/>
    </row>
    <row r="911" spans="1:25" ht="15.75" customHeight="1"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c r="Y911" s="1"/>
    </row>
    <row r="912" spans="1:25" ht="15.75" customHeight="1"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c r="Y912" s="1"/>
    </row>
    <row r="913" spans="1:25" ht="15.75" customHeight="1"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c r="Y913" s="1"/>
    </row>
    <row r="914" spans="1:25" ht="15.75" customHeight="1"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c r="Y914" s="1"/>
    </row>
    <row r="915" spans="1:25" ht="15.75" customHeight="1"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c r="Y915" s="1"/>
    </row>
    <row r="916" spans="1:25" ht="15.75" customHeight="1"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c r="Y916" s="1"/>
    </row>
    <row r="917" spans="1:25" ht="15.75" customHeight="1"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c r="Y917" s="1"/>
    </row>
    <row r="918" spans="1:25" ht="15.75" customHeight="1"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c r="Y918" s="1"/>
    </row>
    <row r="919" spans="1:25" ht="15.75" customHeight="1"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c r="Y919" s="1"/>
    </row>
    <row r="920" spans="1:25" ht="15.75" customHeight="1"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c r="Y920" s="1"/>
    </row>
    <row r="921" spans="1:25" ht="15.75" customHeight="1"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c r="Y921" s="1"/>
    </row>
    <row r="922" spans="1:25" ht="15.75" customHeight="1"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c r="Y922" s="1"/>
    </row>
    <row r="923" spans="1:25" ht="15.75" customHeight="1"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c r="Y923" s="1"/>
    </row>
    <row r="924" spans="1:25" ht="15.75" customHeight="1"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c r="Y924" s="1"/>
    </row>
    <row r="925" spans="1:25" ht="15.75" customHeight="1"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c r="Y925" s="1"/>
    </row>
    <row r="926" spans="1:25" ht="15.75" customHeight="1"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c r="Y926" s="1"/>
    </row>
    <row r="927" spans="1:25" ht="15.75" customHeight="1"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c r="Y927" s="1"/>
    </row>
    <row r="928" spans="1:25" ht="15.75" customHeight="1"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c r="Y928" s="1"/>
    </row>
    <row r="929" spans="1:25" ht="15.75" customHeight="1"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c r="Y929" s="1"/>
    </row>
    <row r="930" spans="1:25" ht="15.75" customHeight="1"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c r="Y930" s="1"/>
    </row>
    <row r="931" spans="1:25" ht="15.75" customHeight="1"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c r="Y931" s="1"/>
    </row>
    <row r="932" spans="1:25" ht="15.75" customHeight="1"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c r="Y932" s="1"/>
    </row>
    <row r="933" spans="1:25" ht="15.75" customHeight="1"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c r="Y933" s="1"/>
    </row>
    <row r="934" spans="1:25" ht="15.75" customHeight="1"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c r="Y934" s="1"/>
    </row>
    <row r="935" spans="1:25" ht="15.75" customHeight="1"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c r="Y935" s="1"/>
    </row>
    <row r="936" spans="1:25" ht="15.75" customHeight="1"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c r="Y936" s="1"/>
    </row>
    <row r="937" spans="1:25" ht="15.75" customHeight="1"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c r="Y937" s="1"/>
    </row>
    <row r="938" spans="1:25" ht="15.75" customHeight="1"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c r="Y938" s="1"/>
    </row>
    <row r="939" spans="1:25" ht="15.75" customHeight="1"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c r="Y939" s="1"/>
    </row>
    <row r="940" spans="1:25" ht="15.75" customHeight="1"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c r="Y940" s="1"/>
    </row>
    <row r="941" spans="1:25" ht="15.75" customHeight="1"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c r="Y941" s="1"/>
    </row>
    <row r="942" spans="1:25" ht="15.75" customHeight="1"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c r="Y942" s="1"/>
    </row>
    <row r="943" spans="1:25" ht="15.75" customHeight="1"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c r="Y943" s="1"/>
    </row>
    <row r="944" spans="1:25" ht="15.75" customHeight="1"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c r="Y944" s="1"/>
    </row>
    <row r="945" spans="1:25" ht="15.75" customHeight="1"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c r="Y945" s="1"/>
    </row>
    <row r="946" spans="1:25" ht="15.75" customHeight="1"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c r="Y946" s="1"/>
    </row>
    <row r="947" spans="1:25" ht="15.75" customHeight="1"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c r="Y947" s="1"/>
    </row>
    <row r="948" spans="1:25" ht="15.75" customHeight="1"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c r="Y948" s="1"/>
    </row>
    <row r="949" spans="1:25" ht="15.75" customHeight="1"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c r="Y949" s="1"/>
    </row>
    <row r="950" spans="1:25" ht="15.75" customHeight="1"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c r="Y950" s="1"/>
    </row>
    <row r="951" spans="1:25" ht="15.75" customHeight="1"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c r="Y951" s="1"/>
    </row>
    <row r="952" spans="1:25" ht="15.75" customHeight="1"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c r="Y952" s="1"/>
    </row>
    <row r="953" spans="1:25" ht="15.75" customHeight="1"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c r="Y953" s="1"/>
    </row>
    <row r="954" spans="1:25" ht="15.75" customHeight="1"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c r="Y954" s="1"/>
    </row>
    <row r="955" spans="1:25" ht="15.75" customHeight="1"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c r="Y955" s="1"/>
    </row>
    <row r="956" spans="1:25" ht="15.75" customHeight="1"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c r="Y956" s="1"/>
    </row>
    <row r="957" spans="1:25" ht="15.75" customHeight="1"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c r="Y957" s="1"/>
    </row>
    <row r="958" spans="1:25" ht="15.75" customHeight="1"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c r="Y958" s="1"/>
    </row>
    <row r="959" spans="1:25" ht="15.75" customHeight="1"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c r="Y959" s="1"/>
    </row>
    <row r="960" spans="1:25" ht="15.75" customHeight="1"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c r="Y960" s="1"/>
    </row>
    <row r="961" spans="1:25" ht="15.75" customHeight="1"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c r="Y961" s="1"/>
    </row>
    <row r="962" spans="1:25" ht="15.75" customHeight="1"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c r="Y962" s="1"/>
    </row>
    <row r="963" spans="1:25" ht="15.75" customHeight="1"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c r="Y963" s="1"/>
    </row>
    <row r="964" spans="1:25" ht="15.75" customHeight="1"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c r="Y964" s="1"/>
    </row>
    <row r="965" spans="1:25" ht="15.75" customHeight="1"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c r="Y965" s="1"/>
    </row>
    <row r="966" spans="1:25" ht="15.75" customHeight="1"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c r="Y966" s="1"/>
    </row>
    <row r="967" spans="1:25" ht="15.75" customHeight="1"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c r="Y967" s="1"/>
    </row>
    <row r="968" spans="1:25" ht="15.75" customHeight="1"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c r="Y968" s="1"/>
    </row>
    <row r="969" spans="1:25" ht="15.75" customHeight="1"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c r="Y969" s="1"/>
    </row>
    <row r="970" spans="1:25" ht="15.75" customHeight="1"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c r="Y970" s="1"/>
    </row>
    <row r="971" spans="1:25" ht="15.75" customHeight="1"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c r="Y971" s="1"/>
    </row>
    <row r="972" spans="1:25" ht="15.75" customHeight="1"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c r="Y972" s="1"/>
    </row>
    <row r="973" spans="1:25" ht="15.75" customHeight="1"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c r="Y973" s="1"/>
    </row>
    <row r="974" spans="1:25" ht="15.75" customHeight="1"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c r="Y974" s="1"/>
    </row>
    <row r="975" spans="1:25" ht="15.75" customHeight="1"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c r="Y975" s="1"/>
    </row>
    <row r="976" spans="1:25" ht="15.75" customHeight="1"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c r="Y976" s="1"/>
    </row>
    <row r="977" spans="1:25" ht="15.75" customHeight="1"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c r="Y977" s="1"/>
    </row>
    <row r="978" spans="1:25" ht="15.75" customHeight="1"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c r="Y978" s="1"/>
    </row>
    <row r="979" spans="1:25" ht="15.75" customHeight="1"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c r="Y979" s="1"/>
    </row>
    <row r="980" spans="1:25" ht="15.75" customHeight="1"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c r="Y980" s="1"/>
    </row>
    <row r="981" spans="1:25" ht="15.75" customHeight="1"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c r="Y981" s="1"/>
    </row>
    <row r="982" spans="1:25" ht="15.75" customHeight="1"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c r="Y982" s="1"/>
    </row>
    <row r="983" spans="1:25" ht="15.75" customHeight="1"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c r="Y983" s="1"/>
    </row>
    <row r="984" spans="1:25" ht="15.75" customHeight="1"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c r="Y984" s="1"/>
    </row>
    <row r="985" spans="1:25" ht="15.75" customHeight="1"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c r="Y985" s="1"/>
    </row>
    <row r="986" spans="1:25" ht="15.75" customHeight="1"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c r="Y986" s="1"/>
    </row>
    <row r="987" spans="1:25" ht="15.75" customHeight="1"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c r="Y987" s="1"/>
    </row>
    <row r="988" spans="1:25" ht="15.75" customHeight="1"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c r="Y988" s="1"/>
    </row>
    <row r="989" spans="1:25" ht="15.75" customHeight="1"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c r="Y989" s="1"/>
    </row>
    <row r="990" spans="1:25" ht="15.75" customHeight="1"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c r="Y990" s="1"/>
    </row>
    <row r="991" spans="1:25" ht="15.75" customHeight="1"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c r="Y991" s="1"/>
    </row>
    <row r="992" spans="1:25" ht="15.75" customHeight="1"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c r="Y992" s="1"/>
    </row>
    <row r="993" spans="1:25" ht="15.75" customHeight="1"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c r="Y993" s="1"/>
    </row>
    <row r="994" spans="1:25" ht="15.75" customHeight="1"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c r="Y994" s="1"/>
    </row>
    <row r="995" spans="1:25" ht="15.75" customHeight="1"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c r="Y995" s="1"/>
    </row>
    <row r="996" spans="1:25" ht="15.75" customHeight="1"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c r="Y996" s="1"/>
    </row>
    <row r="997" spans="1:25" ht="15.75" customHeight="1"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c r="Y997" s="1"/>
    </row>
    <row r="998" spans="1:25" ht="15.75" customHeight="1"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c r="Y998" s="1"/>
    </row>
    <row r="999" spans="1:25" ht="15.75" customHeight="1"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c r="Y999" s="1"/>
    </row>
    <row r="1000" spans="1:25" ht="15.75" customHeight="1"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row>
    <row r="1001" spans="1:25" ht="15.75" customHeight="1" x14ac:dyDescent="0.25">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row>
    <row r="1002" spans="1:25" ht="15.75" customHeight="1" x14ac:dyDescent="0.25">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row>
    <row r="1003" spans="1:25" ht="15.75" customHeight="1" x14ac:dyDescent="0.25">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row>
    <row r="1004" spans="1:25" ht="15.75" customHeight="1" x14ac:dyDescent="0.25">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row>
    <row r="1005" spans="1:25" ht="15.75" customHeight="1" x14ac:dyDescent="0.25">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row>
    <row r="1006" spans="1:25" ht="15.75" customHeight="1" x14ac:dyDescent="0.25">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row>
    <row r="1007" spans="1:25" ht="15.75" customHeight="1" x14ac:dyDescent="0.25">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row>
    <row r="1008" spans="1:25" ht="15.75" customHeight="1" x14ac:dyDescent="0.25">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row>
    <row r="1009" spans="1:25" ht="15.75" customHeight="1" x14ac:dyDescent="0.25">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row>
    <row r="1010" spans="1:25" ht="15.75" customHeight="1" x14ac:dyDescent="0.25">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row>
    <row r="1011" spans="1:25" ht="15.75" customHeight="1" x14ac:dyDescent="0.25">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row>
    <row r="1012" spans="1:25" ht="15.75" customHeight="1" x14ac:dyDescent="0.25">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row>
    <row r="1013" spans="1:25" ht="15.75" customHeight="1" x14ac:dyDescent="0.25">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row>
    <row r="1014" spans="1:25" ht="15.75" customHeight="1" x14ac:dyDescent="0.25">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row>
    <row r="1015" spans="1:25" ht="15.75" customHeight="1" x14ac:dyDescent="0.25">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row>
    <row r="1016" spans="1:25" ht="15.75" customHeight="1" x14ac:dyDescent="0.25">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row>
    <row r="1017" spans="1:25" ht="15.75" customHeight="1" x14ac:dyDescent="0.25">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row>
    <row r="1018" spans="1:25" ht="15.75" customHeight="1" x14ac:dyDescent="0.25">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row>
    <row r="1019" spans="1:25" ht="15.75" customHeight="1" x14ac:dyDescent="0.25">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row>
    <row r="1020" spans="1:25" ht="15.75" customHeight="1" x14ac:dyDescent="0.25">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row>
    <row r="1021" spans="1:25" ht="15.75" customHeight="1" x14ac:dyDescent="0.25">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row>
    <row r="1022" spans="1:25" ht="15.75" customHeight="1" x14ac:dyDescent="0.25">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row>
    <row r="1023" spans="1:25" ht="15.75" customHeight="1" x14ac:dyDescent="0.25">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row>
    <row r="1024" spans="1:25" ht="15.75" customHeight="1" x14ac:dyDescent="0.25">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row>
    <row r="1025" spans="1:25" ht="15.75" customHeight="1" x14ac:dyDescent="0.25">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row>
    <row r="1026" spans="1:25" ht="15.75" customHeight="1" x14ac:dyDescent="0.25">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row>
    <row r="1027" spans="1:25" ht="15.75" customHeight="1" x14ac:dyDescent="0.25">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row>
    <row r="1028" spans="1:25" ht="15.75" customHeight="1" x14ac:dyDescent="0.25">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row>
    <row r="1029" spans="1:25" ht="15.75" customHeight="1" x14ac:dyDescent="0.25">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row>
    <row r="1030" spans="1:25" ht="15.75" customHeight="1" x14ac:dyDescent="0.25">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row>
    <row r="1031" spans="1:25" ht="15.75" customHeight="1" x14ac:dyDescent="0.25">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row>
    <row r="1032" spans="1:25" ht="15.75" customHeight="1" x14ac:dyDescent="0.25">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row>
    <row r="1033" spans="1:25" ht="15.75" customHeight="1" x14ac:dyDescent="0.25">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row>
    <row r="1034" spans="1:25" ht="15.75" customHeight="1" x14ac:dyDescent="0.25">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row>
    <row r="1035" spans="1:25" ht="15.75" customHeight="1" x14ac:dyDescent="0.25">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row>
    <row r="1036" spans="1:25" ht="15.75" customHeight="1" x14ac:dyDescent="0.25">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row>
    <row r="1037" spans="1:25" ht="15.75" customHeight="1" x14ac:dyDescent="0.25">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row>
    <row r="1038" spans="1:25" ht="15.75" customHeight="1" x14ac:dyDescent="0.25">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row>
    <row r="1039" spans="1:25" ht="15.75" customHeight="1" x14ac:dyDescent="0.25">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row>
    <row r="1040" spans="1:25" ht="15.75" customHeight="1" x14ac:dyDescent="0.25">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row>
    <row r="1041" spans="1:25" ht="15.75" customHeight="1" x14ac:dyDescent="0.25">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row>
    <row r="1042" spans="1:25" ht="15.75" customHeight="1" x14ac:dyDescent="0.25">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row>
    <row r="1043" spans="1:25" ht="15.75" customHeight="1" x14ac:dyDescent="0.25">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row>
    <row r="1044" spans="1:25" ht="15.75" customHeight="1" x14ac:dyDescent="0.25">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row>
    <row r="1045" spans="1:25" ht="15.75" customHeight="1" x14ac:dyDescent="0.25">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row>
    <row r="1046" spans="1:25" ht="15.75" customHeight="1" x14ac:dyDescent="0.25">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row>
    <row r="1047" spans="1:25" ht="15.75" customHeight="1" x14ac:dyDescent="0.25">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row>
    <row r="1048" spans="1:25" ht="15.75" customHeight="1" x14ac:dyDescent="0.25">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row>
    <row r="1049" spans="1:25" ht="15.75" customHeight="1" x14ac:dyDescent="0.25">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row>
    <row r="1050" spans="1:25" ht="15.75" customHeight="1" x14ac:dyDescent="0.25">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row>
    <row r="1051" spans="1:25" ht="15.75" customHeight="1" x14ac:dyDescent="0.25">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row>
    <row r="1052" spans="1:25" ht="15.75" customHeight="1" x14ac:dyDescent="0.25">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row>
    <row r="1053" spans="1:25" ht="15.75" customHeight="1" x14ac:dyDescent="0.25">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row>
    <row r="1054" spans="1:25" ht="15.75" customHeight="1" x14ac:dyDescent="0.25">
      <c r="A1054" s="1"/>
      <c r="B1054" s="1"/>
      <c r="C1054" s="1"/>
      <c r="D1054" s="1"/>
      <c r="E1054" s="1"/>
      <c r="F1054" s="1"/>
      <c r="G1054" s="1"/>
      <c r="H1054" s="1"/>
      <c r="I1054" s="1"/>
      <c r="J1054" s="1"/>
      <c r="K1054" s="1"/>
      <c r="L1054" s="1"/>
      <c r="M1054" s="1"/>
      <c r="N1054" s="1"/>
      <c r="O1054" s="1"/>
      <c r="P1054" s="1"/>
      <c r="Q1054" s="1"/>
      <c r="R1054" s="1"/>
      <c r="S1054" s="1"/>
      <c r="T1054" s="1"/>
      <c r="U1054" s="1"/>
      <c r="V1054" s="1"/>
      <c r="W1054" s="1"/>
      <c r="X1054" s="1"/>
      <c r="Y1054" s="1"/>
    </row>
    <row r="1055" spans="1:25" ht="15.75" customHeight="1" x14ac:dyDescent="0.25">
      <c r="A1055" s="1"/>
      <c r="B1055" s="1"/>
      <c r="C1055" s="1"/>
      <c r="D1055" s="1"/>
      <c r="E1055" s="1"/>
      <c r="F1055" s="1"/>
      <c r="G1055" s="1"/>
      <c r="H1055" s="1"/>
      <c r="I1055" s="1"/>
      <c r="J1055" s="1"/>
      <c r="K1055" s="1"/>
      <c r="L1055" s="1"/>
      <c r="M1055" s="1"/>
      <c r="N1055" s="1"/>
      <c r="O1055" s="1"/>
      <c r="P1055" s="1"/>
      <c r="Q1055" s="1"/>
      <c r="R1055" s="1"/>
      <c r="S1055" s="1"/>
      <c r="T1055" s="1"/>
      <c r="U1055" s="1"/>
      <c r="V1055" s="1"/>
      <c r="W1055" s="1"/>
      <c r="X1055" s="1"/>
      <c r="Y1055" s="1"/>
    </row>
    <row r="1056" spans="1:25" ht="15.75" customHeight="1" x14ac:dyDescent="0.25">
      <c r="A1056" s="1"/>
      <c r="B1056" s="1"/>
      <c r="C1056" s="1"/>
      <c r="D1056" s="1"/>
      <c r="E1056" s="1"/>
      <c r="F1056" s="1"/>
      <c r="G1056" s="1"/>
      <c r="H1056" s="1"/>
      <c r="I1056" s="1"/>
      <c r="J1056" s="1"/>
      <c r="K1056" s="1"/>
      <c r="L1056" s="1"/>
      <c r="M1056" s="1"/>
      <c r="N1056" s="1"/>
      <c r="O1056" s="1"/>
      <c r="P1056" s="1"/>
      <c r="Q1056" s="1"/>
      <c r="R1056" s="1"/>
      <c r="S1056" s="1"/>
      <c r="T1056" s="1"/>
      <c r="U1056" s="1"/>
      <c r="V1056" s="1"/>
      <c r="W1056" s="1"/>
      <c r="X1056" s="1"/>
      <c r="Y1056" s="1"/>
    </row>
    <row r="1057" spans="1:25" ht="15.75" customHeight="1" x14ac:dyDescent="0.25">
      <c r="A1057" s="1"/>
      <c r="B1057" s="1"/>
      <c r="C1057" s="1"/>
      <c r="D1057" s="1"/>
      <c r="E1057" s="1"/>
      <c r="F1057" s="1"/>
      <c r="G1057" s="1"/>
      <c r="H1057" s="1"/>
      <c r="I1057" s="1"/>
      <c r="J1057" s="1"/>
      <c r="K1057" s="1"/>
      <c r="L1057" s="1"/>
      <c r="M1057" s="1"/>
      <c r="N1057" s="1"/>
      <c r="O1057" s="1"/>
      <c r="P1057" s="1"/>
      <c r="Q1057" s="1"/>
      <c r="R1057" s="1"/>
      <c r="S1057" s="1"/>
      <c r="T1057" s="1"/>
      <c r="U1057" s="1"/>
      <c r="V1057" s="1"/>
      <c r="W1057" s="1"/>
      <c r="X1057" s="1"/>
      <c r="Y1057" s="1"/>
    </row>
  </sheetData>
  <sheetProtection algorithmName="SHA-512" hashValue="GPxOG+Xqagag21x4E189z0r+Elfa19E2d6oSlArrwZ9RDPXJmsygpdapwnMPN68i8Dgw11Q0oClHtmX4ZcBllg==" saltValue="/C/QjL9CZw5yrY/okQdFCQ==" spinCount="100000" sheet="1" objects="1" scenarios="1"/>
  <pageMargins left="0.7" right="0.7" top="0.75" bottom="0.75" header="0" footer="0"/>
  <pageSetup paperSize="5"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G1000"/>
  <sheetViews>
    <sheetView workbookViewId="0"/>
  </sheetViews>
  <sheetFormatPr baseColWidth="10" defaultColWidth="12.6328125" defaultRowHeight="15" customHeight="1" x14ac:dyDescent="0.25"/>
  <cols>
    <col min="1" max="1" width="7" customWidth="1"/>
    <col min="2" max="3" width="10.90625" customWidth="1"/>
    <col min="4" max="5" width="24.26953125" customWidth="1"/>
    <col min="6" max="6" width="72.26953125" customWidth="1"/>
    <col min="7" max="7" width="72.90625" customWidth="1"/>
    <col min="8" max="26" width="14.453125" customWidth="1"/>
  </cols>
  <sheetData>
    <row r="1" spans="1:7" ht="15" customHeight="1" x14ac:dyDescent="0.25">
      <c r="A1" s="29" t="s">
        <v>34</v>
      </c>
      <c r="B1" s="29" t="s">
        <v>35</v>
      </c>
      <c r="C1" s="29" t="s">
        <v>36</v>
      </c>
      <c r="D1" s="29" t="s">
        <v>37</v>
      </c>
      <c r="E1" s="29" t="s">
        <v>38</v>
      </c>
      <c r="F1" s="29" t="s">
        <v>39</v>
      </c>
      <c r="G1" s="29" t="s">
        <v>40</v>
      </c>
    </row>
    <row r="2" spans="1:7" ht="15" customHeight="1" x14ac:dyDescent="0.25">
      <c r="A2" s="29" t="s">
        <v>41</v>
      </c>
      <c r="B2" s="29">
        <v>1</v>
      </c>
      <c r="C2" s="29" t="s">
        <v>42</v>
      </c>
      <c r="D2" s="29">
        <v>2020</v>
      </c>
      <c r="E2" s="29" t="s">
        <v>43</v>
      </c>
      <c r="F2" s="29" t="s">
        <v>44</v>
      </c>
      <c r="G2" s="29" t="s">
        <v>44</v>
      </c>
    </row>
    <row r="3" spans="1:7" ht="15" customHeight="1" x14ac:dyDescent="0.25">
      <c r="A3" s="29" t="s">
        <v>45</v>
      </c>
      <c r="B3" s="29">
        <v>2</v>
      </c>
      <c r="C3" s="29" t="s">
        <v>46</v>
      </c>
      <c r="D3" s="29">
        <v>2021</v>
      </c>
      <c r="E3" s="29" t="s">
        <v>47</v>
      </c>
      <c r="F3" s="29" t="s">
        <v>48</v>
      </c>
      <c r="G3" s="29" t="s">
        <v>20</v>
      </c>
    </row>
    <row r="4" spans="1:7" ht="15" customHeight="1" x14ac:dyDescent="0.25">
      <c r="B4" s="29">
        <v>3</v>
      </c>
      <c r="C4" s="29" t="s">
        <v>49</v>
      </c>
      <c r="D4" s="29"/>
      <c r="F4" s="29" t="s">
        <v>20</v>
      </c>
      <c r="G4" s="29" t="s">
        <v>50</v>
      </c>
    </row>
    <row r="5" spans="1:7" ht="15" customHeight="1" x14ac:dyDescent="0.25">
      <c r="B5" s="29">
        <v>4</v>
      </c>
      <c r="C5" s="29" t="s">
        <v>51</v>
      </c>
      <c r="F5" s="29" t="s">
        <v>50</v>
      </c>
      <c r="G5" s="29" t="s">
        <v>52</v>
      </c>
    </row>
    <row r="6" spans="1:7" ht="15" customHeight="1" x14ac:dyDescent="0.25">
      <c r="B6" s="29">
        <v>5</v>
      </c>
      <c r="C6" s="29" t="s">
        <v>53</v>
      </c>
      <c r="F6" s="29" t="s">
        <v>52</v>
      </c>
      <c r="G6" s="29" t="s">
        <v>54</v>
      </c>
    </row>
    <row r="7" spans="1:7" ht="15" customHeight="1" x14ac:dyDescent="0.25">
      <c r="B7" s="29">
        <v>6</v>
      </c>
      <c r="C7" s="29" t="s">
        <v>55</v>
      </c>
      <c r="F7" s="29" t="s">
        <v>54</v>
      </c>
      <c r="G7" s="29" t="s">
        <v>56</v>
      </c>
    </row>
    <row r="8" spans="1:7" ht="15" customHeight="1" x14ac:dyDescent="0.25">
      <c r="B8" s="29">
        <v>7</v>
      </c>
      <c r="C8" s="29" t="s">
        <v>57</v>
      </c>
      <c r="F8" s="29" t="s">
        <v>56</v>
      </c>
      <c r="G8" s="29" t="s">
        <v>7</v>
      </c>
    </row>
    <row r="9" spans="1:7" ht="15" customHeight="1" x14ac:dyDescent="0.25">
      <c r="B9" s="29">
        <v>8</v>
      </c>
      <c r="C9" s="29" t="s">
        <v>58</v>
      </c>
      <c r="F9" s="29" t="s">
        <v>7</v>
      </c>
      <c r="G9" s="29" t="s">
        <v>59</v>
      </c>
    </row>
    <row r="10" spans="1:7" ht="15" customHeight="1" x14ac:dyDescent="0.25">
      <c r="B10" s="29">
        <v>9</v>
      </c>
      <c r="C10" s="29" t="s">
        <v>60</v>
      </c>
      <c r="F10" s="29" t="s">
        <v>61</v>
      </c>
      <c r="G10" s="29" t="s">
        <v>62</v>
      </c>
    </row>
    <row r="11" spans="1:7" ht="15" customHeight="1" x14ac:dyDescent="0.25">
      <c r="B11" s="29">
        <v>10</v>
      </c>
      <c r="C11" s="29" t="s">
        <v>63</v>
      </c>
      <c r="F11" s="29" t="s">
        <v>59</v>
      </c>
      <c r="G11" s="29" t="s">
        <v>64</v>
      </c>
    </row>
    <row r="12" spans="1:7" ht="15" customHeight="1" x14ac:dyDescent="0.25">
      <c r="B12" s="29">
        <v>11</v>
      </c>
      <c r="C12" s="29" t="s">
        <v>65</v>
      </c>
      <c r="F12" s="29" t="s">
        <v>62</v>
      </c>
      <c r="G12" s="29" t="s">
        <v>66</v>
      </c>
    </row>
    <row r="13" spans="1:7" ht="15" customHeight="1" x14ac:dyDescent="0.25">
      <c r="B13" s="29">
        <v>12</v>
      </c>
      <c r="C13" s="29" t="s">
        <v>67</v>
      </c>
      <c r="F13" s="29" t="s">
        <v>64</v>
      </c>
      <c r="G13" s="29" t="s">
        <v>68</v>
      </c>
    </row>
    <row r="14" spans="1:7" ht="15" customHeight="1" x14ac:dyDescent="0.25">
      <c r="B14" s="29">
        <v>13</v>
      </c>
      <c r="F14" s="29" t="s">
        <v>66</v>
      </c>
      <c r="G14" s="29" t="s">
        <v>69</v>
      </c>
    </row>
    <row r="15" spans="1:7" ht="15" customHeight="1" x14ac:dyDescent="0.25">
      <c r="B15" s="29">
        <v>14</v>
      </c>
      <c r="F15" s="29" t="s">
        <v>68</v>
      </c>
      <c r="G15" s="29" t="s">
        <v>70</v>
      </c>
    </row>
    <row r="16" spans="1:7" ht="15" customHeight="1" x14ac:dyDescent="0.25">
      <c r="B16" s="29">
        <v>15</v>
      </c>
      <c r="F16" s="29" t="s">
        <v>69</v>
      </c>
      <c r="G16" s="29" t="s">
        <v>71</v>
      </c>
    </row>
    <row r="17" spans="2:7" ht="15" customHeight="1" x14ac:dyDescent="0.25">
      <c r="B17" s="29">
        <v>16</v>
      </c>
      <c r="F17" s="29" t="s">
        <v>70</v>
      </c>
      <c r="G17" s="29" t="s">
        <v>30</v>
      </c>
    </row>
    <row r="18" spans="2:7" ht="15" customHeight="1" x14ac:dyDescent="0.25">
      <c r="B18" s="29">
        <v>17</v>
      </c>
      <c r="F18" s="29" t="s">
        <v>71</v>
      </c>
      <c r="G18" s="29" t="s">
        <v>72</v>
      </c>
    </row>
    <row r="19" spans="2:7" ht="15" customHeight="1" x14ac:dyDescent="0.25">
      <c r="B19" s="29">
        <v>18</v>
      </c>
      <c r="F19" s="29" t="s">
        <v>73</v>
      </c>
      <c r="G19" s="29" t="s">
        <v>74</v>
      </c>
    </row>
    <row r="20" spans="2:7" ht="15" customHeight="1" x14ac:dyDescent="0.25">
      <c r="B20" s="29">
        <v>19</v>
      </c>
      <c r="F20" s="29" t="s">
        <v>30</v>
      </c>
      <c r="G20" s="29" t="s">
        <v>75</v>
      </c>
    </row>
    <row r="21" spans="2:7" ht="15" customHeight="1" x14ac:dyDescent="0.25">
      <c r="B21" s="29">
        <v>20</v>
      </c>
      <c r="F21" s="29" t="s">
        <v>72</v>
      </c>
      <c r="G21" s="29" t="s">
        <v>76</v>
      </c>
    </row>
    <row r="22" spans="2:7" ht="15.75" customHeight="1" x14ac:dyDescent="0.25">
      <c r="B22" s="29">
        <v>21</v>
      </c>
      <c r="F22" s="29" t="s">
        <v>74</v>
      </c>
      <c r="G22" s="29" t="s">
        <v>77</v>
      </c>
    </row>
    <row r="23" spans="2:7" ht="15.75" customHeight="1" x14ac:dyDescent="0.25">
      <c r="B23" s="29">
        <v>22</v>
      </c>
      <c r="F23" s="29" t="s">
        <v>75</v>
      </c>
      <c r="G23" s="29" t="s">
        <v>78</v>
      </c>
    </row>
    <row r="24" spans="2:7" ht="15.75" customHeight="1" x14ac:dyDescent="0.25">
      <c r="B24" s="29">
        <v>23</v>
      </c>
      <c r="F24" s="29" t="s">
        <v>76</v>
      </c>
    </row>
    <row r="25" spans="2:7" ht="15.75" customHeight="1" x14ac:dyDescent="0.25">
      <c r="B25" s="29">
        <v>24</v>
      </c>
      <c r="F25" s="29" t="s">
        <v>77</v>
      </c>
    </row>
    <row r="26" spans="2:7" ht="15.75" customHeight="1" x14ac:dyDescent="0.25">
      <c r="B26" s="29">
        <v>25</v>
      </c>
      <c r="F26" s="29" t="s">
        <v>78</v>
      </c>
    </row>
    <row r="27" spans="2:7" ht="15.75" customHeight="1" x14ac:dyDescent="0.25">
      <c r="B27" s="29">
        <v>26</v>
      </c>
      <c r="F27" s="29" t="s">
        <v>79</v>
      </c>
    </row>
    <row r="28" spans="2:7" ht="15.75" customHeight="1" x14ac:dyDescent="0.25">
      <c r="B28" s="29">
        <v>27</v>
      </c>
      <c r="F28" s="29" t="s">
        <v>80</v>
      </c>
    </row>
    <row r="29" spans="2:7" ht="15.75" customHeight="1" x14ac:dyDescent="0.25">
      <c r="B29" s="29">
        <v>28</v>
      </c>
    </row>
    <row r="30" spans="2:7" ht="15.75" customHeight="1" x14ac:dyDescent="0.25">
      <c r="B30" s="29">
        <v>29</v>
      </c>
    </row>
    <row r="31" spans="2:7" ht="15.75" customHeight="1" x14ac:dyDescent="0.25">
      <c r="B31" s="29">
        <v>30</v>
      </c>
    </row>
    <row r="32" spans="2:7" ht="15.75" customHeight="1" x14ac:dyDescent="0.25">
      <c r="B32" s="29">
        <v>31</v>
      </c>
    </row>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T2551"/>
  <sheetViews>
    <sheetView workbookViewId="0"/>
  </sheetViews>
  <sheetFormatPr baseColWidth="10" defaultColWidth="12.6328125" defaultRowHeight="15" customHeight="1" x14ac:dyDescent="0.25"/>
  <cols>
    <col min="1" max="20" width="14.453125" customWidth="1"/>
  </cols>
  <sheetData>
    <row r="1" spans="1:20" ht="15" customHeight="1" x14ac:dyDescent="0.25">
      <c r="A1" s="30" t="str">
        <f ca="1">IFERROR(__xludf.DUMMYFUNCTION("importrange(""https://docs.google.com/spreadsheets/d/1XP5jQgp1lTMLj2NYVn2Ig1PcawFPJM4rXo9BJWllcXU/edit#gid=100624610"",""tabla_base!A:T"")"),"caps_id")</f>
        <v>caps_id</v>
      </c>
      <c r="B1" s="30" t="str">
        <f ca="1">IFERROR(__xludf.DUMMYFUNCTION("""COMPUTED_VALUE"""),"caps_nombre")</f>
        <v>caps_nombre</v>
      </c>
      <c r="C1" s="30" t="str">
        <f ca="1">IFERROR(__xludf.DUMMYFUNCTION("""COMPUTED_VALUE"""),"provincia")</f>
        <v>provincia</v>
      </c>
      <c r="D1" s="30" t="str">
        <f ca="1">IFERROR(__xludf.DUMMYFUNCTION("""COMPUTED_VALUE"""),"provincia_id")</f>
        <v>provincia_id</v>
      </c>
      <c r="E1" s="30" t="str">
        <f ca="1">IFERROR(__xludf.DUMMYFUNCTION("""COMPUTED_VALUE"""),"salvaguarda_indigena")</f>
        <v>salvaguarda_indigena</v>
      </c>
      <c r="F1" s="30" t="str">
        <f ca="1">IFERROR(__xludf.DUMMYFUNCTION("""COMPUTED_VALUE"""),"bajasformulario_ayb_2019")</f>
        <v>bajasformulario_ayb_2019</v>
      </c>
      <c r="G1" s="30" t="str">
        <f ca="1">IFERROR(__xludf.DUMMYFUNCTION("""COMPUTED_VALUE"""),"altasformulario_ayb_2019")</f>
        <v>altasformulario_ayb_2019</v>
      </c>
      <c r="H1" s="30" t="str">
        <f ca="1">IFERROR(__xludf.DUMMYFUNCTION("""COMPUTED_VALUE"""),"estado")</f>
        <v>estado</v>
      </c>
      <c r="I1" s="30" t="str">
        <f ca="1">IFERROR(__xludf.DUMMYFUNCTION("""COMPUTED_VALUE"""),"observaciones")</f>
        <v>observaciones</v>
      </c>
      <c r="J1" s="30" t="str">
        <f ca="1">IFERROR(__xludf.DUMMYFUNCTION("""COMPUTED_VALUE"""),"ceb")</f>
        <v>ceb</v>
      </c>
      <c r="K1" s="30" t="str">
        <f ca="1">IFERROR(__xludf.DUMMYFUNCTION("""COMPUTED_VALUE"""),"registro sumar")</f>
        <v>registro sumar</v>
      </c>
      <c r="L1" s="30" t="str">
        <f ca="1">IFERROR(__xludf.DUMMYFUNCTION("""COMPUTED_VALUE"""),"efector_redes")</f>
        <v>efector_redes</v>
      </c>
      <c r="M1" s="30" t="str">
        <f ca="1">IFERROR(__xludf.DUMMYFUNCTION("""COMPUTED_VALUE"""),"localidad_id")</f>
        <v>localidad_id</v>
      </c>
      <c r="N1" s="30" t="str">
        <f ca="1">IFERROR(__xludf.DUMMYFUNCTION("""COMPUTED_VALUE"""),"localidad")</f>
        <v>localidad</v>
      </c>
      <c r="O1" s="30" t="str">
        <f ca="1">IFERROR(__xludf.DUMMYFUNCTION("""COMPUTED_VALUE"""),"departamento_id")</f>
        <v>departamento_id</v>
      </c>
      <c r="P1" s="30" t="str">
        <f ca="1">IFERROR(__xludf.DUMMYFUNCTION("""COMPUTED_VALUE"""),"departamento")</f>
        <v>departamento</v>
      </c>
      <c r="Q1" s="30" t="str">
        <f ca="1">IFERROR(__xludf.DUMMYFUNCTION("""COMPUTED_VALUE"""),"latitud")</f>
        <v>latitud</v>
      </c>
      <c r="R1" s="30" t="str">
        <f ca="1">IFERROR(__xludf.DUMMYFUNCTION("""COMPUTED_VALUE"""),"longitud")</f>
        <v>longitud</v>
      </c>
      <c r="S1" s="30" t="str">
        <f ca="1">IFERROR(__xludf.DUMMYFUNCTION("""COMPUTED_VALUE"""),"Dependencia")</f>
        <v>Dependencia</v>
      </c>
      <c r="T1" s="30" t="str">
        <f ca="1">IFERROR(__xludf.DUMMYFUNCTION("""COMPUTED_VALUE"""),"Municipio")</f>
        <v>Municipio</v>
      </c>
    </row>
    <row r="2" spans="1:20" ht="15" customHeight="1" x14ac:dyDescent="0.25">
      <c r="A2" s="30" t="str">
        <f ca="1">IFERROR(__xludf.DUMMYFUNCTION("""COMPUTED_VALUE"""),"50020012115349")</f>
        <v>50020012115349</v>
      </c>
      <c r="B2" s="30" t="str">
        <f ca="1">IFERROR(__xludf.DUMMYFUNCTION("""COMPUTED_VALUE"""),"CESAC Nº 15")</f>
        <v>CESAC Nº 15</v>
      </c>
      <c r="C2" s="30" t="str">
        <f ca="1">IFERROR(__xludf.DUMMYFUNCTION("""COMPUTED_VALUE"""),"CABA")</f>
        <v>CABA</v>
      </c>
      <c r="D2" s="30" t="str">
        <f ca="1">IFERROR(__xludf.DUMMYFUNCTION("""COMPUTED_VALUE"""),"2")</f>
        <v>2</v>
      </c>
      <c r="E2" s="30" t="str">
        <f ca="1">IFERROR(__xludf.DUMMYFUNCTION("""COMPUTED_VALUE"""),"")</f>
        <v/>
      </c>
      <c r="F2" s="29"/>
      <c r="G2" s="29"/>
      <c r="H2" s="30" t="str">
        <f ca="1">IFERROR(__xludf.DUMMYFUNCTION("""COMPUTED_VALUE"""),"inactivo")</f>
        <v>inactivo</v>
      </c>
      <c r="I2" s="30" t="str">
        <f ca="1">IFERROR(__xludf.DUMMYFUNCTION("""COMPUTED_VALUE"""),"fuera de la circular 2")</f>
        <v>fuera de la circular 2</v>
      </c>
      <c r="J2" s="29"/>
      <c r="K2" s="29"/>
      <c r="L2" s="30" t="str">
        <f ca="1">IFERROR(__xludf.DUMMYFUNCTION("""COMPUTED_VALUE"""),"No")</f>
        <v>No</v>
      </c>
      <c r="M2" s="30" t="str">
        <f ca="1">IFERROR(__xludf.DUMMYFUNCTION("""COMPUTED_VALUE"""),"2001010006")</f>
        <v>2001010006</v>
      </c>
      <c r="N2" s="30" t="str">
        <f ca="1">IFERROR(__xludf.DUMMYFUNCTION("""COMPUTED_VALUE"""),"SAN TELMO")</f>
        <v>SAN TELMO</v>
      </c>
      <c r="O2" s="30" t="str">
        <f ca="1">IFERROR(__xludf.DUMMYFUNCTION("""COMPUTED_VALUE"""),"21")</f>
        <v>21</v>
      </c>
      <c r="P2" s="30" t="str">
        <f ca="1">IFERROR(__xludf.DUMMYFUNCTION("""COMPUTED_VALUE"""),"COMUNA 1")</f>
        <v>COMUNA 1</v>
      </c>
      <c r="Q2" s="30" t="str">
        <f ca="1">IFERROR(__xludf.DUMMYFUNCTION("""COMPUTED_VALUE"""),"-34.6207491")</f>
        <v>-34.6207491</v>
      </c>
      <c r="R2" s="30" t="str">
        <f ca="1">IFERROR(__xludf.DUMMYFUNCTION("""COMPUTED_VALUE"""),"-58.3724662")</f>
        <v>-58.3724662</v>
      </c>
      <c r="S2" s="30" t="str">
        <f ca="1">IFERROR(__xludf.DUMMYFUNCTION("""COMPUTED_VALUE"""),"Municipal")</f>
        <v>Municipal</v>
      </c>
      <c r="T2" s="30" t="str">
        <f ca="1">IFERROR(__xludf.DUMMYFUNCTION("""COMPUTED_VALUE"""),"CABA")</f>
        <v>CABA</v>
      </c>
    </row>
    <row r="3" spans="1:20" ht="15" customHeight="1" x14ac:dyDescent="0.25">
      <c r="A3" s="30" t="str">
        <f ca="1">IFERROR(__xludf.DUMMYFUNCTION("""COMPUTED_VALUE"""),"50020012115352")</f>
        <v>50020012115352</v>
      </c>
      <c r="B3" s="30" t="str">
        <f ca="1">IFERROR(__xludf.DUMMYFUNCTION("""COMPUTED_VALUE"""),"CESAC Nº 19")</f>
        <v>CESAC Nº 19</v>
      </c>
      <c r="C3" s="30" t="str">
        <f ca="1">IFERROR(__xludf.DUMMYFUNCTION("""COMPUTED_VALUE"""),"CABA")</f>
        <v>CABA</v>
      </c>
      <c r="D3" s="30" t="str">
        <f ca="1">IFERROR(__xludf.DUMMYFUNCTION("""COMPUTED_VALUE"""),"2")</f>
        <v>2</v>
      </c>
      <c r="E3" s="30" t="str">
        <f ca="1">IFERROR(__xludf.DUMMYFUNCTION("""COMPUTED_VALUE"""),"")</f>
        <v/>
      </c>
      <c r="F3" s="29"/>
      <c r="G3" s="30" t="str">
        <f ca="1">IFERROR(__xludf.DUMMYFUNCTION("""COMPUTED_VALUE""")," ")</f>
        <v xml:space="preserve"> </v>
      </c>
      <c r="H3" s="30" t="str">
        <f ca="1">IFERROR(__xludf.DUMMYFUNCTION("""COMPUTED_VALUE"""),"inactivo")</f>
        <v>inactivo</v>
      </c>
      <c r="I3" s="30" t="str">
        <f ca="1">IFERROR(__xludf.DUMMYFUNCTION("""COMPUTED_VALUE"""),"fuera de la circular 2")</f>
        <v>fuera de la circular 2</v>
      </c>
      <c r="J3" s="29"/>
      <c r="K3" s="29"/>
      <c r="L3" s="30" t="str">
        <f ca="1">IFERROR(__xludf.DUMMYFUNCTION("""COMPUTED_VALUE"""),"No")</f>
        <v>No</v>
      </c>
      <c r="M3" s="30" t="str">
        <f ca="1">IFERROR(__xludf.DUMMYFUNCTION("""COMPUTED_VALUE"""),"2007010001")</f>
        <v>2007010001</v>
      </c>
      <c r="N3" s="30" t="str">
        <f ca="1">IFERROR(__xludf.DUMMYFUNCTION("""COMPUTED_VALUE"""),"FLORES")</f>
        <v>FLORES</v>
      </c>
      <c r="O3" s="30" t="str">
        <f ca="1">IFERROR(__xludf.DUMMYFUNCTION("""COMPUTED_VALUE"""),"27")</f>
        <v>27</v>
      </c>
      <c r="P3" s="30" t="str">
        <f ca="1">IFERROR(__xludf.DUMMYFUNCTION("""COMPUTED_VALUE"""),"COMUNA 7")</f>
        <v>COMUNA 7</v>
      </c>
      <c r="Q3" s="30" t="str">
        <f ca="1">IFERROR(__xludf.DUMMYFUNCTION("""COMPUTED_VALUE"""),"-34.6427988")</f>
        <v>-34.6427988</v>
      </c>
      <c r="R3" s="30" t="str">
        <f ca="1">IFERROR(__xludf.DUMMYFUNCTION("""COMPUTED_VALUE"""),"-58.4423665")</f>
        <v>-58.4423665</v>
      </c>
      <c r="S3" s="30" t="str">
        <f ca="1">IFERROR(__xludf.DUMMYFUNCTION("""COMPUTED_VALUE"""),"Municipal")</f>
        <v>Municipal</v>
      </c>
      <c r="T3" s="30" t="str">
        <f ca="1">IFERROR(__xludf.DUMMYFUNCTION("""COMPUTED_VALUE"""),"CABA")</f>
        <v>CABA</v>
      </c>
    </row>
    <row r="4" spans="1:20" ht="15" customHeight="1" x14ac:dyDescent="0.25">
      <c r="A4" s="30" t="str">
        <f ca="1">IFERROR(__xludf.DUMMYFUNCTION("""COMPUTED_VALUE"""),"50020012115353")</f>
        <v>50020012115353</v>
      </c>
      <c r="B4" s="30" t="str">
        <f ca="1">IFERROR(__xludf.DUMMYFUNCTION("""COMPUTED_VALUE"""),"CESAC Nº 2")</f>
        <v>CESAC Nº 2</v>
      </c>
      <c r="C4" s="30" t="str">
        <f ca="1">IFERROR(__xludf.DUMMYFUNCTION("""COMPUTED_VALUE"""),"CABA")</f>
        <v>CABA</v>
      </c>
      <c r="D4" s="30" t="str">
        <f ca="1">IFERROR(__xludf.DUMMYFUNCTION("""COMPUTED_VALUE"""),"2")</f>
        <v>2</v>
      </c>
      <c r="E4" s="30" t="str">
        <f ca="1">IFERROR(__xludf.DUMMYFUNCTION("""COMPUTED_VALUE"""),"")</f>
        <v/>
      </c>
      <c r="F4" s="29"/>
      <c r="G4" s="29"/>
      <c r="H4" s="30" t="str">
        <f ca="1">IFERROR(__xludf.DUMMYFUNCTION("""COMPUTED_VALUE"""),"inactivo")</f>
        <v>inactivo</v>
      </c>
      <c r="I4" s="30" t="str">
        <f ca="1">IFERROR(__xludf.DUMMYFUNCTION("""COMPUTED_VALUE"""),"fuera de la circular 2")</f>
        <v>fuera de la circular 2</v>
      </c>
      <c r="J4" s="29"/>
      <c r="K4" s="29"/>
      <c r="L4" s="30" t="str">
        <f ca="1">IFERROR(__xludf.DUMMYFUNCTION("""COMPUTED_VALUE"""),"No")</f>
        <v>No</v>
      </c>
      <c r="M4" s="30" t="str">
        <f ca="1">IFERROR(__xludf.DUMMYFUNCTION("""COMPUTED_VALUE"""),"2012010003")</f>
        <v>2012010003</v>
      </c>
      <c r="N4" s="30" t="str">
        <f ca="1">IFERROR(__xludf.DUMMYFUNCTION("""COMPUTED_VALUE"""),"VILLA PUEYRREDON")</f>
        <v>VILLA PUEYRREDON</v>
      </c>
      <c r="O4" s="30" t="str">
        <f ca="1">IFERROR(__xludf.DUMMYFUNCTION("""COMPUTED_VALUE"""),"212")</f>
        <v>212</v>
      </c>
      <c r="P4" s="30" t="str">
        <f ca="1">IFERROR(__xludf.DUMMYFUNCTION("""COMPUTED_VALUE"""),"COMUNA 12")</f>
        <v>COMUNA 12</v>
      </c>
      <c r="Q4" s="30" t="str">
        <f ca="1">IFERROR(__xludf.DUMMYFUNCTION("""COMPUTED_VALUE"""),"-34.5764837")</f>
        <v>-34.5764837</v>
      </c>
      <c r="R4" s="30" t="str">
        <f ca="1">IFERROR(__xludf.DUMMYFUNCTION("""COMPUTED_VALUE"""),"-58.5093206")</f>
        <v>-58.5093206</v>
      </c>
      <c r="S4" s="30" t="str">
        <f ca="1">IFERROR(__xludf.DUMMYFUNCTION("""COMPUTED_VALUE"""),"Municipal")</f>
        <v>Municipal</v>
      </c>
      <c r="T4" s="30" t="str">
        <f ca="1">IFERROR(__xludf.DUMMYFUNCTION("""COMPUTED_VALUE"""),"CABA")</f>
        <v>CABA</v>
      </c>
    </row>
    <row r="5" spans="1:20" ht="15" customHeight="1" x14ac:dyDescent="0.25">
      <c r="A5" s="30" t="str">
        <f ca="1">IFERROR(__xludf.DUMMYFUNCTION("""COMPUTED_VALUE"""),"50020012115354")</f>
        <v>50020012115354</v>
      </c>
      <c r="B5" s="30" t="str">
        <f ca="1">IFERROR(__xludf.DUMMYFUNCTION("""COMPUTED_VALUE"""),"CESAC Nº 20")</f>
        <v>CESAC Nº 20</v>
      </c>
      <c r="C5" s="30" t="str">
        <f ca="1">IFERROR(__xludf.DUMMYFUNCTION("""COMPUTED_VALUE"""),"CABA")</f>
        <v>CABA</v>
      </c>
      <c r="D5" s="30" t="str">
        <f ca="1">IFERROR(__xludf.DUMMYFUNCTION("""COMPUTED_VALUE"""),"2")</f>
        <v>2</v>
      </c>
      <c r="E5" s="30" t="str">
        <f ca="1">IFERROR(__xludf.DUMMYFUNCTION("""COMPUTED_VALUE"""),"")</f>
        <v/>
      </c>
      <c r="F5" s="29"/>
      <c r="G5" s="29"/>
      <c r="H5" s="30" t="str">
        <f ca="1">IFERROR(__xludf.DUMMYFUNCTION("""COMPUTED_VALUE"""),"inactivo")</f>
        <v>inactivo</v>
      </c>
      <c r="I5" s="30" t="str">
        <f ca="1">IFERROR(__xludf.DUMMYFUNCTION("""COMPUTED_VALUE"""),"fuera de la circular 2")</f>
        <v>fuera de la circular 2</v>
      </c>
      <c r="J5" s="29"/>
      <c r="K5" s="29"/>
      <c r="L5" s="30" t="str">
        <f ca="1">IFERROR(__xludf.DUMMYFUNCTION("""COMPUTED_VALUE"""),"No")</f>
        <v>No</v>
      </c>
      <c r="M5" s="30" t="str">
        <f ca="1">IFERROR(__xludf.DUMMYFUNCTION("""COMPUTED_VALUE"""),"2007010001")</f>
        <v>2007010001</v>
      </c>
      <c r="N5" s="30" t="str">
        <f ca="1">IFERROR(__xludf.DUMMYFUNCTION("""COMPUTED_VALUE"""),"FLORES")</f>
        <v>FLORES</v>
      </c>
      <c r="O5" s="30" t="str">
        <f ca="1">IFERROR(__xludf.DUMMYFUNCTION("""COMPUTED_VALUE"""),"27")</f>
        <v>27</v>
      </c>
      <c r="P5" s="30" t="str">
        <f ca="1">IFERROR(__xludf.DUMMYFUNCTION("""COMPUTED_VALUE"""),"COMUNA 7")</f>
        <v>COMUNA 7</v>
      </c>
      <c r="Q5" s="30" t="str">
        <f ca="1">IFERROR(__xludf.DUMMYFUNCTION("""COMPUTED_VALUE"""),"-34.6531177")</f>
        <v>-34.6531177</v>
      </c>
      <c r="R5" s="30" t="str">
        <f ca="1">IFERROR(__xludf.DUMMYFUNCTION("""COMPUTED_VALUE"""),"-58.4416297")</f>
        <v>-58.4416297</v>
      </c>
      <c r="S5" s="30" t="str">
        <f ca="1">IFERROR(__xludf.DUMMYFUNCTION("""COMPUTED_VALUE"""),"Municipal")</f>
        <v>Municipal</v>
      </c>
      <c r="T5" s="30" t="str">
        <f ca="1">IFERROR(__xludf.DUMMYFUNCTION("""COMPUTED_VALUE"""),"CABA")</f>
        <v>CABA</v>
      </c>
    </row>
    <row r="6" spans="1:20" ht="15" customHeight="1" x14ac:dyDescent="0.25">
      <c r="A6" s="30" t="str">
        <f ca="1">IFERROR(__xludf.DUMMYFUNCTION("""COMPUTED_VALUE"""),"50020012115355")</f>
        <v>50020012115355</v>
      </c>
      <c r="B6" s="30" t="str">
        <f ca="1">IFERROR(__xludf.DUMMYFUNCTION("""COMPUTED_VALUE"""),"CESAC Nº 21")</f>
        <v>CESAC Nº 21</v>
      </c>
      <c r="C6" s="30" t="str">
        <f ca="1">IFERROR(__xludf.DUMMYFUNCTION("""COMPUTED_VALUE"""),"CABA")</f>
        <v>CABA</v>
      </c>
      <c r="D6" s="30" t="str">
        <f ca="1">IFERROR(__xludf.DUMMYFUNCTION("""COMPUTED_VALUE"""),"2")</f>
        <v>2</v>
      </c>
      <c r="E6" s="30" t="str">
        <f ca="1">IFERROR(__xludf.DUMMYFUNCTION("""COMPUTED_VALUE"""),"")</f>
        <v/>
      </c>
      <c r="F6" s="29"/>
      <c r="G6" s="29"/>
      <c r="H6" s="30" t="str">
        <f ca="1">IFERROR(__xludf.DUMMYFUNCTION("""COMPUTED_VALUE"""),"inactivo")</f>
        <v>inactivo</v>
      </c>
      <c r="I6" s="30" t="str">
        <f ca="1">IFERROR(__xludf.DUMMYFUNCTION("""COMPUTED_VALUE"""),"fuera de la circular 2")</f>
        <v>fuera de la circular 2</v>
      </c>
      <c r="J6" s="29"/>
      <c r="K6" s="29"/>
      <c r="L6" s="30" t="str">
        <f ca="1">IFERROR(__xludf.DUMMYFUNCTION("""COMPUTED_VALUE"""),"No")</f>
        <v>No</v>
      </c>
      <c r="M6" s="30" t="str">
        <f ca="1">IFERROR(__xludf.DUMMYFUNCTION("""COMPUTED_VALUE"""),"2001010004")</f>
        <v>2001010004</v>
      </c>
      <c r="N6" s="30" t="str">
        <f ca="1">IFERROR(__xludf.DUMMYFUNCTION("""COMPUTED_VALUE"""),"RETIRO")</f>
        <v>RETIRO</v>
      </c>
      <c r="O6" s="30" t="str">
        <f ca="1">IFERROR(__xludf.DUMMYFUNCTION("""COMPUTED_VALUE"""),"21")</f>
        <v>21</v>
      </c>
      <c r="P6" s="30" t="str">
        <f ca="1">IFERROR(__xludf.DUMMYFUNCTION("""COMPUTED_VALUE"""),"COMUNA 1")</f>
        <v>COMUNA 1</v>
      </c>
      <c r="Q6" s="30" t="str">
        <f ca="1">IFERROR(__xludf.DUMMYFUNCTION("""COMPUTED_VALUE"""),"-34.58411103")</f>
        <v>-34.58411103</v>
      </c>
      <c r="R6" s="30" t="str">
        <f ca="1">IFERROR(__xludf.DUMMYFUNCTION("""COMPUTED_VALUE"""),"-58.3778286")</f>
        <v>-58.3778286</v>
      </c>
      <c r="S6" s="30" t="str">
        <f ca="1">IFERROR(__xludf.DUMMYFUNCTION("""COMPUTED_VALUE"""),"Municipal")</f>
        <v>Municipal</v>
      </c>
      <c r="T6" s="30" t="str">
        <f ca="1">IFERROR(__xludf.DUMMYFUNCTION("""COMPUTED_VALUE"""),"CABA")</f>
        <v>CABA</v>
      </c>
    </row>
    <row r="7" spans="1:20" ht="15" customHeight="1" x14ac:dyDescent="0.25">
      <c r="A7" s="30" t="str">
        <f ca="1">IFERROR(__xludf.DUMMYFUNCTION("""COMPUTED_VALUE"""),"50020012115374")</f>
        <v>50020012115374</v>
      </c>
      <c r="B7" s="30" t="str">
        <f ca="1">IFERROR(__xludf.DUMMYFUNCTION("""COMPUTED_VALUE"""),"CESAC Nº 40")</f>
        <v>CESAC Nº 40</v>
      </c>
      <c r="C7" s="30" t="str">
        <f ca="1">IFERROR(__xludf.DUMMYFUNCTION("""COMPUTED_VALUE"""),"CABA")</f>
        <v>CABA</v>
      </c>
      <c r="D7" s="30" t="str">
        <f ca="1">IFERROR(__xludf.DUMMYFUNCTION("""COMPUTED_VALUE"""),"2")</f>
        <v>2</v>
      </c>
      <c r="E7" s="30" t="str">
        <f ca="1">IFERROR(__xludf.DUMMYFUNCTION("""COMPUTED_VALUE"""),"")</f>
        <v/>
      </c>
      <c r="F7" s="29"/>
      <c r="G7" s="29"/>
      <c r="H7" s="30" t="str">
        <f ca="1">IFERROR(__xludf.DUMMYFUNCTION("""COMPUTED_VALUE"""),"inactivo")</f>
        <v>inactivo</v>
      </c>
      <c r="I7" s="30" t="str">
        <f ca="1">IFERROR(__xludf.DUMMYFUNCTION("""COMPUTED_VALUE"""),"fuera de la circular 2")</f>
        <v>fuera de la circular 2</v>
      </c>
      <c r="J7" s="29"/>
      <c r="K7" s="29"/>
      <c r="L7" s="30" t="str">
        <f ca="1">IFERROR(__xludf.DUMMYFUNCTION("""COMPUTED_VALUE"""),"No")</f>
        <v>No</v>
      </c>
      <c r="M7" s="30" t="str">
        <f ca="1">IFERROR(__xludf.DUMMYFUNCTION("""COMPUTED_VALUE"""),"2007010001")</f>
        <v>2007010001</v>
      </c>
      <c r="N7" s="30" t="str">
        <f ca="1">IFERROR(__xludf.DUMMYFUNCTION("""COMPUTED_VALUE"""),"FLORES")</f>
        <v>FLORES</v>
      </c>
      <c r="O7" s="30" t="str">
        <f ca="1">IFERROR(__xludf.DUMMYFUNCTION("""COMPUTED_VALUE"""),"27")</f>
        <v>27</v>
      </c>
      <c r="P7" s="30" t="str">
        <f ca="1">IFERROR(__xludf.DUMMYFUNCTION("""COMPUTED_VALUE"""),"COMUNA 7")</f>
        <v>COMUNA 7</v>
      </c>
      <c r="Q7" s="30" t="str">
        <f ca="1">IFERROR(__xludf.DUMMYFUNCTION("""COMPUTED_VALUE"""),"-34.64503627")</f>
        <v>-34.64503627</v>
      </c>
      <c r="R7" s="30" t="str">
        <f ca="1">IFERROR(__xludf.DUMMYFUNCTION("""COMPUTED_VALUE"""),"-58.44511986")</f>
        <v>-58.44511986</v>
      </c>
      <c r="S7" s="30" t="str">
        <f ca="1">IFERROR(__xludf.DUMMYFUNCTION("""COMPUTED_VALUE"""),"Municipal")</f>
        <v>Municipal</v>
      </c>
      <c r="T7" s="30" t="str">
        <f ca="1">IFERROR(__xludf.DUMMYFUNCTION("""COMPUTED_VALUE"""),"CABA")</f>
        <v>CABA</v>
      </c>
    </row>
    <row r="8" spans="1:20" ht="15" customHeight="1" x14ac:dyDescent="0.25">
      <c r="A8" s="30" t="str">
        <f ca="1">IFERROR(__xludf.DUMMYFUNCTION("""COMPUTED_VALUE"""),"50020012115377")</f>
        <v>50020012115377</v>
      </c>
      <c r="B8" s="30" t="str">
        <f ca="1">IFERROR(__xludf.DUMMYFUNCTION("""COMPUTED_VALUE"""),"CESAC Nº 6")</f>
        <v>CESAC Nº 6</v>
      </c>
      <c r="C8" s="30" t="str">
        <f ca="1">IFERROR(__xludf.DUMMYFUNCTION("""COMPUTED_VALUE"""),"CABA")</f>
        <v>CABA</v>
      </c>
      <c r="D8" s="30" t="str">
        <f ca="1">IFERROR(__xludf.DUMMYFUNCTION("""COMPUTED_VALUE"""),"2")</f>
        <v>2</v>
      </c>
      <c r="E8" s="30" t="str">
        <f ca="1">IFERROR(__xludf.DUMMYFUNCTION("""COMPUTED_VALUE"""),"")</f>
        <v/>
      </c>
      <c r="F8" s="29"/>
      <c r="G8" s="29"/>
      <c r="H8" s="30" t="str">
        <f ca="1">IFERROR(__xludf.DUMMYFUNCTION("""COMPUTED_VALUE"""),"inactivo")</f>
        <v>inactivo</v>
      </c>
      <c r="I8" s="30" t="str">
        <f ca="1">IFERROR(__xludf.DUMMYFUNCTION("""COMPUTED_VALUE"""),"fuera de la circular 2")</f>
        <v>fuera de la circular 2</v>
      </c>
      <c r="J8" s="29"/>
      <c r="K8" s="29"/>
      <c r="L8" s="30" t="str">
        <f ca="1">IFERROR(__xludf.DUMMYFUNCTION("""COMPUTED_VALUE"""),"No")</f>
        <v>No</v>
      </c>
      <c r="M8" s="30" t="str">
        <f ca="1">IFERROR(__xludf.DUMMYFUNCTION("""COMPUTED_VALUE"""),"2008010003")</f>
        <v>2008010003</v>
      </c>
      <c r="N8" s="30" t="str">
        <f ca="1">IFERROR(__xludf.DUMMYFUNCTION("""COMPUTED_VALUE"""),"VILLA SOLDATI")</f>
        <v>VILLA SOLDATI</v>
      </c>
      <c r="O8" s="30" t="str">
        <f ca="1">IFERROR(__xludf.DUMMYFUNCTION("""COMPUTED_VALUE"""),"28")</f>
        <v>28</v>
      </c>
      <c r="P8" s="30" t="str">
        <f ca="1">IFERROR(__xludf.DUMMYFUNCTION("""COMPUTED_VALUE"""),"COMUNA 8")</f>
        <v>COMUNA 8</v>
      </c>
      <c r="Q8" s="30" t="str">
        <f ca="1">IFERROR(__xludf.DUMMYFUNCTION("""COMPUTED_VALUE"""),"-34.66653484")</f>
        <v>-34.66653484</v>
      </c>
      <c r="R8" s="30" t="str">
        <f ca="1">IFERROR(__xludf.DUMMYFUNCTION("""COMPUTED_VALUE"""),"-58.44138622")</f>
        <v>-58.44138622</v>
      </c>
      <c r="S8" s="30" t="str">
        <f ca="1">IFERROR(__xludf.DUMMYFUNCTION("""COMPUTED_VALUE"""),"Municipal")</f>
        <v>Municipal</v>
      </c>
      <c r="T8" s="30" t="str">
        <f ca="1">IFERROR(__xludf.DUMMYFUNCTION("""COMPUTED_VALUE"""),"CABA")</f>
        <v>CABA</v>
      </c>
    </row>
    <row r="9" spans="1:20" ht="15" customHeight="1" x14ac:dyDescent="0.25">
      <c r="A9" s="30" t="str">
        <f ca="1">IFERROR(__xludf.DUMMYFUNCTION("""COMPUTED_VALUE"""),"50020012115380")</f>
        <v>50020012115380</v>
      </c>
      <c r="B9" s="30" t="str">
        <f ca="1">IFERROR(__xludf.DUMMYFUNCTION("""COMPUTED_VALUE"""),"CESAC Nº 9")</f>
        <v>CESAC Nº 9</v>
      </c>
      <c r="C9" s="30" t="str">
        <f ca="1">IFERROR(__xludf.DUMMYFUNCTION("""COMPUTED_VALUE"""),"CABA")</f>
        <v>CABA</v>
      </c>
      <c r="D9" s="30" t="str">
        <f ca="1">IFERROR(__xludf.DUMMYFUNCTION("""COMPUTED_VALUE"""),"2")</f>
        <v>2</v>
      </c>
      <c r="E9" s="30" t="str">
        <f ca="1">IFERROR(__xludf.DUMMYFUNCTION("""COMPUTED_VALUE"""),"")</f>
        <v/>
      </c>
      <c r="F9" s="29"/>
      <c r="G9" s="29"/>
      <c r="H9" s="30" t="str">
        <f ca="1">IFERROR(__xludf.DUMMYFUNCTION("""COMPUTED_VALUE"""),"inactivo")</f>
        <v>inactivo</v>
      </c>
      <c r="I9" s="30" t="str">
        <f ca="1">IFERROR(__xludf.DUMMYFUNCTION("""COMPUTED_VALUE"""),"fuera de la circular 2")</f>
        <v>fuera de la circular 2</v>
      </c>
      <c r="J9" s="29"/>
      <c r="K9" s="29"/>
      <c r="L9" s="30" t="str">
        <f ca="1">IFERROR(__xludf.DUMMYFUNCTION("""COMPUTED_VALUE"""),"No")</f>
        <v>No</v>
      </c>
      <c r="M9" s="30" t="str">
        <f ca="1">IFERROR(__xludf.DUMMYFUNCTION("""COMPUTED_VALUE"""),"2004010002")</f>
        <v>2004010002</v>
      </c>
      <c r="N9" s="30" t="str">
        <f ca="1">IFERROR(__xludf.DUMMYFUNCTION("""COMPUTED_VALUE"""),"BOCA")</f>
        <v>BOCA</v>
      </c>
      <c r="O9" s="30" t="str">
        <f ca="1">IFERROR(__xludf.DUMMYFUNCTION("""COMPUTED_VALUE"""),"24")</f>
        <v>24</v>
      </c>
      <c r="P9" s="30" t="str">
        <f ca="1">IFERROR(__xludf.DUMMYFUNCTION("""COMPUTED_VALUE"""),"COMUNA 4")</f>
        <v>COMUNA 4</v>
      </c>
      <c r="Q9" s="30" t="str">
        <f ca="1">IFERROR(__xludf.DUMMYFUNCTION("""COMPUTED_VALUE"""),"-34.64012859")</f>
        <v>-34.64012859</v>
      </c>
      <c r="R9" s="30" t="str">
        <f ca="1">IFERROR(__xludf.DUMMYFUNCTION("""COMPUTED_VALUE"""),"-58.36611271")</f>
        <v>-58.36611271</v>
      </c>
      <c r="S9" s="30" t="str">
        <f ca="1">IFERROR(__xludf.DUMMYFUNCTION("""COMPUTED_VALUE"""),"Municipal")</f>
        <v>Municipal</v>
      </c>
      <c r="T9" s="30" t="str">
        <f ca="1">IFERROR(__xludf.DUMMYFUNCTION("""COMPUTED_VALUE"""),"CABA")</f>
        <v>CABA</v>
      </c>
    </row>
    <row r="10" spans="1:20" ht="15" customHeight="1" x14ac:dyDescent="0.25">
      <c r="A10" s="30" t="str">
        <f ca="1">IFERROR(__xludf.DUMMYFUNCTION("""COMPUTED_VALUE"""),"50020082218914")</f>
        <v>50020082218914</v>
      </c>
      <c r="B10" s="30" t="str">
        <f ca="1">IFERROR(__xludf.DUMMYFUNCTION("""COMPUTED_VALUE"""),"HOSPITAL CECILIA GRIERSON - CENTRO DE SALUD INTEGRAL")</f>
        <v>HOSPITAL CECILIA GRIERSON - CENTRO DE SALUD INTEGRAL</v>
      </c>
      <c r="C10" s="30" t="str">
        <f ca="1">IFERROR(__xludf.DUMMYFUNCTION("""COMPUTED_VALUE"""),"CABA")</f>
        <v>CABA</v>
      </c>
      <c r="D10" s="30" t="str">
        <f ca="1">IFERROR(__xludf.DUMMYFUNCTION("""COMPUTED_VALUE"""),"2")</f>
        <v>2</v>
      </c>
      <c r="E10" s="30" t="str">
        <f ca="1">IFERROR(__xludf.DUMMYFUNCTION("""COMPUTED_VALUE"""),"")</f>
        <v/>
      </c>
      <c r="F10" s="29"/>
      <c r="G10" s="29"/>
      <c r="H10" s="30" t="str">
        <f ca="1">IFERROR(__xludf.DUMMYFUNCTION("""COMPUTED_VALUE"""),"inactivo")</f>
        <v>inactivo</v>
      </c>
      <c r="I10" s="30" t="str">
        <f ca="1">IFERROR(__xludf.DUMMYFUNCTION("""COMPUTED_VALUE"""),"fuera de la circular 2")</f>
        <v>fuera de la circular 2</v>
      </c>
      <c r="J10" s="29"/>
      <c r="K10" s="29"/>
      <c r="L10" s="30" t="str">
        <f ca="1">IFERROR(__xludf.DUMMYFUNCTION("""COMPUTED_VALUE"""),"No")</f>
        <v>No</v>
      </c>
      <c r="M10" s="30" t="str">
        <f ca="1">IFERROR(__xludf.DUMMYFUNCTION("""COMPUTED_VALUE"""),"2008010003")</f>
        <v>2008010003</v>
      </c>
      <c r="N10" s="30" t="str">
        <f ca="1">IFERROR(__xludf.DUMMYFUNCTION("""COMPUTED_VALUE"""),"VILLA SOLDATI")</f>
        <v>VILLA SOLDATI</v>
      </c>
      <c r="O10" s="30" t="str">
        <f ca="1">IFERROR(__xludf.DUMMYFUNCTION("""COMPUTED_VALUE"""),"28")</f>
        <v>28</v>
      </c>
      <c r="P10" s="30" t="str">
        <f ca="1">IFERROR(__xludf.DUMMYFUNCTION("""COMPUTED_VALUE"""),"COMUNA 8")</f>
        <v>COMUNA 8</v>
      </c>
      <c r="Q10" s="30" t="str">
        <f ca="1">IFERROR(__xludf.DUMMYFUNCTION("""COMPUTED_VALUE"""),"-34.6737219")</f>
        <v>-34.6737219</v>
      </c>
      <c r="R10" s="30" t="str">
        <f ca="1">IFERROR(__xludf.DUMMYFUNCTION("""COMPUTED_VALUE"""),"-58.4591439")</f>
        <v>-58.4591439</v>
      </c>
      <c r="S10" s="30" t="str">
        <f ca="1">IFERROR(__xludf.DUMMYFUNCTION("""COMPUTED_VALUE"""),"Municipal")</f>
        <v>Municipal</v>
      </c>
      <c r="T10" s="30" t="str">
        <f ca="1">IFERROR(__xludf.DUMMYFUNCTION("""COMPUTED_VALUE"""),"CABA")</f>
        <v>CABA</v>
      </c>
    </row>
    <row r="11" spans="1:20" ht="15" customHeight="1" x14ac:dyDescent="0.25">
      <c r="A11" s="30" t="str">
        <f ca="1">IFERROR(__xludf.DUMMYFUNCTION("""COMPUTED_VALUE"""),"50020012117481")</f>
        <v>50020012117481</v>
      </c>
      <c r="B11" s="30" t="str">
        <f ca="1">IFERROR(__xludf.DUMMYFUNCTION("""COMPUTED_VALUE"""),"CESAC Nº 44")</f>
        <v>CESAC Nº 44</v>
      </c>
      <c r="C11" s="30" t="str">
        <f ca="1">IFERROR(__xludf.DUMMYFUNCTION("""COMPUTED_VALUE"""),"CABA")</f>
        <v>CABA</v>
      </c>
      <c r="D11" s="30" t="str">
        <f ca="1">IFERROR(__xludf.DUMMYFUNCTION("""COMPUTED_VALUE"""),"2")</f>
        <v>2</v>
      </c>
      <c r="E11" s="30" t="str">
        <f ca="1">IFERROR(__xludf.DUMMYFUNCTION("""COMPUTED_VALUE"""),"")</f>
        <v/>
      </c>
      <c r="F11" s="29"/>
      <c r="G11" s="29"/>
      <c r="H11" s="30" t="str">
        <f ca="1">IFERROR(__xludf.DUMMYFUNCTION("""COMPUTED_VALUE"""),"inactivo")</f>
        <v>inactivo</v>
      </c>
      <c r="I11" s="30" t="str">
        <f ca="1">IFERROR(__xludf.DUMMYFUNCTION("""COMPUTED_VALUE"""),"fuera de la circular 2")</f>
        <v>fuera de la circular 2</v>
      </c>
      <c r="J11" s="29"/>
      <c r="K11" s="29"/>
      <c r="L11" s="30" t="str">
        <f ca="1">IFERROR(__xludf.DUMMYFUNCTION("""COMPUTED_VALUE"""),"No")</f>
        <v>No</v>
      </c>
      <c r="M11" s="30" t="str">
        <f ca="1">IFERROR(__xludf.DUMMYFUNCTION("""COMPUTED_VALUE"""),"2008010001")</f>
        <v>2008010001</v>
      </c>
      <c r="N11" s="30" t="str">
        <f ca="1">IFERROR(__xludf.DUMMYFUNCTION("""COMPUTED_VALUE"""),"VILLA LUGANO")</f>
        <v>VILLA LUGANO</v>
      </c>
      <c r="O11" s="30" t="str">
        <f ca="1">IFERROR(__xludf.DUMMYFUNCTION("""COMPUTED_VALUE"""),"28")</f>
        <v>28</v>
      </c>
      <c r="P11" s="30" t="str">
        <f ca="1">IFERROR(__xludf.DUMMYFUNCTION("""COMPUTED_VALUE"""),"COMUNA 8")</f>
        <v>COMUNA 8</v>
      </c>
      <c r="Q11" s="30" t="str">
        <f ca="1">IFERROR(__xludf.DUMMYFUNCTION("""COMPUTED_VALUE"""),"-34.653121")</f>
        <v>-34.653121</v>
      </c>
      <c r="R11" s="30" t="str">
        <f ca="1">IFERROR(__xludf.DUMMYFUNCTION("""COMPUTED_VALUE"""),"-58.461342")</f>
        <v>-58.461342</v>
      </c>
      <c r="S11" s="30" t="str">
        <f ca="1">IFERROR(__xludf.DUMMYFUNCTION("""COMPUTED_VALUE"""),"Municipal")</f>
        <v>Municipal</v>
      </c>
      <c r="T11" s="30" t="str">
        <f ca="1">IFERROR(__xludf.DUMMYFUNCTION("""COMPUTED_VALUE"""),"CABA")</f>
        <v>CABA</v>
      </c>
    </row>
    <row r="12" spans="1:20" ht="15" customHeight="1" x14ac:dyDescent="0.25">
      <c r="A12" s="30" t="str">
        <f ca="1">IFERROR(__xludf.DUMMYFUNCTION("""COMPUTED_VALUE"""),"50020012115343")</f>
        <v>50020012115343</v>
      </c>
      <c r="B12" s="30" t="str">
        <f ca="1">IFERROR(__xludf.DUMMYFUNCTION("""COMPUTED_VALUE"""),"CESAC Nº 1")</f>
        <v>CESAC Nº 1</v>
      </c>
      <c r="C12" s="30" t="str">
        <f ca="1">IFERROR(__xludf.DUMMYFUNCTION("""COMPUTED_VALUE"""),"CABA")</f>
        <v>CABA</v>
      </c>
      <c r="D12" s="30" t="str">
        <f ca="1">IFERROR(__xludf.DUMMYFUNCTION("""COMPUTED_VALUE"""),"2")</f>
        <v>2</v>
      </c>
      <c r="E12" s="30" t="str">
        <f ca="1">IFERROR(__xludf.DUMMYFUNCTION("""COMPUTED_VALUE"""),"")</f>
        <v/>
      </c>
      <c r="F12" s="29"/>
      <c r="G12" s="29"/>
      <c r="H12" s="30" t="str">
        <f ca="1">IFERROR(__xludf.DUMMYFUNCTION("""COMPUTED_VALUE"""),"activo")</f>
        <v>activo</v>
      </c>
      <c r="I12" s="29"/>
      <c r="J12" s="29"/>
      <c r="K12" s="29"/>
      <c r="L12" s="30" t="str">
        <f ca="1">IFERROR(__xludf.DUMMYFUNCTION("""COMPUTED_VALUE"""),"No")</f>
        <v>No</v>
      </c>
      <c r="M12" s="30" t="str">
        <f ca="1">IFERROR(__xludf.DUMMYFUNCTION("""COMPUTED_VALUE"""),"2004010001")</f>
        <v>2004010001</v>
      </c>
      <c r="N12" s="30" t="str">
        <f ca="1">IFERROR(__xludf.DUMMYFUNCTION("""COMPUTED_VALUE"""),"BARRACAS")</f>
        <v>BARRACAS</v>
      </c>
      <c r="O12" s="30" t="str">
        <f ca="1">IFERROR(__xludf.DUMMYFUNCTION("""COMPUTED_VALUE"""),"24")</f>
        <v>24</v>
      </c>
      <c r="P12" s="30" t="str">
        <f ca="1">IFERROR(__xludf.DUMMYFUNCTION("""COMPUTED_VALUE"""),"COMUNA 4")</f>
        <v>COMUNA 4</v>
      </c>
      <c r="Q12" s="30" t="str">
        <f ca="1">IFERROR(__xludf.DUMMYFUNCTION("""COMPUTED_VALUE"""),"-34.64908754")</f>
        <v>-34.64908754</v>
      </c>
      <c r="R12" s="30" t="str">
        <f ca="1">IFERROR(__xludf.DUMMYFUNCTION("""COMPUTED_VALUE"""),"-58.38919044")</f>
        <v>-58.38919044</v>
      </c>
      <c r="S12" s="30" t="str">
        <f ca="1">IFERROR(__xludf.DUMMYFUNCTION("""COMPUTED_VALUE"""),"Municipal")</f>
        <v>Municipal</v>
      </c>
      <c r="T12" s="30" t="str">
        <f ca="1">IFERROR(__xludf.DUMMYFUNCTION("""COMPUTED_VALUE"""),"CABA")</f>
        <v>CABA</v>
      </c>
    </row>
    <row r="13" spans="1:20" ht="15" customHeight="1" x14ac:dyDescent="0.25">
      <c r="A13" s="30" t="str">
        <f ca="1">IFERROR(__xludf.DUMMYFUNCTION("""COMPUTED_VALUE"""),"50020012115347")</f>
        <v>50020012115347</v>
      </c>
      <c r="B13" s="30" t="str">
        <f ca="1">IFERROR(__xludf.DUMMYFUNCTION("""COMPUTED_VALUE"""),"CESAC Nº 13")</f>
        <v>CESAC Nº 13</v>
      </c>
      <c r="C13" s="30" t="str">
        <f ca="1">IFERROR(__xludf.DUMMYFUNCTION("""COMPUTED_VALUE"""),"CABA")</f>
        <v>CABA</v>
      </c>
      <c r="D13" s="30" t="str">
        <f ca="1">IFERROR(__xludf.DUMMYFUNCTION("""COMPUTED_VALUE"""),"2")</f>
        <v>2</v>
      </c>
      <c r="E13" s="30" t="str">
        <f ca="1">IFERROR(__xludf.DUMMYFUNCTION("""COMPUTED_VALUE"""),"")</f>
        <v/>
      </c>
      <c r="F13" s="29"/>
      <c r="G13" s="29"/>
      <c r="H13" s="30" t="str">
        <f ca="1">IFERROR(__xludf.DUMMYFUNCTION("""COMPUTED_VALUE"""),"activo")</f>
        <v>activo</v>
      </c>
      <c r="I13" s="29"/>
      <c r="J13" s="29"/>
      <c r="K13" s="29"/>
      <c r="L13" s="30" t="str">
        <f ca="1">IFERROR(__xludf.DUMMYFUNCTION("""COMPUTED_VALUE"""),"No")</f>
        <v>No</v>
      </c>
      <c r="M13" s="30" t="str">
        <f ca="1">IFERROR(__xludf.DUMMYFUNCTION("""COMPUTED_VALUE"""),"2009010003")</f>
        <v>2009010003</v>
      </c>
      <c r="N13" s="30" t="str">
        <f ca="1">IFERROR(__xludf.DUMMYFUNCTION("""COMPUTED_VALUE"""),"PARQUE AVELLANEDA")</f>
        <v>PARQUE AVELLANEDA</v>
      </c>
      <c r="O13" s="30" t="str">
        <f ca="1">IFERROR(__xludf.DUMMYFUNCTION("""COMPUTED_VALUE"""),"29")</f>
        <v>29</v>
      </c>
      <c r="P13" s="30" t="str">
        <f ca="1">IFERROR(__xludf.DUMMYFUNCTION("""COMPUTED_VALUE"""),"COMUNA 9")</f>
        <v>COMUNA 9</v>
      </c>
      <c r="Q13" s="30" t="str">
        <f ca="1">IFERROR(__xludf.DUMMYFUNCTION("""COMPUTED_VALUE"""),"-34.6433989")</f>
        <v>-34.6433989</v>
      </c>
      <c r="R13" s="30" t="str">
        <f ca="1">IFERROR(__xludf.DUMMYFUNCTION("""COMPUTED_VALUE"""),"-58.48183")</f>
        <v>-58.48183</v>
      </c>
      <c r="S13" s="30" t="str">
        <f ca="1">IFERROR(__xludf.DUMMYFUNCTION("""COMPUTED_VALUE"""),"Municipal")</f>
        <v>Municipal</v>
      </c>
      <c r="T13" s="30" t="str">
        <f ca="1">IFERROR(__xludf.DUMMYFUNCTION("""COMPUTED_VALUE"""),"CABA")</f>
        <v>CABA</v>
      </c>
    </row>
    <row r="14" spans="1:20" ht="15" customHeight="1" x14ac:dyDescent="0.25">
      <c r="A14" s="30" t="str">
        <f ca="1">IFERROR(__xludf.DUMMYFUNCTION("""COMPUTED_VALUE"""),"50020012115351")</f>
        <v>50020012115351</v>
      </c>
      <c r="B14" s="30" t="str">
        <f ca="1">IFERROR(__xludf.DUMMYFUNCTION("""COMPUTED_VALUE"""),"CESAC Nº 18")</f>
        <v>CESAC Nº 18</v>
      </c>
      <c r="C14" s="30" t="str">
        <f ca="1">IFERROR(__xludf.DUMMYFUNCTION("""COMPUTED_VALUE"""),"CABA")</f>
        <v>CABA</v>
      </c>
      <c r="D14" s="30" t="str">
        <f ca="1">IFERROR(__xludf.DUMMYFUNCTION("""COMPUTED_VALUE"""),"2")</f>
        <v>2</v>
      </c>
      <c r="E14" s="30" t="str">
        <f ca="1">IFERROR(__xludf.DUMMYFUNCTION("""COMPUTED_VALUE"""),"")</f>
        <v/>
      </c>
      <c r="F14" s="29"/>
      <c r="G14" s="29"/>
      <c r="H14" s="30" t="str">
        <f ca="1">IFERROR(__xludf.DUMMYFUNCTION("""COMPUTED_VALUE"""),"activo")</f>
        <v>activo</v>
      </c>
      <c r="I14" s="29"/>
      <c r="J14" s="29"/>
      <c r="K14" s="29"/>
      <c r="L14" s="30" t="str">
        <f ca="1">IFERROR(__xludf.DUMMYFUNCTION("""COMPUTED_VALUE"""),"No")</f>
        <v>No</v>
      </c>
      <c r="M14" s="30" t="str">
        <f ca="1">IFERROR(__xludf.DUMMYFUNCTION("""COMPUTED_VALUE"""),"2008010001")</f>
        <v>2008010001</v>
      </c>
      <c r="N14" s="30" t="str">
        <f ca="1">IFERROR(__xludf.DUMMYFUNCTION("""COMPUTED_VALUE"""),"VILLA LUGANO")</f>
        <v>VILLA LUGANO</v>
      </c>
      <c r="O14" s="30" t="str">
        <f ca="1">IFERROR(__xludf.DUMMYFUNCTION("""COMPUTED_VALUE"""),"28")</f>
        <v>28</v>
      </c>
      <c r="P14" s="30" t="str">
        <f ca="1">IFERROR(__xludf.DUMMYFUNCTION("""COMPUTED_VALUE"""),"COMUNA 8")</f>
        <v>COMUNA 8</v>
      </c>
      <c r="Q14" s="30" t="str">
        <f ca="1">IFERROR(__xludf.DUMMYFUNCTION("""COMPUTED_VALUE"""),"-34.67415862")</f>
        <v>-34.67415862</v>
      </c>
      <c r="R14" s="30" t="str">
        <f ca="1">IFERROR(__xludf.DUMMYFUNCTION("""COMPUTED_VALUE"""),"-58.46756458")</f>
        <v>-58.46756458</v>
      </c>
      <c r="S14" s="30" t="str">
        <f ca="1">IFERROR(__xludf.DUMMYFUNCTION("""COMPUTED_VALUE"""),"Municipal")</f>
        <v>Municipal</v>
      </c>
      <c r="T14" s="30" t="str">
        <f ca="1">IFERROR(__xludf.DUMMYFUNCTION("""COMPUTED_VALUE"""),"CABA")</f>
        <v>CABA</v>
      </c>
    </row>
    <row r="15" spans="1:20" ht="15" customHeight="1" x14ac:dyDescent="0.25">
      <c r="A15" s="30" t="str">
        <f ca="1">IFERROR(__xludf.DUMMYFUNCTION("""COMPUTED_VALUE"""),"50020012115358")</f>
        <v>50020012115358</v>
      </c>
      <c r="B15" s="30" t="str">
        <f ca="1">IFERROR(__xludf.DUMMYFUNCTION("""COMPUTED_VALUE"""),"CESAC Nº 24")</f>
        <v>CESAC Nº 24</v>
      </c>
      <c r="C15" s="30" t="str">
        <f ca="1">IFERROR(__xludf.DUMMYFUNCTION("""COMPUTED_VALUE"""),"CABA")</f>
        <v>CABA</v>
      </c>
      <c r="D15" s="30" t="str">
        <f ca="1">IFERROR(__xludf.DUMMYFUNCTION("""COMPUTED_VALUE"""),"2")</f>
        <v>2</v>
      </c>
      <c r="E15" s="30" t="str">
        <f ca="1">IFERROR(__xludf.DUMMYFUNCTION("""COMPUTED_VALUE"""),"")</f>
        <v/>
      </c>
      <c r="F15" s="29"/>
      <c r="G15" s="29"/>
      <c r="H15" s="30" t="str">
        <f ca="1">IFERROR(__xludf.DUMMYFUNCTION("""COMPUTED_VALUE"""),"activo")</f>
        <v>activo</v>
      </c>
      <c r="I15" s="29"/>
      <c r="J15" s="29"/>
      <c r="K15" s="29"/>
      <c r="L15" s="30" t="str">
        <f ca="1">IFERROR(__xludf.DUMMYFUNCTION("""COMPUTED_VALUE"""),"No")</f>
        <v>No</v>
      </c>
      <c r="M15" s="30" t="str">
        <f ca="1">IFERROR(__xludf.DUMMYFUNCTION("""COMPUTED_VALUE"""),"2008010001")</f>
        <v>2008010001</v>
      </c>
      <c r="N15" s="30" t="str">
        <f ca="1">IFERROR(__xludf.DUMMYFUNCTION("""COMPUTED_VALUE"""),"VILLA LUGANO")</f>
        <v>VILLA LUGANO</v>
      </c>
      <c r="O15" s="30" t="str">
        <f ca="1">IFERROR(__xludf.DUMMYFUNCTION("""COMPUTED_VALUE"""),"28")</f>
        <v>28</v>
      </c>
      <c r="P15" s="30" t="str">
        <f ca="1">IFERROR(__xludf.DUMMYFUNCTION("""COMPUTED_VALUE"""),"COMUNA 8")</f>
        <v>COMUNA 8</v>
      </c>
      <c r="Q15" s="30" t="str">
        <f ca="1">IFERROR(__xludf.DUMMYFUNCTION("""COMPUTED_VALUE"""),"-34.66487588")</f>
        <v>-34.66487588</v>
      </c>
      <c r="R15" s="30" t="str">
        <f ca="1">IFERROR(__xludf.DUMMYFUNCTION("""COMPUTED_VALUE"""),"-58.47099781")</f>
        <v>-58.47099781</v>
      </c>
      <c r="S15" s="30" t="str">
        <f ca="1">IFERROR(__xludf.DUMMYFUNCTION("""COMPUTED_VALUE"""),"Municipal")</f>
        <v>Municipal</v>
      </c>
      <c r="T15" s="30" t="str">
        <f ca="1">IFERROR(__xludf.DUMMYFUNCTION("""COMPUTED_VALUE"""),"CABA")</f>
        <v>CABA</v>
      </c>
    </row>
    <row r="16" spans="1:20" ht="15" customHeight="1" x14ac:dyDescent="0.25">
      <c r="A16" s="30" t="str">
        <f ca="1">IFERROR(__xludf.DUMMYFUNCTION("""COMPUTED_VALUE"""),"50020012115359")</f>
        <v>50020012115359</v>
      </c>
      <c r="B16" s="30" t="str">
        <f ca="1">IFERROR(__xludf.DUMMYFUNCTION("""COMPUTED_VALUE"""),"CESAC Nº 26")</f>
        <v>CESAC Nº 26</v>
      </c>
      <c r="C16" s="30" t="str">
        <f ca="1">IFERROR(__xludf.DUMMYFUNCTION("""COMPUTED_VALUE"""),"CABA")</f>
        <v>CABA</v>
      </c>
      <c r="D16" s="30" t="str">
        <f ca="1">IFERROR(__xludf.DUMMYFUNCTION("""COMPUTED_VALUE"""),"2")</f>
        <v>2</v>
      </c>
      <c r="E16" s="30" t="str">
        <f ca="1">IFERROR(__xludf.DUMMYFUNCTION("""COMPUTED_VALUE"""),"")</f>
        <v/>
      </c>
      <c r="F16" s="29"/>
      <c r="G16" s="30" t="str">
        <f ca="1">IFERROR(__xludf.DUMMYFUNCTION("""COMPUTED_VALUE"""),"50020012115356")</f>
        <v>50020012115356</v>
      </c>
      <c r="H16" s="30" t="str">
        <f ca="1">IFERROR(__xludf.DUMMYFUNCTION("""COMPUTED_VALUE"""),"inactivo")</f>
        <v>inactivo</v>
      </c>
      <c r="I16" s="29"/>
      <c r="J16" s="29"/>
      <c r="K16" s="29"/>
      <c r="L16" s="30" t="str">
        <f ca="1">IFERROR(__xludf.DUMMYFUNCTION("""COMPUTED_VALUE"""),"No")</f>
        <v>No</v>
      </c>
      <c r="M16" s="30" t="str">
        <f ca="1">IFERROR(__xludf.DUMMYFUNCTION("""COMPUTED_VALUE"""),"2014010001")</f>
        <v>2014010001</v>
      </c>
      <c r="N16" s="30" t="str">
        <f ca="1">IFERROR(__xludf.DUMMYFUNCTION("""COMPUTED_VALUE"""),"PALERMO")</f>
        <v>PALERMO</v>
      </c>
      <c r="O16" s="30" t="str">
        <f ca="1">IFERROR(__xludf.DUMMYFUNCTION("""COMPUTED_VALUE"""),"214")</f>
        <v>214</v>
      </c>
      <c r="P16" s="30" t="str">
        <f ca="1">IFERROR(__xludf.DUMMYFUNCTION("""COMPUTED_VALUE"""),"COMUNA 14")</f>
        <v>COMUNA 14</v>
      </c>
      <c r="Q16" s="30" t="str">
        <f ca="1">IFERROR(__xludf.DUMMYFUNCTION("""COMPUTED_VALUE"""),"-34.587182")</f>
        <v>-34.587182</v>
      </c>
      <c r="R16" s="30" t="str">
        <f ca="1">IFERROR(__xludf.DUMMYFUNCTION("""COMPUTED_VALUE"""),"-58.4258331")</f>
        <v>-58.4258331</v>
      </c>
      <c r="S16" s="30" t="str">
        <f ca="1">IFERROR(__xludf.DUMMYFUNCTION("""COMPUTED_VALUE"""),"Municipal")</f>
        <v>Municipal</v>
      </c>
      <c r="T16" s="30" t="str">
        <f ca="1">IFERROR(__xludf.DUMMYFUNCTION("""COMPUTED_VALUE"""),"CABA")</f>
        <v>CABA</v>
      </c>
    </row>
    <row r="17" spans="1:20" ht="15" customHeight="1" x14ac:dyDescent="0.25">
      <c r="A17" s="30" t="str">
        <f ca="1">IFERROR(__xludf.DUMMYFUNCTION("""COMPUTED_VALUE"""),"50020012115356")</f>
        <v>50020012115356</v>
      </c>
      <c r="B17" s="30" t="str">
        <f ca="1">IFERROR(__xludf.DUMMYFUNCTION("""COMPUTED_VALUE"""),"CESAC Nº 22")</f>
        <v>CESAC Nº 22</v>
      </c>
      <c r="C17" s="30" t="str">
        <f ca="1">IFERROR(__xludf.DUMMYFUNCTION("""COMPUTED_VALUE"""),"CABA")</f>
        <v>CABA</v>
      </c>
      <c r="D17" s="30" t="str">
        <f ca="1">IFERROR(__xludf.DUMMYFUNCTION("""COMPUTED_VALUE"""),"2")</f>
        <v>2</v>
      </c>
      <c r="E17" s="30" t="str">
        <f ca="1">IFERROR(__xludf.DUMMYFUNCTION("""COMPUTED_VALUE"""),"")</f>
        <v/>
      </c>
      <c r="F17" s="30" t="str">
        <f ca="1">IFERROR(__xludf.DUMMYFUNCTION("""COMPUTED_VALUE"""),"500200121115359")</f>
        <v>500200121115359</v>
      </c>
      <c r="G17" s="29"/>
      <c r="H17" s="30" t="str">
        <f ca="1">IFERROR(__xludf.DUMMYFUNCTION("""COMPUTED_VALUE"""),"activo")</f>
        <v>activo</v>
      </c>
      <c r="I17" s="29"/>
      <c r="J17" s="29"/>
      <c r="K17" s="29"/>
      <c r="L17" s="30" t="str">
        <f ca="1">IFERROR(__xludf.DUMMYFUNCTION("""COMPUTED_VALUE"""),"No")</f>
        <v>No</v>
      </c>
      <c r="M17" s="30" t="str">
        <f ca="1">IFERROR(__xludf.DUMMYFUNCTION("""COMPUTED_VALUE"""),"2015010002")</f>
        <v>2015010002</v>
      </c>
      <c r="N17" s="30" t="str">
        <f ca="1">IFERROR(__xludf.DUMMYFUNCTION("""COMPUTED_VALUE"""),"CHACARITA")</f>
        <v>CHACARITA</v>
      </c>
      <c r="O17" s="30" t="str">
        <f ca="1">IFERROR(__xludf.DUMMYFUNCTION("""COMPUTED_VALUE"""),"215")</f>
        <v>215</v>
      </c>
      <c r="P17" s="30" t="str">
        <f ca="1">IFERROR(__xludf.DUMMYFUNCTION("""COMPUTED_VALUE"""),"COMUNA 15")</f>
        <v>COMUNA 15</v>
      </c>
      <c r="Q17" s="30" t="str">
        <f ca="1">IFERROR(__xludf.DUMMYFUNCTION("""COMPUTED_VALUE"""),"-34.5924441")</f>
        <v>-34.5924441</v>
      </c>
      <c r="R17" s="30" t="str">
        <f ca="1">IFERROR(__xludf.DUMMYFUNCTION("""COMPUTED_VALUE"""),"-58.4490927")</f>
        <v>-58.4490927</v>
      </c>
      <c r="S17" s="30" t="str">
        <f ca="1">IFERROR(__xludf.DUMMYFUNCTION("""COMPUTED_VALUE"""),"Municipal")</f>
        <v>Municipal</v>
      </c>
      <c r="T17" s="30" t="str">
        <f ca="1">IFERROR(__xludf.DUMMYFUNCTION("""COMPUTED_VALUE"""),"CABA")</f>
        <v>CABA</v>
      </c>
    </row>
    <row r="18" spans="1:20" ht="15" customHeight="1" x14ac:dyDescent="0.25">
      <c r="A18" s="30" t="str">
        <f ca="1">IFERROR(__xludf.DUMMYFUNCTION("""COMPUTED_VALUE"""),"50020012115362")</f>
        <v>50020012115362</v>
      </c>
      <c r="B18" s="30" t="str">
        <f ca="1">IFERROR(__xludf.DUMMYFUNCTION("""COMPUTED_VALUE"""),"CESAC Nº 29")</f>
        <v>CESAC Nº 29</v>
      </c>
      <c r="C18" s="30" t="str">
        <f ca="1">IFERROR(__xludf.DUMMYFUNCTION("""COMPUTED_VALUE"""),"CABA")</f>
        <v>CABA</v>
      </c>
      <c r="D18" s="30" t="str">
        <f ca="1">IFERROR(__xludf.DUMMYFUNCTION("""COMPUTED_VALUE"""),"2")</f>
        <v>2</v>
      </c>
      <c r="E18" s="30" t="str">
        <f ca="1">IFERROR(__xludf.DUMMYFUNCTION("""COMPUTED_VALUE"""),"")</f>
        <v/>
      </c>
      <c r="F18" s="29"/>
      <c r="G18" s="29"/>
      <c r="H18" s="30" t="str">
        <f ca="1">IFERROR(__xludf.DUMMYFUNCTION("""COMPUTED_VALUE"""),"activo")</f>
        <v>activo</v>
      </c>
      <c r="I18" s="29"/>
      <c r="J18" s="29"/>
      <c r="K18" s="29"/>
      <c r="L18" s="30" t="str">
        <f ca="1">IFERROR(__xludf.DUMMYFUNCTION("""COMPUTED_VALUE"""),"No")</f>
        <v>No</v>
      </c>
      <c r="M18" s="30" t="str">
        <f ca="1">IFERROR(__xludf.DUMMYFUNCTION("""COMPUTED_VALUE"""),"2008010001")</f>
        <v>2008010001</v>
      </c>
      <c r="N18" s="30" t="str">
        <f ca="1">IFERROR(__xludf.DUMMYFUNCTION("""COMPUTED_VALUE"""),"VILLA LUGANO")</f>
        <v>VILLA LUGANO</v>
      </c>
      <c r="O18" s="30" t="str">
        <f ca="1">IFERROR(__xludf.DUMMYFUNCTION("""COMPUTED_VALUE"""),"28")</f>
        <v>28</v>
      </c>
      <c r="P18" s="30" t="str">
        <f ca="1">IFERROR(__xludf.DUMMYFUNCTION("""COMPUTED_VALUE"""),"COMUNA 8")</f>
        <v>COMUNA 8</v>
      </c>
      <c r="Q18" s="30" t="str">
        <f ca="1">IFERROR(__xludf.DUMMYFUNCTION("""COMPUTED_VALUE"""),"-34.68040535")</f>
        <v>-34.68040535</v>
      </c>
      <c r="R18" s="30" t="str">
        <f ca="1">IFERROR(__xludf.DUMMYFUNCTION("""COMPUTED_VALUE"""),"-58.47898006")</f>
        <v>-58.47898006</v>
      </c>
      <c r="S18" s="30" t="str">
        <f ca="1">IFERROR(__xludf.DUMMYFUNCTION("""COMPUTED_VALUE"""),"Municipal")</f>
        <v>Municipal</v>
      </c>
      <c r="T18" s="30" t="str">
        <f ca="1">IFERROR(__xludf.DUMMYFUNCTION("""COMPUTED_VALUE"""),"CABA")</f>
        <v>CABA</v>
      </c>
    </row>
    <row r="19" spans="1:20" ht="15" customHeight="1" x14ac:dyDescent="0.25">
      <c r="A19" s="30" t="str">
        <f ca="1">IFERROR(__xludf.DUMMYFUNCTION("""COMPUTED_VALUE"""),"50020012115363")</f>
        <v>50020012115363</v>
      </c>
      <c r="B19" s="30" t="str">
        <f ca="1">IFERROR(__xludf.DUMMYFUNCTION("""COMPUTED_VALUE"""),"CESAC Nº 3")</f>
        <v>CESAC Nº 3</v>
      </c>
      <c r="C19" s="30" t="str">
        <f ca="1">IFERROR(__xludf.DUMMYFUNCTION("""COMPUTED_VALUE"""),"CABA")</f>
        <v>CABA</v>
      </c>
      <c r="D19" s="30" t="str">
        <f ca="1">IFERROR(__xludf.DUMMYFUNCTION("""COMPUTED_VALUE"""),"2")</f>
        <v>2</v>
      </c>
      <c r="E19" s="30" t="str">
        <f ca="1">IFERROR(__xludf.DUMMYFUNCTION("""COMPUTED_VALUE"""),"")</f>
        <v/>
      </c>
      <c r="F19" s="29"/>
      <c r="G19" s="29"/>
      <c r="H19" s="30" t="str">
        <f ca="1">IFERROR(__xludf.DUMMYFUNCTION("""COMPUTED_VALUE"""),"activo")</f>
        <v>activo</v>
      </c>
      <c r="I19" s="29"/>
      <c r="J19" s="29"/>
      <c r="K19" s="29"/>
      <c r="L19" s="30" t="str">
        <f ca="1">IFERROR(__xludf.DUMMYFUNCTION("""COMPUTED_VALUE"""),"No")</f>
        <v>No</v>
      </c>
      <c r="M19" s="30" t="str">
        <f ca="1">IFERROR(__xludf.DUMMYFUNCTION("""COMPUTED_VALUE"""),"2008010001")</f>
        <v>2008010001</v>
      </c>
      <c r="N19" s="30" t="str">
        <f ca="1">IFERROR(__xludf.DUMMYFUNCTION("""COMPUTED_VALUE"""),"VILLA LUGANO")</f>
        <v>VILLA LUGANO</v>
      </c>
      <c r="O19" s="30" t="str">
        <f ca="1">IFERROR(__xludf.DUMMYFUNCTION("""COMPUTED_VALUE"""),"28")</f>
        <v>28</v>
      </c>
      <c r="P19" s="30" t="str">
        <f ca="1">IFERROR(__xludf.DUMMYFUNCTION("""COMPUTED_VALUE"""),"COMUNA 8")</f>
        <v>COMUNA 8</v>
      </c>
      <c r="Q19" s="30" t="str">
        <f ca="1">IFERROR(__xludf.DUMMYFUNCTION("""COMPUTED_VALUE"""),"-34.684602")</f>
        <v>-34.684602</v>
      </c>
      <c r="R19" s="30" t="str">
        <f ca="1">IFERROR(__xludf.DUMMYFUNCTION("""COMPUTED_VALUE"""),"-58.4639521")</f>
        <v>-58.4639521</v>
      </c>
      <c r="S19" s="30" t="str">
        <f ca="1">IFERROR(__xludf.DUMMYFUNCTION("""COMPUTED_VALUE"""),"Municipal")</f>
        <v>Municipal</v>
      </c>
      <c r="T19" s="30" t="str">
        <f ca="1">IFERROR(__xludf.DUMMYFUNCTION("""COMPUTED_VALUE"""),"CABA")</f>
        <v>CABA</v>
      </c>
    </row>
    <row r="20" spans="1:20" ht="15" customHeight="1" x14ac:dyDescent="0.25">
      <c r="A20" s="30" t="str">
        <f ca="1">IFERROR(__xludf.DUMMYFUNCTION("""COMPUTED_VALUE"""),"50020012217482")</f>
        <v>50020012217482</v>
      </c>
      <c r="B20" s="30" t="str">
        <f ca="1">IFERROR(__xludf.DUMMYFUNCTION("""COMPUTED_VALUE"""),"CESAC Nº 35")</f>
        <v>CESAC Nº 35</v>
      </c>
      <c r="C20" s="30" t="str">
        <f ca="1">IFERROR(__xludf.DUMMYFUNCTION("""COMPUTED_VALUE"""),"CABA")</f>
        <v>CABA</v>
      </c>
      <c r="D20" s="30" t="str">
        <f ca="1">IFERROR(__xludf.DUMMYFUNCTION("""COMPUTED_VALUE"""),"2")</f>
        <v>2</v>
      </c>
      <c r="E20" s="30" t="str">
        <f ca="1">IFERROR(__xludf.DUMMYFUNCTION("""COMPUTED_VALUE"""),"")</f>
        <v/>
      </c>
      <c r="F20" s="29"/>
      <c r="G20" s="29"/>
      <c r="H20" s="30" t="str">
        <f ca="1">IFERROR(__xludf.DUMMYFUNCTION("""COMPUTED_VALUE"""),"activo")</f>
        <v>activo</v>
      </c>
      <c r="I20" s="29"/>
      <c r="J20" s="29"/>
      <c r="K20" s="29"/>
      <c r="L20" s="30" t="str">
        <f ca="1">IFERROR(__xludf.DUMMYFUNCTION("""COMPUTED_VALUE"""),"No")</f>
        <v>No</v>
      </c>
      <c r="M20" s="30" t="str">
        <f ca="1">IFERROR(__xludf.DUMMYFUNCTION("""COMPUTED_VALUE"""),"2004010001")</f>
        <v>2004010001</v>
      </c>
      <c r="N20" s="30" t="str">
        <f ca="1">IFERROR(__xludf.DUMMYFUNCTION("""COMPUTED_VALUE"""),"BARRACAS")</f>
        <v>BARRACAS</v>
      </c>
      <c r="O20" s="30" t="str">
        <f ca="1">IFERROR(__xludf.DUMMYFUNCTION("""COMPUTED_VALUE"""),"24")</f>
        <v>24</v>
      </c>
      <c r="P20" s="30" t="str">
        <f ca="1">IFERROR(__xludf.DUMMYFUNCTION("""COMPUTED_VALUE"""),"COMUNA 4")</f>
        <v>COMUNA 4</v>
      </c>
      <c r="Q20" s="30" t="str">
        <f ca="1">IFERROR(__xludf.DUMMYFUNCTION("""COMPUTED_VALUE"""),"-34.65647463")</f>
        <v>-34.65647463</v>
      </c>
      <c r="R20" s="30" t="str">
        <f ca="1">IFERROR(__xludf.DUMMYFUNCTION("""COMPUTED_VALUE"""),"-58.39941502")</f>
        <v>-58.39941502</v>
      </c>
      <c r="S20" s="30" t="str">
        <f ca="1">IFERROR(__xludf.DUMMYFUNCTION("""COMPUTED_VALUE"""),"Municipal")</f>
        <v>Municipal</v>
      </c>
      <c r="T20" s="30" t="str">
        <f ca="1">IFERROR(__xludf.DUMMYFUNCTION("""COMPUTED_VALUE"""),"CABA")</f>
        <v>CABA</v>
      </c>
    </row>
    <row r="21" spans="1:20" ht="15" customHeight="1" x14ac:dyDescent="0.25">
      <c r="A21" s="30" t="str">
        <f ca="1">IFERROR(__xludf.DUMMYFUNCTION("""COMPUTED_VALUE"""),"50020082218915")</f>
        <v>50020082218915</v>
      </c>
      <c r="B21" s="30" t="str">
        <f ca="1">IFERROR(__xludf.DUMMYFUNCTION("""COMPUTED_VALUE"""),"CESAC N°43")</f>
        <v>CESAC N°43</v>
      </c>
      <c r="C21" s="30" t="str">
        <f ca="1">IFERROR(__xludf.DUMMYFUNCTION("""COMPUTED_VALUE"""),"CABA")</f>
        <v>CABA</v>
      </c>
      <c r="D21" s="30" t="str">
        <f ca="1">IFERROR(__xludf.DUMMYFUNCTION("""COMPUTED_VALUE"""),"2")</f>
        <v>2</v>
      </c>
      <c r="E21" s="30" t="str">
        <f ca="1">IFERROR(__xludf.DUMMYFUNCTION("""COMPUTED_VALUE"""),"")</f>
        <v/>
      </c>
      <c r="F21" s="29"/>
      <c r="G21" s="29"/>
      <c r="H21" s="30" t="str">
        <f ca="1">IFERROR(__xludf.DUMMYFUNCTION("""COMPUTED_VALUE"""),"activo")</f>
        <v>activo</v>
      </c>
      <c r="I21" s="29"/>
      <c r="J21" s="29"/>
      <c r="K21" s="29"/>
      <c r="L21" s="30" t="str">
        <f ca="1">IFERROR(__xludf.DUMMYFUNCTION("""COMPUTED_VALUE"""),"No")</f>
        <v>No</v>
      </c>
      <c r="M21" s="30" t="str">
        <f ca="1">IFERROR(__xludf.DUMMYFUNCTION("""COMPUTED_VALUE"""),"2008010001")</f>
        <v>2008010001</v>
      </c>
      <c r="N21" s="30" t="str">
        <f ca="1">IFERROR(__xludf.DUMMYFUNCTION("""COMPUTED_VALUE"""),"VILLA LUGANO")</f>
        <v>VILLA LUGANO</v>
      </c>
      <c r="O21" s="30" t="str">
        <f ca="1">IFERROR(__xludf.DUMMYFUNCTION("""COMPUTED_VALUE"""),"28")</f>
        <v>28</v>
      </c>
      <c r="P21" s="30" t="str">
        <f ca="1">IFERROR(__xludf.DUMMYFUNCTION("""COMPUTED_VALUE"""),"COMUNA 8")</f>
        <v>COMUNA 8</v>
      </c>
      <c r="Q21" s="30" t="str">
        <f ca="1">IFERROR(__xludf.DUMMYFUNCTION("""COMPUTED_VALUE"""),"-34.6771358")</f>
        <v>-34.6771358</v>
      </c>
      <c r="R21" s="30" t="str">
        <f ca="1">IFERROR(__xludf.DUMMYFUNCTION("""COMPUTED_VALUE"""),"-58.46725")</f>
        <v>-58.46725</v>
      </c>
      <c r="S21" s="30" t="str">
        <f ca="1">IFERROR(__xludf.DUMMYFUNCTION("""COMPUTED_VALUE"""),"Municipal")</f>
        <v>Municipal</v>
      </c>
      <c r="T21" s="30" t="str">
        <f ca="1">IFERROR(__xludf.DUMMYFUNCTION("""COMPUTED_VALUE"""),"CABA")</f>
        <v>CABA</v>
      </c>
    </row>
    <row r="22" spans="1:20" ht="15.75" customHeight="1" x14ac:dyDescent="0.25">
      <c r="A22" s="30" t="str">
        <f ca="1">IFERROR(__xludf.DUMMYFUNCTION("""COMPUTED_VALUE"""),"50020012117480")</f>
        <v>50020012117480</v>
      </c>
      <c r="B22" s="30" t="str">
        <f ca="1">IFERROR(__xludf.DUMMYFUNCTION("""COMPUTED_VALUE"""),"CESAC Nº 45")</f>
        <v>CESAC Nº 45</v>
      </c>
      <c r="C22" s="30" t="str">
        <f ca="1">IFERROR(__xludf.DUMMYFUNCTION("""COMPUTED_VALUE"""),"CABA")</f>
        <v>CABA</v>
      </c>
      <c r="D22" s="30" t="str">
        <f ca="1">IFERROR(__xludf.DUMMYFUNCTION("""COMPUTED_VALUE"""),"2")</f>
        <v>2</v>
      </c>
      <c r="E22" s="30" t="str">
        <f ca="1">IFERROR(__xludf.DUMMYFUNCTION("""COMPUTED_VALUE"""),"")</f>
        <v/>
      </c>
      <c r="F22" s="29"/>
      <c r="G22" s="29"/>
      <c r="H22" s="30" t="str">
        <f ca="1">IFERROR(__xludf.DUMMYFUNCTION("""COMPUTED_VALUE"""),"activo")</f>
        <v>activo</v>
      </c>
      <c r="I22" s="29"/>
      <c r="J22" s="29"/>
      <c r="K22" s="29"/>
      <c r="L22" s="30" t="str">
        <f ca="1">IFERROR(__xludf.DUMMYFUNCTION("""COMPUTED_VALUE"""),"No")</f>
        <v>No</v>
      </c>
      <c r="M22" s="30" t="str">
        <f ca="1">IFERROR(__xludf.DUMMYFUNCTION("""COMPUTED_VALUE"""),"2003010002")</f>
        <v>2003010002</v>
      </c>
      <c r="N22" s="30" t="str">
        <f ca="1">IFERROR(__xludf.DUMMYFUNCTION("""COMPUTED_VALUE"""),"SAN CRISTOBAL")</f>
        <v>SAN CRISTOBAL</v>
      </c>
      <c r="O22" s="30" t="str">
        <f ca="1">IFERROR(__xludf.DUMMYFUNCTION("""COMPUTED_VALUE"""),"23")</f>
        <v>23</v>
      </c>
      <c r="P22" s="30" t="str">
        <f ca="1">IFERROR(__xludf.DUMMYFUNCTION("""COMPUTED_VALUE"""),"COMUNA 3")</f>
        <v>COMUNA 3</v>
      </c>
      <c r="Q22" s="30" t="str">
        <f ca="1">IFERROR(__xludf.DUMMYFUNCTION("""COMPUTED_VALUE"""),"-34.625086")</f>
        <v>-34.625086</v>
      </c>
      <c r="R22" s="30" t="str">
        <f ca="1">IFERROR(__xludf.DUMMYFUNCTION("""COMPUTED_VALUE"""),"-58.402119")</f>
        <v>-58.402119</v>
      </c>
      <c r="S22" s="30" t="str">
        <f ca="1">IFERROR(__xludf.DUMMYFUNCTION("""COMPUTED_VALUE"""),"Municipal")</f>
        <v>Municipal</v>
      </c>
      <c r="T22" s="30" t="str">
        <f ca="1">IFERROR(__xludf.DUMMYFUNCTION("""COMPUTED_VALUE"""),"CABA")</f>
        <v>CABA</v>
      </c>
    </row>
    <row r="23" spans="1:20" ht="15.75" customHeight="1" x14ac:dyDescent="0.25">
      <c r="A23" s="30" t="str">
        <f ca="1">IFERROR(__xludf.DUMMYFUNCTION("""COMPUTED_VALUE"""),"50020012115379")</f>
        <v>50020012115379</v>
      </c>
      <c r="B23" s="30" t="str">
        <f ca="1">IFERROR(__xludf.DUMMYFUNCTION("""COMPUTED_VALUE"""),"CESAC Nº 8")</f>
        <v>CESAC Nº 8</v>
      </c>
      <c r="C23" s="30" t="str">
        <f ca="1">IFERROR(__xludf.DUMMYFUNCTION("""COMPUTED_VALUE"""),"CABA")</f>
        <v>CABA</v>
      </c>
      <c r="D23" s="30" t="str">
        <f ca="1">IFERROR(__xludf.DUMMYFUNCTION("""COMPUTED_VALUE"""),"2")</f>
        <v>2</v>
      </c>
      <c r="E23" s="30" t="str">
        <f ca="1">IFERROR(__xludf.DUMMYFUNCTION("""COMPUTED_VALUE"""),"")</f>
        <v/>
      </c>
      <c r="F23" s="29"/>
      <c r="G23" s="29"/>
      <c r="H23" s="30" t="str">
        <f ca="1">IFERROR(__xludf.DUMMYFUNCTION("""COMPUTED_VALUE"""),"activo")</f>
        <v>activo</v>
      </c>
      <c r="I23" s="29"/>
      <c r="J23" s="29"/>
      <c r="K23" s="29"/>
      <c r="L23" s="30" t="str">
        <f ca="1">IFERROR(__xludf.DUMMYFUNCTION("""COMPUTED_VALUE"""),"No")</f>
        <v>No</v>
      </c>
      <c r="M23" s="30" t="str">
        <f ca="1">IFERROR(__xludf.DUMMYFUNCTION("""COMPUTED_VALUE"""),"2004010001")</f>
        <v>2004010001</v>
      </c>
      <c r="N23" s="30" t="str">
        <f ca="1">IFERROR(__xludf.DUMMYFUNCTION("""COMPUTED_VALUE"""),"BARRACAS")</f>
        <v>BARRACAS</v>
      </c>
      <c r="O23" s="30" t="str">
        <f ca="1">IFERROR(__xludf.DUMMYFUNCTION("""COMPUTED_VALUE"""),"24")</f>
        <v>24</v>
      </c>
      <c r="P23" s="30" t="str">
        <f ca="1">IFERROR(__xludf.DUMMYFUNCTION("""COMPUTED_VALUE"""),"COMUNA 4")</f>
        <v>COMUNA 4</v>
      </c>
      <c r="Q23" s="30" t="str">
        <f ca="1">IFERROR(__xludf.DUMMYFUNCTION("""COMPUTED_VALUE"""),"-34.656086")</f>
        <v>-34.656086</v>
      </c>
      <c r="R23" s="30" t="str">
        <f ca="1">IFERROR(__xludf.DUMMYFUNCTION("""COMPUTED_VALUE"""),"-58.3970171")</f>
        <v>-58.3970171</v>
      </c>
      <c r="S23" s="30" t="str">
        <f ca="1">IFERROR(__xludf.DUMMYFUNCTION("""COMPUTED_VALUE"""),"Municipal")</f>
        <v>Municipal</v>
      </c>
      <c r="T23" s="30" t="str">
        <f ca="1">IFERROR(__xludf.DUMMYFUNCTION("""COMPUTED_VALUE"""),"CABA")</f>
        <v>CABA</v>
      </c>
    </row>
    <row r="24" spans="1:20" ht="15.75" customHeight="1" x14ac:dyDescent="0.25">
      <c r="A24" s="30" t="str">
        <f ca="1">IFERROR(__xludf.DUMMYFUNCTION("""COMPUTED_VALUE"""),"50020012115345")</f>
        <v>50020012115345</v>
      </c>
      <c r="B24" s="30" t="str">
        <f ca="1">IFERROR(__xludf.DUMMYFUNCTION("""COMPUTED_VALUE"""),"CESAC Nº 11")</f>
        <v>CESAC Nº 11</v>
      </c>
      <c r="C24" s="30" t="str">
        <f ca="1">IFERROR(__xludf.DUMMYFUNCTION("""COMPUTED_VALUE"""),"CABA")</f>
        <v>CABA</v>
      </c>
      <c r="D24" s="30" t="str">
        <f ca="1">IFERROR(__xludf.DUMMYFUNCTION("""COMPUTED_VALUE"""),"2")</f>
        <v>2</v>
      </c>
      <c r="E24" s="30" t="str">
        <f ca="1">IFERROR(__xludf.DUMMYFUNCTION("""COMPUTED_VALUE"""),"")</f>
        <v/>
      </c>
      <c r="F24" s="29"/>
      <c r="G24" s="29"/>
      <c r="H24" s="30" t="str">
        <f ca="1">IFERROR(__xludf.DUMMYFUNCTION("""COMPUTED_VALUE"""),"activo")</f>
        <v>activo</v>
      </c>
      <c r="I24" s="29"/>
      <c r="J24" s="29"/>
      <c r="K24" s="29"/>
      <c r="L24" s="30" t="str">
        <f ca="1">IFERROR(__xludf.DUMMYFUNCTION("""COMPUTED_VALUE"""),"No")</f>
        <v>No</v>
      </c>
      <c r="M24" s="30" t="str">
        <f ca="1">IFERROR(__xludf.DUMMYFUNCTION("""COMPUTED_VALUE"""),"2003010001")</f>
        <v>2003010001</v>
      </c>
      <c r="N24" s="30" t="str">
        <f ca="1">IFERROR(__xludf.DUMMYFUNCTION("""COMPUTED_VALUE"""),"BALVANERA")</f>
        <v>BALVANERA</v>
      </c>
      <c r="O24" s="30" t="str">
        <f ca="1">IFERROR(__xludf.DUMMYFUNCTION("""COMPUTED_VALUE"""),"23")</f>
        <v>23</v>
      </c>
      <c r="P24" s="30" t="str">
        <f ca="1">IFERROR(__xludf.DUMMYFUNCTION("""COMPUTED_VALUE"""),"COMUNA 3")</f>
        <v>COMUNA 3</v>
      </c>
      <c r="Q24" s="30" t="str">
        <f ca="1">IFERROR(__xludf.DUMMYFUNCTION("""COMPUTED_VALUE"""),"-34.598894")</f>
        <v>-34.598894</v>
      </c>
      <c r="R24" s="30" t="str">
        <f ca="1">IFERROR(__xludf.DUMMYFUNCTION("""COMPUTED_VALUE"""),"-58.410614")</f>
        <v>-58.410614</v>
      </c>
      <c r="S24" s="30" t="str">
        <f ca="1">IFERROR(__xludf.DUMMYFUNCTION("""COMPUTED_VALUE"""),"Municipal")</f>
        <v>Municipal</v>
      </c>
      <c r="T24" s="30" t="str">
        <f ca="1">IFERROR(__xludf.DUMMYFUNCTION("""COMPUTED_VALUE"""),"CABA")</f>
        <v>CABA</v>
      </c>
    </row>
    <row r="25" spans="1:20" ht="15.75" customHeight="1" x14ac:dyDescent="0.25">
      <c r="A25" s="30" t="str">
        <f ca="1">IFERROR(__xludf.DUMMYFUNCTION("""COMPUTED_VALUE"""),"50020012115364")</f>
        <v>50020012115364</v>
      </c>
      <c r="B25" s="30" t="str">
        <f ca="1">IFERROR(__xludf.DUMMYFUNCTION("""COMPUTED_VALUE"""),"CESAC Nº 30")</f>
        <v>CESAC Nº 30</v>
      </c>
      <c r="C25" s="30" t="str">
        <f ca="1">IFERROR(__xludf.DUMMYFUNCTION("""COMPUTED_VALUE"""),"CABA")</f>
        <v>CABA</v>
      </c>
      <c r="D25" s="30" t="str">
        <f ca="1">IFERROR(__xludf.DUMMYFUNCTION("""COMPUTED_VALUE"""),"2")</f>
        <v>2</v>
      </c>
      <c r="E25" s="30" t="str">
        <f ca="1">IFERROR(__xludf.DUMMYFUNCTION("""COMPUTED_VALUE"""),"")</f>
        <v/>
      </c>
      <c r="F25" s="29"/>
      <c r="G25" s="29"/>
      <c r="H25" s="30" t="str">
        <f ca="1">IFERROR(__xludf.DUMMYFUNCTION("""COMPUTED_VALUE"""),"activo")</f>
        <v>activo</v>
      </c>
      <c r="I25" s="29"/>
      <c r="J25" s="29"/>
      <c r="K25" s="29"/>
      <c r="L25" s="30" t="str">
        <f ca="1">IFERROR(__xludf.DUMMYFUNCTION("""COMPUTED_VALUE"""),"No")</f>
        <v>No</v>
      </c>
      <c r="M25" s="30" t="str">
        <f ca="1">IFERROR(__xludf.DUMMYFUNCTION("""COMPUTED_VALUE"""),"2004010003")</f>
        <v>2004010003</v>
      </c>
      <c r="N25" s="30" t="str">
        <f ca="1">IFERROR(__xludf.DUMMYFUNCTION("""COMPUTED_VALUE"""),"NUEVA POMPEYA")</f>
        <v>NUEVA POMPEYA</v>
      </c>
      <c r="O25" s="30" t="str">
        <f ca="1">IFERROR(__xludf.DUMMYFUNCTION("""COMPUTED_VALUE"""),"24")</f>
        <v>24</v>
      </c>
      <c r="P25" s="30" t="str">
        <f ca="1">IFERROR(__xludf.DUMMYFUNCTION("""COMPUTED_VALUE"""),"COMUNA 4")</f>
        <v>COMUNA 4</v>
      </c>
      <c r="Q25" s="30" t="str">
        <f ca="1">IFERROR(__xludf.DUMMYFUNCTION("""COMPUTED_VALUE"""),"-34.64925523")</f>
        <v>-34.64925523</v>
      </c>
      <c r="R25" s="30" t="str">
        <f ca="1">IFERROR(__xludf.DUMMYFUNCTION("""COMPUTED_VALUE"""),"-58.4045434")</f>
        <v>-58.4045434</v>
      </c>
      <c r="S25" s="30" t="str">
        <f ca="1">IFERROR(__xludf.DUMMYFUNCTION("""COMPUTED_VALUE"""),"Municipal")</f>
        <v>Municipal</v>
      </c>
      <c r="T25" s="30" t="str">
        <f ca="1">IFERROR(__xludf.DUMMYFUNCTION("""COMPUTED_VALUE"""),"CABA")</f>
        <v>CABA</v>
      </c>
    </row>
    <row r="26" spans="1:20" ht="15.75" customHeight="1" x14ac:dyDescent="0.25">
      <c r="A26" s="30" t="str">
        <f ca="1">IFERROR(__xludf.DUMMYFUNCTION("""COMPUTED_VALUE"""),"50020012115367")</f>
        <v>50020012115367</v>
      </c>
      <c r="B26" s="30" t="str">
        <f ca="1">IFERROR(__xludf.DUMMYFUNCTION("""COMPUTED_VALUE"""),"CESAC Nº 33")</f>
        <v>CESAC Nº 33</v>
      </c>
      <c r="C26" s="30" t="str">
        <f ca="1">IFERROR(__xludf.DUMMYFUNCTION("""COMPUTED_VALUE"""),"CABA")</f>
        <v>CABA</v>
      </c>
      <c r="D26" s="30" t="str">
        <f ca="1">IFERROR(__xludf.DUMMYFUNCTION("""COMPUTED_VALUE"""),"2")</f>
        <v>2</v>
      </c>
      <c r="E26" s="30" t="str">
        <f ca="1">IFERROR(__xludf.DUMMYFUNCTION("""COMPUTED_VALUE"""),"")</f>
        <v/>
      </c>
      <c r="F26" s="29"/>
      <c r="G26" s="29"/>
      <c r="H26" s="30" t="str">
        <f ca="1">IFERROR(__xludf.DUMMYFUNCTION("""COMPUTED_VALUE"""),"activo")</f>
        <v>activo</v>
      </c>
      <c r="I26" s="29"/>
      <c r="J26" s="29"/>
      <c r="K26" s="29"/>
      <c r="L26" s="30" t="str">
        <f ca="1">IFERROR(__xludf.DUMMYFUNCTION("""COMPUTED_VALUE"""),"No")</f>
        <v>No</v>
      </c>
      <c r="M26" s="30" t="str">
        <f ca="1">IFERROR(__xludf.DUMMYFUNCTION("""COMPUTED_VALUE"""),"2014010001")</f>
        <v>2014010001</v>
      </c>
      <c r="N26" s="30" t="str">
        <f ca="1">IFERROR(__xludf.DUMMYFUNCTION("""COMPUTED_VALUE"""),"PALERMO")</f>
        <v>PALERMO</v>
      </c>
      <c r="O26" s="30" t="str">
        <f ca="1">IFERROR(__xludf.DUMMYFUNCTION("""COMPUTED_VALUE"""),"214")</f>
        <v>214</v>
      </c>
      <c r="P26" s="30" t="str">
        <f ca="1">IFERROR(__xludf.DUMMYFUNCTION("""COMPUTED_VALUE"""),"COMUNA 14")</f>
        <v>COMUNA 14</v>
      </c>
      <c r="Q26" s="30" t="str">
        <f ca="1">IFERROR(__xludf.DUMMYFUNCTION("""COMPUTED_VALUE"""),"-34.5862205")</f>
        <v>-34.5862205</v>
      </c>
      <c r="R26" s="30" t="str">
        <f ca="1">IFERROR(__xludf.DUMMYFUNCTION("""COMPUTED_VALUE"""),"-58.4417039")</f>
        <v>-58.4417039</v>
      </c>
      <c r="S26" s="30" t="str">
        <f ca="1">IFERROR(__xludf.DUMMYFUNCTION("""COMPUTED_VALUE"""),"Municipal")</f>
        <v>Municipal</v>
      </c>
      <c r="T26" s="30" t="str">
        <f ca="1">IFERROR(__xludf.DUMMYFUNCTION("""COMPUTED_VALUE"""),"CABA")</f>
        <v>CABA</v>
      </c>
    </row>
    <row r="27" spans="1:20" ht="15.75" customHeight="1" x14ac:dyDescent="0.25">
      <c r="A27" s="30" t="str">
        <f ca="1">IFERROR(__xludf.DUMMYFUNCTION("""COMPUTED_VALUE"""),"50020012115368")</f>
        <v>50020012115368</v>
      </c>
      <c r="B27" s="30" t="str">
        <f ca="1">IFERROR(__xludf.DUMMYFUNCTION("""COMPUTED_VALUE"""),"CESAC Nº 34")</f>
        <v>CESAC Nº 34</v>
      </c>
      <c r="C27" s="30" t="str">
        <f ca="1">IFERROR(__xludf.DUMMYFUNCTION("""COMPUTED_VALUE"""),"CABA")</f>
        <v>CABA</v>
      </c>
      <c r="D27" s="30" t="str">
        <f ca="1">IFERROR(__xludf.DUMMYFUNCTION("""COMPUTED_VALUE"""),"2")</f>
        <v>2</v>
      </c>
      <c r="E27" s="30" t="str">
        <f ca="1">IFERROR(__xludf.DUMMYFUNCTION("""COMPUTED_VALUE"""),"")</f>
        <v/>
      </c>
      <c r="F27" s="29"/>
      <c r="G27" s="29"/>
      <c r="H27" s="30" t="str">
        <f ca="1">IFERROR(__xludf.DUMMYFUNCTION("""COMPUTED_VALUE"""),"activo")</f>
        <v>activo</v>
      </c>
      <c r="I27" s="29"/>
      <c r="J27" s="29"/>
      <c r="K27" s="29"/>
      <c r="L27" s="30" t="str">
        <f ca="1">IFERROR(__xludf.DUMMYFUNCTION("""COMPUTED_VALUE"""),"No")</f>
        <v>No</v>
      </c>
      <c r="M27" s="30" t="str">
        <f ca="1">IFERROR(__xludf.DUMMYFUNCTION("""COMPUTED_VALUE"""),"2011010001")</f>
        <v>2011010001</v>
      </c>
      <c r="N27" s="30" t="str">
        <f ca="1">IFERROR(__xludf.DUMMYFUNCTION("""COMPUTED_VALUE"""),"VILLA DEL PARQUE")</f>
        <v>VILLA DEL PARQUE</v>
      </c>
      <c r="O27" s="30" t="str">
        <f ca="1">IFERROR(__xludf.DUMMYFUNCTION("""COMPUTED_VALUE"""),"211")</f>
        <v>211</v>
      </c>
      <c r="P27" s="30" t="str">
        <f ca="1">IFERROR(__xludf.DUMMYFUNCTION("""COMPUTED_VALUE"""),"COMUNA 11")</f>
        <v>COMUNA 11</v>
      </c>
      <c r="Q27" s="30" t="str">
        <f ca="1">IFERROR(__xludf.DUMMYFUNCTION("""COMPUTED_VALUE"""),"-34.60644665")</f>
        <v>-34.60644665</v>
      </c>
      <c r="R27" s="30" t="str">
        <f ca="1">IFERROR(__xludf.DUMMYFUNCTION("""COMPUTED_VALUE"""),"-58.4781003")</f>
        <v>-58.4781003</v>
      </c>
      <c r="S27" s="30" t="str">
        <f ca="1">IFERROR(__xludf.DUMMYFUNCTION("""COMPUTED_VALUE"""),"Municipal")</f>
        <v>Municipal</v>
      </c>
      <c r="T27" s="30" t="str">
        <f ca="1">IFERROR(__xludf.DUMMYFUNCTION("""COMPUTED_VALUE"""),"CABA")</f>
        <v>CABA</v>
      </c>
    </row>
    <row r="28" spans="1:20" ht="15.75" customHeight="1" x14ac:dyDescent="0.25">
      <c r="A28" s="30" t="str">
        <f ca="1">IFERROR(__xludf.DUMMYFUNCTION("""COMPUTED_VALUE"""),"50020012115369")</f>
        <v>50020012115369</v>
      </c>
      <c r="B28" s="30" t="str">
        <f ca="1">IFERROR(__xludf.DUMMYFUNCTION("""COMPUTED_VALUE"""),"CESAC Nº 36")</f>
        <v>CESAC Nº 36</v>
      </c>
      <c r="C28" s="30" t="str">
        <f ca="1">IFERROR(__xludf.DUMMYFUNCTION("""COMPUTED_VALUE"""),"CABA")</f>
        <v>CABA</v>
      </c>
      <c r="D28" s="30" t="str">
        <f ca="1">IFERROR(__xludf.DUMMYFUNCTION("""COMPUTED_VALUE"""),"2")</f>
        <v>2</v>
      </c>
      <c r="E28" s="30" t="str">
        <f ca="1">IFERROR(__xludf.DUMMYFUNCTION("""COMPUTED_VALUE"""),"")</f>
        <v/>
      </c>
      <c r="F28" s="29"/>
      <c r="G28" s="29"/>
      <c r="H28" s="30" t="str">
        <f ca="1">IFERROR(__xludf.DUMMYFUNCTION("""COMPUTED_VALUE"""),"activo")</f>
        <v>activo</v>
      </c>
      <c r="I28" s="29"/>
      <c r="J28" s="29"/>
      <c r="K28" s="29"/>
      <c r="L28" s="30" t="str">
        <f ca="1">IFERROR(__xludf.DUMMYFUNCTION("""COMPUTED_VALUE"""),"No")</f>
        <v>No</v>
      </c>
      <c r="M28" s="30" t="str">
        <f ca="1">IFERROR(__xludf.DUMMYFUNCTION("""COMPUTED_VALUE"""),"2010010001")</f>
        <v>2010010001</v>
      </c>
      <c r="N28" s="30" t="str">
        <f ca="1">IFERROR(__xludf.DUMMYFUNCTION("""COMPUTED_VALUE"""),"FLORESTA")</f>
        <v>FLORESTA</v>
      </c>
      <c r="O28" s="30" t="str">
        <f ca="1">IFERROR(__xludf.DUMMYFUNCTION("""COMPUTED_VALUE"""),"210")</f>
        <v>210</v>
      </c>
      <c r="P28" s="30" t="str">
        <f ca="1">IFERROR(__xludf.DUMMYFUNCTION("""COMPUTED_VALUE"""),"COMUNA 10")</f>
        <v>COMUNA 10</v>
      </c>
      <c r="Q28" s="30" t="str">
        <f ca="1">IFERROR(__xludf.DUMMYFUNCTION("""COMPUTED_VALUE"""),"-34.6218898")</f>
        <v>-34.6218898</v>
      </c>
      <c r="R28" s="30" t="str">
        <f ca="1">IFERROR(__xludf.DUMMYFUNCTION("""COMPUTED_VALUE"""),"-58.491916")</f>
        <v>-58.491916</v>
      </c>
      <c r="S28" s="30" t="str">
        <f ca="1">IFERROR(__xludf.DUMMYFUNCTION("""COMPUTED_VALUE"""),"Municipal")</f>
        <v>Municipal</v>
      </c>
      <c r="T28" s="30" t="str">
        <f ca="1">IFERROR(__xludf.DUMMYFUNCTION("""COMPUTED_VALUE"""),"CABA")</f>
        <v>CABA</v>
      </c>
    </row>
    <row r="29" spans="1:20" ht="15.75" customHeight="1" x14ac:dyDescent="0.25">
      <c r="A29" s="30" t="str">
        <f ca="1">IFERROR(__xludf.DUMMYFUNCTION("""COMPUTED_VALUE"""),"50020012115373")</f>
        <v>50020012115373</v>
      </c>
      <c r="B29" s="30" t="str">
        <f ca="1">IFERROR(__xludf.DUMMYFUNCTION("""COMPUTED_VALUE"""),"CESAC Nº 4")</f>
        <v>CESAC Nº 4</v>
      </c>
      <c r="C29" s="30" t="str">
        <f ca="1">IFERROR(__xludf.DUMMYFUNCTION("""COMPUTED_VALUE"""),"CABA")</f>
        <v>CABA</v>
      </c>
      <c r="D29" s="30" t="str">
        <f ca="1">IFERROR(__xludf.DUMMYFUNCTION("""COMPUTED_VALUE"""),"2")</f>
        <v>2</v>
      </c>
      <c r="E29" s="30" t="str">
        <f ca="1">IFERROR(__xludf.DUMMYFUNCTION("""COMPUTED_VALUE"""),"")</f>
        <v/>
      </c>
      <c r="F29" s="29"/>
      <c r="G29" s="29"/>
      <c r="H29" s="30" t="str">
        <f ca="1">IFERROR(__xludf.DUMMYFUNCTION("""COMPUTED_VALUE"""),"activo")</f>
        <v>activo</v>
      </c>
      <c r="I29" s="29"/>
      <c r="J29" s="29"/>
      <c r="K29" s="29"/>
      <c r="L29" s="30" t="str">
        <f ca="1">IFERROR(__xludf.DUMMYFUNCTION("""COMPUTED_VALUE"""),"No")</f>
        <v>No</v>
      </c>
      <c r="M29" s="30" t="str">
        <f ca="1">IFERROR(__xludf.DUMMYFUNCTION("""COMPUTED_VALUE"""),"2009010002")</f>
        <v>2009010002</v>
      </c>
      <c r="N29" s="30" t="str">
        <f ca="1">IFERROR(__xludf.DUMMYFUNCTION("""COMPUTED_VALUE"""),"MATADEROS")</f>
        <v>MATADEROS</v>
      </c>
      <c r="O29" s="30" t="str">
        <f ca="1">IFERROR(__xludf.DUMMYFUNCTION("""COMPUTED_VALUE"""),"29")</f>
        <v>29</v>
      </c>
      <c r="P29" s="30" t="str">
        <f ca="1">IFERROR(__xludf.DUMMYFUNCTION("""COMPUTED_VALUE"""),"COMUNA 9")</f>
        <v>COMUNA 9</v>
      </c>
      <c r="Q29" s="30" t="str">
        <f ca="1">IFERROR(__xludf.DUMMYFUNCTION("""COMPUTED_VALUE"""),"-34.65553914")</f>
        <v>-34.65553914</v>
      </c>
      <c r="R29" s="30" t="str">
        <f ca="1">IFERROR(__xludf.DUMMYFUNCTION("""COMPUTED_VALUE"""),"-58.50715399")</f>
        <v>-58.50715399</v>
      </c>
      <c r="S29" s="30" t="str">
        <f ca="1">IFERROR(__xludf.DUMMYFUNCTION("""COMPUTED_VALUE"""),"Municipal")</f>
        <v>Municipal</v>
      </c>
      <c r="T29" s="30" t="str">
        <f ca="1">IFERROR(__xludf.DUMMYFUNCTION("""COMPUTED_VALUE"""),"CABA")</f>
        <v>CABA</v>
      </c>
    </row>
    <row r="30" spans="1:20" ht="15.75" customHeight="1" x14ac:dyDescent="0.25">
      <c r="A30" s="30" t="str">
        <f ca="1">IFERROR(__xludf.DUMMYFUNCTION("""COMPUTED_VALUE"""),"50020012115376")</f>
        <v>50020012115376</v>
      </c>
      <c r="B30" s="30" t="str">
        <f ca="1">IFERROR(__xludf.DUMMYFUNCTION("""COMPUTED_VALUE"""),"CESAC Nº 5")</f>
        <v>CESAC Nº 5</v>
      </c>
      <c r="C30" s="30" t="str">
        <f ca="1">IFERROR(__xludf.DUMMYFUNCTION("""COMPUTED_VALUE"""),"CABA")</f>
        <v>CABA</v>
      </c>
      <c r="D30" s="30" t="str">
        <f ca="1">IFERROR(__xludf.DUMMYFUNCTION("""COMPUTED_VALUE"""),"2")</f>
        <v>2</v>
      </c>
      <c r="E30" s="30" t="str">
        <f ca="1">IFERROR(__xludf.DUMMYFUNCTION("""COMPUTED_VALUE"""),"")</f>
        <v/>
      </c>
      <c r="F30" s="29"/>
      <c r="G30" s="29"/>
      <c r="H30" s="30" t="str">
        <f ca="1">IFERROR(__xludf.DUMMYFUNCTION("""COMPUTED_VALUE"""),"activo")</f>
        <v>activo</v>
      </c>
      <c r="I30" s="29"/>
      <c r="J30" s="29"/>
      <c r="K30" s="29"/>
      <c r="L30" s="30" t="str">
        <f ca="1">IFERROR(__xludf.DUMMYFUNCTION("""COMPUTED_VALUE"""),"No")</f>
        <v>No</v>
      </c>
      <c r="M30" s="30" t="str">
        <f ca="1">IFERROR(__xludf.DUMMYFUNCTION("""COMPUTED_VALUE"""),"2008010001")</f>
        <v>2008010001</v>
      </c>
      <c r="N30" s="30" t="str">
        <f ca="1">IFERROR(__xludf.DUMMYFUNCTION("""COMPUTED_VALUE"""),"VILLA LUGANO")</f>
        <v>VILLA LUGANO</v>
      </c>
      <c r="O30" s="30" t="str">
        <f ca="1">IFERROR(__xludf.DUMMYFUNCTION("""COMPUTED_VALUE"""),"28")</f>
        <v>28</v>
      </c>
      <c r="P30" s="30" t="str">
        <f ca="1">IFERROR(__xludf.DUMMYFUNCTION("""COMPUTED_VALUE"""),"COMUNA 8")</f>
        <v>COMUNA 8</v>
      </c>
      <c r="Q30" s="30" t="str">
        <f ca="1">IFERROR(__xludf.DUMMYFUNCTION("""COMPUTED_VALUE"""),"-34.6712584")</f>
        <v>-34.6712584</v>
      </c>
      <c r="R30" s="30" t="str">
        <f ca="1">IFERROR(__xludf.DUMMYFUNCTION("""COMPUTED_VALUE"""),"-58.4945466")</f>
        <v>-58.4945466</v>
      </c>
      <c r="S30" s="30" t="str">
        <f ca="1">IFERROR(__xludf.DUMMYFUNCTION("""COMPUTED_VALUE"""),"Municipal")</f>
        <v>Municipal</v>
      </c>
      <c r="T30" s="30" t="str">
        <f ca="1">IFERROR(__xludf.DUMMYFUNCTION("""COMPUTED_VALUE"""),"CABA")</f>
        <v>CABA</v>
      </c>
    </row>
    <row r="31" spans="1:20" ht="15.75" customHeight="1" x14ac:dyDescent="0.25">
      <c r="A31" s="30" t="str">
        <f ca="1">IFERROR(__xludf.DUMMYFUNCTION("""COMPUTED_VALUE"""),"50020012115378")</f>
        <v>50020012115378</v>
      </c>
      <c r="B31" s="30" t="str">
        <f ca="1">IFERROR(__xludf.DUMMYFUNCTION("""COMPUTED_VALUE"""),"CESAC Nº 7")</f>
        <v>CESAC Nº 7</v>
      </c>
      <c r="C31" s="30" t="str">
        <f ca="1">IFERROR(__xludf.DUMMYFUNCTION("""COMPUTED_VALUE"""),"CABA")</f>
        <v>CABA</v>
      </c>
      <c r="D31" s="30" t="str">
        <f ca="1">IFERROR(__xludf.DUMMYFUNCTION("""COMPUTED_VALUE"""),"2")</f>
        <v>2</v>
      </c>
      <c r="E31" s="30" t="str">
        <f ca="1">IFERROR(__xludf.DUMMYFUNCTION("""COMPUTED_VALUE"""),"")</f>
        <v/>
      </c>
      <c r="F31" s="29"/>
      <c r="G31" s="29"/>
      <c r="H31" s="30" t="str">
        <f ca="1">IFERROR(__xludf.DUMMYFUNCTION("""COMPUTED_VALUE"""),"activo")</f>
        <v>activo</v>
      </c>
      <c r="I31" s="29"/>
      <c r="J31" s="29"/>
      <c r="K31" s="29"/>
      <c r="L31" s="30" t="str">
        <f ca="1">IFERROR(__xludf.DUMMYFUNCTION("""COMPUTED_VALUE"""),"No")</f>
        <v>No</v>
      </c>
      <c r="M31" s="30" t="str">
        <f ca="1">IFERROR(__xludf.DUMMYFUNCTION("""COMPUTED_VALUE"""),"2008010001")</f>
        <v>2008010001</v>
      </c>
      <c r="N31" s="30" t="str">
        <f ca="1">IFERROR(__xludf.DUMMYFUNCTION("""COMPUTED_VALUE"""),"VILLA LUGANO")</f>
        <v>VILLA LUGANO</v>
      </c>
      <c r="O31" s="30" t="str">
        <f ca="1">IFERROR(__xludf.DUMMYFUNCTION("""COMPUTED_VALUE"""),"28")</f>
        <v>28</v>
      </c>
      <c r="P31" s="30" t="str">
        <f ca="1">IFERROR(__xludf.DUMMYFUNCTION("""COMPUTED_VALUE"""),"COMUNA 8")</f>
        <v>COMUNA 8</v>
      </c>
      <c r="Q31" s="30" t="str">
        <f ca="1">IFERROR(__xludf.DUMMYFUNCTION("""COMPUTED_VALUE"""),"-34.67804082")</f>
        <v>-34.67804082</v>
      </c>
      <c r="R31" s="30" t="str">
        <f ca="1">IFERROR(__xludf.DUMMYFUNCTION("""COMPUTED_VALUE"""),"-58.4913826")</f>
        <v>-58.4913826</v>
      </c>
      <c r="S31" s="30" t="str">
        <f ca="1">IFERROR(__xludf.DUMMYFUNCTION("""COMPUTED_VALUE"""),"Municipal")</f>
        <v>Municipal</v>
      </c>
      <c r="T31" s="30" t="str">
        <f ca="1">IFERROR(__xludf.DUMMYFUNCTION("""COMPUTED_VALUE"""),"CABA")</f>
        <v>CABA</v>
      </c>
    </row>
    <row r="32" spans="1:20" ht="15.75" customHeight="1" x14ac:dyDescent="0.25">
      <c r="A32" s="30" t="str">
        <f ca="1">IFERROR(__xludf.DUMMYFUNCTION("""COMPUTED_VALUE"""),"50064122202399")</f>
        <v>50064122202399</v>
      </c>
      <c r="B32" s="30" t="str">
        <f ca="1">IFERROR(__xludf.DUMMYFUNCTION("""COMPUTED_VALUE"""),"UNIDAD SANITARIA LAS HERAS DE JOSE C. PAZ")</f>
        <v>UNIDAD SANITARIA LAS HERAS DE JOSE C. PAZ</v>
      </c>
      <c r="C32" s="30" t="str">
        <f ca="1">IFERROR(__xludf.DUMMYFUNCTION("""COMPUTED_VALUE"""),"Buenos Aires")</f>
        <v>Buenos Aires</v>
      </c>
      <c r="D32" s="30" t="str">
        <f ca="1">IFERROR(__xludf.DUMMYFUNCTION("""COMPUTED_VALUE"""),"6")</f>
        <v>6</v>
      </c>
      <c r="E32" s="30" t="str">
        <f ca="1">IFERROR(__xludf.DUMMYFUNCTION("""COMPUTED_VALUE"""),"")</f>
        <v/>
      </c>
      <c r="F32" s="29"/>
      <c r="G32" s="29"/>
      <c r="H32" s="30" t="str">
        <f ca="1">IFERROR(__xludf.DUMMYFUNCTION("""COMPUTED_VALUE"""),"activo")</f>
        <v>activo</v>
      </c>
      <c r="I32" s="29"/>
      <c r="J32" s="29"/>
      <c r="K32" s="29"/>
      <c r="L32" s="30" t="str">
        <f ca="1">IFERROR(__xludf.DUMMYFUNCTION("""COMPUTED_VALUE"""),"No")</f>
        <v>No</v>
      </c>
      <c r="M32" s="30" t="str">
        <f ca="1">IFERROR(__xludf.DUMMYFUNCTION("""COMPUTED_VALUE"""),"6412010002")</f>
        <v>6412010002</v>
      </c>
      <c r="N32" s="30" t="str">
        <f ca="1">IFERROR(__xludf.DUMMYFUNCTION("""COMPUTED_VALUE"""),"JOSE C. PAZ")</f>
        <v>JOSE C. PAZ</v>
      </c>
      <c r="O32" s="30" t="str">
        <f ca="1">IFERROR(__xludf.DUMMYFUNCTION("""COMPUTED_VALUE"""),"6412")</f>
        <v>6412</v>
      </c>
      <c r="P32" s="30" t="str">
        <f ca="1">IFERROR(__xludf.DUMMYFUNCTION("""COMPUTED_VALUE"""),"JOSÉ C. PAZ")</f>
        <v>JOSÉ C. PAZ</v>
      </c>
      <c r="Q32" s="30" t="str">
        <f ca="1">IFERROR(__xludf.DUMMYFUNCTION("""COMPUTED_VALUE"""),"-34.537917")</f>
        <v>-34.537917</v>
      </c>
      <c r="R32" s="30" t="str">
        <f ca="1">IFERROR(__xludf.DUMMYFUNCTION("""COMPUTED_VALUE"""),"-58.7740502")</f>
        <v>-58.7740502</v>
      </c>
      <c r="S32" s="30" t="str">
        <f ca="1">IFERROR(__xludf.DUMMYFUNCTION("""COMPUTED_VALUE"""),"Municipal")</f>
        <v>Municipal</v>
      </c>
      <c r="T32" s="30" t="str">
        <f ca="1">IFERROR(__xludf.DUMMYFUNCTION("""COMPUTED_VALUE"""),"JOSÉ C. PAZ")</f>
        <v>JOSÉ C. PAZ</v>
      </c>
    </row>
    <row r="33" spans="1:20" ht="15.75" customHeight="1" x14ac:dyDescent="0.25">
      <c r="A33" s="30" t="str">
        <f ca="1">IFERROR(__xludf.DUMMYFUNCTION("""COMPUTED_VALUE"""),"50064122201060")</f>
        <v>50064122201060</v>
      </c>
      <c r="B33" s="30" t="str">
        <f ca="1">IFERROR(__xludf.DUMMYFUNCTION("""COMPUTED_VALUE"""),"AREA PROG. Y OPERAC. DE EMERG. SOCIAL Y SANIT")</f>
        <v>AREA PROG. Y OPERAC. DE EMERG. SOCIAL Y SANIT</v>
      </c>
      <c r="C33" s="30" t="str">
        <f ca="1">IFERROR(__xludf.DUMMYFUNCTION("""COMPUTED_VALUE"""),"Buenos Aires")</f>
        <v>Buenos Aires</v>
      </c>
      <c r="D33" s="30" t="str">
        <f ca="1">IFERROR(__xludf.DUMMYFUNCTION("""COMPUTED_VALUE"""),"6")</f>
        <v>6</v>
      </c>
      <c r="E33" s="30" t="str">
        <f ca="1">IFERROR(__xludf.DUMMYFUNCTION("""COMPUTED_VALUE"""),"")</f>
        <v/>
      </c>
      <c r="F33" s="29"/>
      <c r="G33" s="29"/>
      <c r="H33" s="30" t="str">
        <f ca="1">IFERROR(__xludf.DUMMYFUNCTION("""COMPUTED_VALUE"""),"activo")</f>
        <v>activo</v>
      </c>
      <c r="I33" s="29"/>
      <c r="J33" s="29"/>
      <c r="K33" s="29"/>
      <c r="L33" s="30" t="str">
        <f ca="1">IFERROR(__xludf.DUMMYFUNCTION("""COMPUTED_VALUE"""),"No")</f>
        <v>No</v>
      </c>
      <c r="M33" s="30" t="str">
        <f ca="1">IFERROR(__xludf.DUMMYFUNCTION("""COMPUTED_VALUE"""),"6412010002")</f>
        <v>6412010002</v>
      </c>
      <c r="N33" s="30" t="str">
        <f ca="1">IFERROR(__xludf.DUMMYFUNCTION("""COMPUTED_VALUE"""),"JOSE C. PAZ")</f>
        <v>JOSE C. PAZ</v>
      </c>
      <c r="O33" s="30" t="str">
        <f ca="1">IFERROR(__xludf.DUMMYFUNCTION("""COMPUTED_VALUE"""),"6412")</f>
        <v>6412</v>
      </c>
      <c r="P33" s="30" t="str">
        <f ca="1">IFERROR(__xludf.DUMMYFUNCTION("""COMPUTED_VALUE"""),"JOSÉ C. PAZ")</f>
        <v>JOSÉ C. PAZ</v>
      </c>
      <c r="Q33" s="30" t="str">
        <f ca="1">IFERROR(__xludf.DUMMYFUNCTION("""COMPUTED_VALUE"""),"-34.524246")</f>
        <v>-34.524246</v>
      </c>
      <c r="R33" s="30" t="str">
        <f ca="1">IFERROR(__xludf.DUMMYFUNCTION("""COMPUTED_VALUE"""),"-58.763799")</f>
        <v>-58.763799</v>
      </c>
      <c r="S33" s="30" t="str">
        <f ca="1">IFERROR(__xludf.DUMMYFUNCTION("""COMPUTED_VALUE"""),"Municipal")</f>
        <v>Municipal</v>
      </c>
      <c r="T33" s="30" t="str">
        <f ca="1">IFERROR(__xludf.DUMMYFUNCTION("""COMPUTED_VALUE"""),"JOSÉ C. PAZ")</f>
        <v>JOSÉ C. PAZ</v>
      </c>
    </row>
    <row r="34" spans="1:20" ht="15.75" customHeight="1" x14ac:dyDescent="0.25">
      <c r="A34" s="30" t="str">
        <f ca="1">IFERROR(__xludf.DUMMYFUNCTION("""COMPUTED_VALUE"""),"50064122201357")</f>
        <v>50064122201357</v>
      </c>
      <c r="B34" s="30" t="str">
        <f ca="1">IFERROR(__xludf.DUMMYFUNCTION("""COMPUTED_VALUE"""),"CENTRO DE SALUD SANTA PAULA")</f>
        <v>CENTRO DE SALUD SANTA PAULA</v>
      </c>
      <c r="C34" s="30" t="str">
        <f ca="1">IFERROR(__xludf.DUMMYFUNCTION("""COMPUTED_VALUE"""),"Buenos Aires")</f>
        <v>Buenos Aires</v>
      </c>
      <c r="D34" s="30" t="str">
        <f ca="1">IFERROR(__xludf.DUMMYFUNCTION("""COMPUTED_VALUE"""),"6")</f>
        <v>6</v>
      </c>
      <c r="E34" s="30" t="str">
        <f ca="1">IFERROR(__xludf.DUMMYFUNCTION("""COMPUTED_VALUE"""),"")</f>
        <v/>
      </c>
      <c r="F34" s="29"/>
      <c r="G34" s="29"/>
      <c r="H34" s="30" t="str">
        <f ca="1">IFERROR(__xludf.DUMMYFUNCTION("""COMPUTED_VALUE"""),"activo")</f>
        <v>activo</v>
      </c>
      <c r="I34" s="29"/>
      <c r="J34" s="29"/>
      <c r="K34" s="29"/>
      <c r="L34" s="30" t="str">
        <f ca="1">IFERROR(__xludf.DUMMYFUNCTION("""COMPUTED_VALUE"""),"No")</f>
        <v>No</v>
      </c>
      <c r="M34" s="30" t="str">
        <f ca="1">IFERROR(__xludf.DUMMYFUNCTION("""COMPUTED_VALUE"""),"6412010002")</f>
        <v>6412010002</v>
      </c>
      <c r="N34" s="30" t="str">
        <f ca="1">IFERROR(__xludf.DUMMYFUNCTION("""COMPUTED_VALUE"""),"JOSE C. PAZ")</f>
        <v>JOSE C. PAZ</v>
      </c>
      <c r="O34" s="30" t="str">
        <f ca="1">IFERROR(__xludf.DUMMYFUNCTION("""COMPUTED_VALUE"""),"6412")</f>
        <v>6412</v>
      </c>
      <c r="P34" s="30" t="str">
        <f ca="1">IFERROR(__xludf.DUMMYFUNCTION("""COMPUTED_VALUE"""),"JOSÉ C. PAZ")</f>
        <v>JOSÉ C. PAZ</v>
      </c>
      <c r="Q34" s="30" t="str">
        <f ca="1">IFERROR(__xludf.DUMMYFUNCTION("""COMPUTED_VALUE"""),"-34.505949")</f>
        <v>-34.505949</v>
      </c>
      <c r="R34" s="30" t="str">
        <f ca="1">IFERROR(__xludf.DUMMYFUNCTION("""COMPUTED_VALUE"""),"-58.7473303")</f>
        <v>-58.7473303</v>
      </c>
      <c r="S34" s="30" t="str">
        <f ca="1">IFERROR(__xludf.DUMMYFUNCTION("""COMPUTED_VALUE"""),"Municipal")</f>
        <v>Municipal</v>
      </c>
      <c r="T34" s="30" t="str">
        <f ca="1">IFERROR(__xludf.DUMMYFUNCTION("""COMPUTED_VALUE"""),"JOSÉ C. PAZ")</f>
        <v>JOSÉ C. PAZ</v>
      </c>
    </row>
    <row r="35" spans="1:20" ht="15.75" customHeight="1" x14ac:dyDescent="0.25">
      <c r="A35" s="30" t="str">
        <f ca="1">IFERROR(__xludf.DUMMYFUNCTION("""COMPUTED_VALUE"""),"50064122202735")</f>
        <v>50064122202735</v>
      </c>
      <c r="B35" s="30" t="str">
        <f ca="1">IFERROR(__xludf.DUMMYFUNCTION("""COMPUTED_VALUE"""),"UNIDAD SANITARIA PRIMAVERA")</f>
        <v>UNIDAD SANITARIA PRIMAVERA</v>
      </c>
      <c r="C35" s="30" t="str">
        <f ca="1">IFERROR(__xludf.DUMMYFUNCTION("""COMPUTED_VALUE"""),"Buenos Aires")</f>
        <v>Buenos Aires</v>
      </c>
      <c r="D35" s="30" t="str">
        <f ca="1">IFERROR(__xludf.DUMMYFUNCTION("""COMPUTED_VALUE"""),"6")</f>
        <v>6</v>
      </c>
      <c r="E35" s="30" t="str">
        <f ca="1">IFERROR(__xludf.DUMMYFUNCTION("""COMPUTED_VALUE"""),"")</f>
        <v/>
      </c>
      <c r="F35" s="29"/>
      <c r="G35" s="29"/>
      <c r="H35" s="30" t="str">
        <f ca="1">IFERROR(__xludf.DUMMYFUNCTION("""COMPUTED_VALUE"""),"activo")</f>
        <v>activo</v>
      </c>
      <c r="I35" s="29"/>
      <c r="J35" s="29"/>
      <c r="K35" s="29"/>
      <c r="L35" s="30" t="str">
        <f ca="1">IFERROR(__xludf.DUMMYFUNCTION("""COMPUTED_VALUE"""),"No")</f>
        <v>No</v>
      </c>
      <c r="M35" s="30" t="str">
        <f ca="1">IFERROR(__xludf.DUMMYFUNCTION("""COMPUTED_VALUE"""),"6412010002")</f>
        <v>6412010002</v>
      </c>
      <c r="N35" s="30" t="str">
        <f ca="1">IFERROR(__xludf.DUMMYFUNCTION("""COMPUTED_VALUE"""),"JOSE C. PAZ")</f>
        <v>JOSE C. PAZ</v>
      </c>
      <c r="O35" s="30" t="str">
        <f ca="1">IFERROR(__xludf.DUMMYFUNCTION("""COMPUTED_VALUE"""),"6412")</f>
        <v>6412</v>
      </c>
      <c r="P35" s="30" t="str">
        <f ca="1">IFERROR(__xludf.DUMMYFUNCTION("""COMPUTED_VALUE"""),"JOSÉ C. PAZ")</f>
        <v>JOSÉ C. PAZ</v>
      </c>
      <c r="Q35" s="30" t="str">
        <f ca="1">IFERROR(__xludf.DUMMYFUNCTION("""COMPUTED_VALUE"""),"-34.5295")</f>
        <v>-34.5295</v>
      </c>
      <c r="R35" s="30" t="str">
        <f ca="1">IFERROR(__xludf.DUMMYFUNCTION("""COMPUTED_VALUE"""),"-58.794326")</f>
        <v>-58.794326</v>
      </c>
      <c r="S35" s="30" t="str">
        <f ca="1">IFERROR(__xludf.DUMMYFUNCTION("""COMPUTED_VALUE"""),"Municipal")</f>
        <v>Municipal</v>
      </c>
      <c r="T35" s="30" t="str">
        <f ca="1">IFERROR(__xludf.DUMMYFUNCTION("""COMPUTED_VALUE"""),"JOSÉ C. PAZ")</f>
        <v>JOSÉ C. PAZ</v>
      </c>
    </row>
    <row r="36" spans="1:20" ht="15.75" customHeight="1" x14ac:dyDescent="0.25">
      <c r="A36" s="30" t="str">
        <f ca="1">IFERROR(__xludf.DUMMYFUNCTION("""COMPUTED_VALUE"""),"50068052201206")</f>
        <v>50068052201206</v>
      </c>
      <c r="B36" s="30" t="str">
        <f ca="1">IFERROR(__xludf.DUMMYFUNCTION("""COMPUTED_VALUE"""),"CENTRO DE SALUD BENAVIDEZ")</f>
        <v>CENTRO DE SALUD BENAVIDEZ</v>
      </c>
      <c r="C36" s="30" t="str">
        <f ca="1">IFERROR(__xludf.DUMMYFUNCTION("""COMPUTED_VALUE"""),"Buenos Aires")</f>
        <v>Buenos Aires</v>
      </c>
      <c r="D36" s="30" t="str">
        <f ca="1">IFERROR(__xludf.DUMMYFUNCTION("""COMPUTED_VALUE"""),"6")</f>
        <v>6</v>
      </c>
      <c r="E36" s="30" t="str">
        <f ca="1">IFERROR(__xludf.DUMMYFUNCTION("""COMPUTED_VALUE"""),"")</f>
        <v/>
      </c>
      <c r="F36" s="29"/>
      <c r="G36" s="29"/>
      <c r="H36" s="30" t="str">
        <f ca="1">IFERROR(__xludf.DUMMYFUNCTION("""COMPUTED_VALUE"""),"activo")</f>
        <v>activo</v>
      </c>
      <c r="I36" s="29"/>
      <c r="J36" s="29"/>
      <c r="K36" s="29"/>
      <c r="L36" s="30" t="str">
        <f ca="1">IFERROR(__xludf.DUMMYFUNCTION("""COMPUTED_VALUE"""),"No")</f>
        <v>No</v>
      </c>
      <c r="M36" s="30" t="str">
        <f ca="1">IFERROR(__xludf.DUMMYFUNCTION("""COMPUTED_VALUE"""),"6805010001")</f>
        <v>6805010001</v>
      </c>
      <c r="N36" s="30" t="str">
        <f ca="1">IFERROR(__xludf.DUMMYFUNCTION("""COMPUTED_VALUE"""),"BENAVIDEZ")</f>
        <v>BENAVIDEZ</v>
      </c>
      <c r="O36" s="30" t="str">
        <f ca="1">IFERROR(__xludf.DUMMYFUNCTION("""COMPUTED_VALUE"""),"6805")</f>
        <v>6805</v>
      </c>
      <c r="P36" s="30" t="str">
        <f ca="1">IFERROR(__xludf.DUMMYFUNCTION("""COMPUTED_VALUE"""),"TIGRE")</f>
        <v>TIGRE</v>
      </c>
      <c r="Q36" s="30" t="str">
        <f ca="1">IFERROR(__xludf.DUMMYFUNCTION("""COMPUTED_VALUE"""),"-34.41401733")</f>
        <v>-34.41401733</v>
      </c>
      <c r="R36" s="30" t="str">
        <f ca="1">IFERROR(__xludf.DUMMYFUNCTION("""COMPUTED_VALUE"""),"-58.69317055")</f>
        <v>-58.69317055</v>
      </c>
      <c r="S36" s="30" t="str">
        <f ca="1">IFERROR(__xludf.DUMMYFUNCTION("""COMPUTED_VALUE"""),"Municipal")</f>
        <v>Municipal</v>
      </c>
      <c r="T36" s="30" t="str">
        <f ca="1">IFERROR(__xludf.DUMMYFUNCTION("""COMPUTED_VALUE"""),"TIGRE")</f>
        <v>TIGRE</v>
      </c>
    </row>
    <row r="37" spans="1:20" ht="15.75" customHeight="1" x14ac:dyDescent="0.25">
      <c r="A37" s="30" t="str">
        <f ca="1">IFERROR(__xludf.DUMMYFUNCTION("""COMPUTED_VALUE"""),"50068052201219")</f>
        <v>50068052201219</v>
      </c>
      <c r="B37" s="30" t="str">
        <f ca="1">IFERROR(__xludf.DUMMYFUNCTION("""COMPUTED_VALUE"""),"CENTRO DE SALUD DON TORCUATO")</f>
        <v>CENTRO DE SALUD DON TORCUATO</v>
      </c>
      <c r="C37" s="30" t="str">
        <f ca="1">IFERROR(__xludf.DUMMYFUNCTION("""COMPUTED_VALUE"""),"Buenos Aires")</f>
        <v>Buenos Aires</v>
      </c>
      <c r="D37" s="30" t="str">
        <f ca="1">IFERROR(__xludf.DUMMYFUNCTION("""COMPUTED_VALUE"""),"6")</f>
        <v>6</v>
      </c>
      <c r="E37" s="30" t="str">
        <f ca="1">IFERROR(__xludf.DUMMYFUNCTION("""COMPUTED_VALUE"""),"")</f>
        <v/>
      </c>
      <c r="F37" s="29"/>
      <c r="G37" s="29"/>
      <c r="H37" s="30" t="str">
        <f ca="1">IFERROR(__xludf.DUMMYFUNCTION("""COMPUTED_VALUE"""),"activo")</f>
        <v>activo</v>
      </c>
      <c r="I37" s="29"/>
      <c r="J37" s="29"/>
      <c r="K37" s="29"/>
      <c r="L37" s="30" t="str">
        <f ca="1">IFERROR(__xludf.DUMMYFUNCTION("""COMPUTED_VALUE"""),"No")</f>
        <v>No</v>
      </c>
      <c r="M37" s="30" t="str">
        <f ca="1">IFERROR(__xludf.DUMMYFUNCTION("""COMPUTED_VALUE"""),"6805010003")</f>
        <v>6805010003</v>
      </c>
      <c r="N37" s="30" t="str">
        <f ca="1">IFERROR(__xludf.DUMMYFUNCTION("""COMPUTED_VALUE"""),"DON TORCUATO ESTE")</f>
        <v>DON TORCUATO ESTE</v>
      </c>
      <c r="O37" s="30" t="str">
        <f ca="1">IFERROR(__xludf.DUMMYFUNCTION("""COMPUTED_VALUE"""),"6805")</f>
        <v>6805</v>
      </c>
      <c r="P37" s="30" t="str">
        <f ca="1">IFERROR(__xludf.DUMMYFUNCTION("""COMPUTED_VALUE"""),"TIGRE")</f>
        <v>TIGRE</v>
      </c>
      <c r="Q37" s="30" t="str">
        <f ca="1">IFERROR(__xludf.DUMMYFUNCTION("""COMPUTED_VALUE"""),"-34.4254095")</f>
        <v>-34.4254095</v>
      </c>
      <c r="R37" s="30" t="str">
        <f ca="1">IFERROR(__xludf.DUMMYFUNCTION("""COMPUTED_VALUE"""),"-58.5753627")</f>
        <v>-58.5753627</v>
      </c>
      <c r="S37" s="30" t="str">
        <f ca="1">IFERROR(__xludf.DUMMYFUNCTION("""COMPUTED_VALUE"""),"Municipal")</f>
        <v>Municipal</v>
      </c>
      <c r="T37" s="30" t="str">
        <f ca="1">IFERROR(__xludf.DUMMYFUNCTION("""COMPUTED_VALUE"""),"TIGRE")</f>
        <v>TIGRE</v>
      </c>
    </row>
    <row r="38" spans="1:20" ht="15.75" customHeight="1" x14ac:dyDescent="0.25">
      <c r="A38" s="30" t="str">
        <f ca="1">IFERROR(__xludf.DUMMYFUNCTION("""COMPUTED_VALUE"""),"50068052201348")</f>
        <v>50068052201348</v>
      </c>
      <c r="B38" s="30" t="str">
        <f ca="1">IFERROR(__xludf.DUMMYFUNCTION("""COMPUTED_VALUE"""),"CENTRO DE SALUD RICARDO ROJAS")</f>
        <v>CENTRO DE SALUD RICARDO ROJAS</v>
      </c>
      <c r="C38" s="30" t="str">
        <f ca="1">IFERROR(__xludf.DUMMYFUNCTION("""COMPUTED_VALUE"""),"Buenos Aires")</f>
        <v>Buenos Aires</v>
      </c>
      <c r="D38" s="30" t="str">
        <f ca="1">IFERROR(__xludf.DUMMYFUNCTION("""COMPUTED_VALUE"""),"6")</f>
        <v>6</v>
      </c>
      <c r="E38" s="30" t="str">
        <f ca="1">IFERROR(__xludf.DUMMYFUNCTION("""COMPUTED_VALUE"""),"")</f>
        <v/>
      </c>
      <c r="F38" s="29"/>
      <c r="G38" s="29"/>
      <c r="H38" s="30" t="str">
        <f ca="1">IFERROR(__xludf.DUMMYFUNCTION("""COMPUTED_VALUE"""),"activo")</f>
        <v>activo</v>
      </c>
      <c r="I38" s="29"/>
      <c r="J38" s="29"/>
      <c r="K38" s="29"/>
      <c r="L38" s="30" t="str">
        <f ca="1">IFERROR(__xludf.DUMMYFUNCTION("""COMPUTED_VALUE"""),"No")</f>
        <v>No</v>
      </c>
      <c r="M38" s="30" t="str">
        <f ca="1">IFERROR(__xludf.DUMMYFUNCTION("""COMPUTED_VALUE"""),"6805010005")</f>
        <v>6805010005</v>
      </c>
      <c r="N38" s="30" t="str">
        <f ca="1">IFERROR(__xludf.DUMMYFUNCTION("""COMPUTED_VALUE"""),"EL TALAR")</f>
        <v>EL TALAR</v>
      </c>
      <c r="O38" s="30" t="str">
        <f ca="1">IFERROR(__xludf.DUMMYFUNCTION("""COMPUTED_VALUE"""),"6805")</f>
        <v>6805</v>
      </c>
      <c r="P38" s="30" t="str">
        <f ca="1">IFERROR(__xludf.DUMMYFUNCTION("""COMPUTED_VALUE"""),"TIGRE")</f>
        <v>TIGRE</v>
      </c>
      <c r="Q38" s="30" t="str">
        <f ca="1">IFERROR(__xludf.DUMMYFUNCTION("""COMPUTED_VALUE"""),"-34.68055092")</f>
        <v>-34.68055092</v>
      </c>
      <c r="R38" s="30" t="str">
        <f ca="1">IFERROR(__xludf.DUMMYFUNCTION("""COMPUTED_VALUE"""),"-58.36542606")</f>
        <v>-58.36542606</v>
      </c>
      <c r="S38" s="30" t="str">
        <f ca="1">IFERROR(__xludf.DUMMYFUNCTION("""COMPUTED_VALUE"""),"Municipal")</f>
        <v>Municipal</v>
      </c>
      <c r="T38" s="30" t="str">
        <f ca="1">IFERROR(__xludf.DUMMYFUNCTION("""COMPUTED_VALUE"""),"TIGRE")</f>
        <v>TIGRE</v>
      </c>
    </row>
    <row r="39" spans="1:20" ht="15.75" customHeight="1" x14ac:dyDescent="0.25">
      <c r="A39" s="30" t="str">
        <f ca="1">IFERROR(__xludf.DUMMYFUNCTION("""COMPUTED_VALUE"""),"50068612202000")</f>
        <v>50068612202000</v>
      </c>
      <c r="B39" s="30" t="str">
        <f ca="1">IFERROR(__xludf.DUMMYFUNCTION("""COMPUTED_VALUE"""),"CENTRO DE ATENCION PRIMARIA DE LA SALUD URI DR. JOSE BURMAN")</f>
        <v>CENTRO DE ATENCION PRIMARIA DE LA SALUD URI DR. JOSE BURMAN</v>
      </c>
      <c r="C39" s="30" t="str">
        <f ca="1">IFERROR(__xludf.DUMMYFUNCTION("""COMPUTED_VALUE"""),"Buenos Aires")</f>
        <v>Buenos Aires</v>
      </c>
      <c r="D39" s="30" t="str">
        <f ca="1">IFERROR(__xludf.DUMMYFUNCTION("""COMPUTED_VALUE"""),"6")</f>
        <v>6</v>
      </c>
      <c r="E39" s="30" t="str">
        <f ca="1">IFERROR(__xludf.DUMMYFUNCTION("""COMPUTED_VALUE"""),"")</f>
        <v/>
      </c>
      <c r="F39" s="29"/>
      <c r="G39" s="29"/>
      <c r="H39" s="30" t="str">
        <f ca="1">IFERROR(__xludf.DUMMYFUNCTION("""COMPUTED_VALUE"""),"activo")</f>
        <v>activo</v>
      </c>
      <c r="I39" s="29"/>
      <c r="J39" s="29"/>
      <c r="K39" s="29"/>
      <c r="L39" s="30" t="str">
        <f ca="1">IFERROR(__xludf.DUMMYFUNCTION("""COMPUTED_VALUE"""),"No")</f>
        <v>No</v>
      </c>
      <c r="M39" s="30" t="str">
        <f ca="1">IFERROR(__xludf.DUMMYFUNCTION("""COMPUTED_VALUE"""),"6861010001")</f>
        <v>6861010001</v>
      </c>
      <c r="N39" s="30" t="str">
        <f ca="1">IFERROR(__xludf.DUMMYFUNCTION("""COMPUTED_VALUE"""),"CARAPACHAY")</f>
        <v>CARAPACHAY</v>
      </c>
      <c r="O39" s="30" t="str">
        <f ca="1">IFERROR(__xludf.DUMMYFUNCTION("""COMPUTED_VALUE"""),"6861")</f>
        <v>6861</v>
      </c>
      <c r="P39" s="30" t="str">
        <f ca="1">IFERROR(__xludf.DUMMYFUNCTION("""COMPUTED_VALUE"""),"VICENTE LÓPEZ")</f>
        <v>VICENTE LÓPEZ</v>
      </c>
      <c r="Q39" s="30" t="str">
        <f ca="1">IFERROR(__xludf.DUMMYFUNCTION("""COMPUTED_VALUE"""),"-34.5280528")</f>
        <v>-34.5280528</v>
      </c>
      <c r="R39" s="30" t="str">
        <f ca="1">IFERROR(__xludf.DUMMYFUNCTION("""COMPUTED_VALUE"""),"-58.5363428")</f>
        <v>-58.5363428</v>
      </c>
      <c r="S39" s="30" t="str">
        <f ca="1">IFERROR(__xludf.DUMMYFUNCTION("""COMPUTED_VALUE"""),"Municipal")</f>
        <v>Municipal</v>
      </c>
      <c r="T39" s="30" t="str">
        <f ca="1">IFERROR(__xludf.DUMMYFUNCTION("""COMPUTED_VALUE"""),"VICENTE LÓPEZ")</f>
        <v>VICENTE LÓPEZ</v>
      </c>
    </row>
    <row r="40" spans="1:20" ht="15.75" customHeight="1" x14ac:dyDescent="0.25">
      <c r="A40" s="30" t="str">
        <f ca="1">IFERROR(__xludf.DUMMYFUNCTION("""COMPUTED_VALUE"""),"50068612202005")</f>
        <v>50068612202005</v>
      </c>
      <c r="B40" s="30" t="str">
        <f ca="1">IFERROR(__xludf.DUMMYFUNCTION("""COMPUTED_VALUE"""),"CENTRO DE ATENCION PRIMARIA DE LA SALUD UAP SENADOR BERMUDEZ")</f>
        <v>CENTRO DE ATENCION PRIMARIA DE LA SALUD UAP SENADOR BERMUDEZ</v>
      </c>
      <c r="C40" s="30" t="str">
        <f ca="1">IFERROR(__xludf.DUMMYFUNCTION("""COMPUTED_VALUE"""),"Buenos Aires")</f>
        <v>Buenos Aires</v>
      </c>
      <c r="D40" s="30" t="str">
        <f ca="1">IFERROR(__xludf.DUMMYFUNCTION("""COMPUTED_VALUE"""),"6")</f>
        <v>6</v>
      </c>
      <c r="E40" s="30" t="str">
        <f ca="1">IFERROR(__xludf.DUMMYFUNCTION("""COMPUTED_VALUE"""),"")</f>
        <v/>
      </c>
      <c r="F40" s="29"/>
      <c r="G40" s="29"/>
      <c r="H40" s="30" t="str">
        <f ca="1">IFERROR(__xludf.DUMMYFUNCTION("""COMPUTED_VALUE"""),"activo")</f>
        <v>activo</v>
      </c>
      <c r="I40" s="29"/>
      <c r="J40" s="29"/>
      <c r="K40" s="29"/>
      <c r="L40" s="30" t="str">
        <f ca="1">IFERROR(__xludf.DUMMYFUNCTION("""COMPUTED_VALUE"""),"No")</f>
        <v>No</v>
      </c>
      <c r="M40" s="30" t="str">
        <f ca="1">IFERROR(__xludf.DUMMYFUNCTION("""COMPUTED_VALUE"""),"6861010002")</f>
        <v>6861010002</v>
      </c>
      <c r="N40" s="30" t="str">
        <f ca="1">IFERROR(__xludf.DUMMYFUNCTION("""COMPUTED_VALUE"""),"FLORIDA")</f>
        <v>FLORIDA</v>
      </c>
      <c r="O40" s="30" t="str">
        <f ca="1">IFERROR(__xludf.DUMMYFUNCTION("""COMPUTED_VALUE"""),"6861")</f>
        <v>6861</v>
      </c>
      <c r="P40" s="30" t="str">
        <f ca="1">IFERROR(__xludf.DUMMYFUNCTION("""COMPUTED_VALUE"""),"VICENTE LÓPEZ")</f>
        <v>VICENTE LÓPEZ</v>
      </c>
      <c r="Q40" s="30" t="str">
        <f ca="1">IFERROR(__xludf.DUMMYFUNCTION("""COMPUTED_VALUE"""),"-34.53940412")</f>
        <v>-34.53940412</v>
      </c>
      <c r="R40" s="30" t="str">
        <f ca="1">IFERROR(__xludf.DUMMYFUNCTION("""COMPUTED_VALUE"""),"-58.5227108")</f>
        <v>-58.5227108</v>
      </c>
      <c r="S40" s="30" t="str">
        <f ca="1">IFERROR(__xludf.DUMMYFUNCTION("""COMPUTED_VALUE"""),"Municipal")</f>
        <v>Municipal</v>
      </c>
      <c r="T40" s="30" t="str">
        <f ca="1">IFERROR(__xludf.DUMMYFUNCTION("""COMPUTED_VALUE"""),"VICENTE LÓPEZ")</f>
        <v>VICENTE LÓPEZ</v>
      </c>
    </row>
    <row r="41" spans="1:20" ht="15.75" customHeight="1" x14ac:dyDescent="0.25">
      <c r="A41" s="30" t="str">
        <f ca="1">IFERROR(__xludf.DUMMYFUNCTION("""COMPUTED_VALUE"""),"50068612202837")</f>
        <v>50068612202837</v>
      </c>
      <c r="B41" s="30" t="str">
        <f ca="1">IFERROR(__xludf.DUMMYFUNCTION("""COMPUTED_VALUE"""),"UNIDAD SANITARIA SARGENTO CABRAL")</f>
        <v>UNIDAD SANITARIA SARGENTO CABRAL</v>
      </c>
      <c r="C41" s="30" t="str">
        <f ca="1">IFERROR(__xludf.DUMMYFUNCTION("""COMPUTED_VALUE"""),"Buenos Aires")</f>
        <v>Buenos Aires</v>
      </c>
      <c r="D41" s="30" t="str">
        <f ca="1">IFERROR(__xludf.DUMMYFUNCTION("""COMPUTED_VALUE"""),"6")</f>
        <v>6</v>
      </c>
      <c r="E41" s="30" t="str">
        <f ca="1">IFERROR(__xludf.DUMMYFUNCTION("""COMPUTED_VALUE"""),"")</f>
        <v/>
      </c>
      <c r="F41" s="29"/>
      <c r="G41" s="29"/>
      <c r="H41" s="30" t="str">
        <f ca="1">IFERROR(__xludf.DUMMYFUNCTION("""COMPUTED_VALUE"""),"activo")</f>
        <v>activo</v>
      </c>
      <c r="I41" s="29"/>
      <c r="J41" s="29"/>
      <c r="K41" s="29"/>
      <c r="L41" s="30" t="str">
        <f ca="1">IFERROR(__xludf.DUMMYFUNCTION("""COMPUTED_VALUE"""),"No")</f>
        <v>No</v>
      </c>
      <c r="M41" s="30" t="str">
        <f ca="1">IFERROR(__xludf.DUMMYFUNCTION("""COMPUTED_VALUE"""),"6861010005")</f>
        <v>6861010005</v>
      </c>
      <c r="N41" s="30" t="str">
        <f ca="1">IFERROR(__xludf.DUMMYFUNCTION("""COMPUTED_VALUE"""),"MUNRO")</f>
        <v>MUNRO</v>
      </c>
      <c r="O41" s="30" t="str">
        <f ca="1">IFERROR(__xludf.DUMMYFUNCTION("""COMPUTED_VALUE"""),"6861")</f>
        <v>6861</v>
      </c>
      <c r="P41" s="30" t="str">
        <f ca="1">IFERROR(__xludf.DUMMYFUNCTION("""COMPUTED_VALUE"""),"VICENTE LÓPEZ")</f>
        <v>VICENTE LÓPEZ</v>
      </c>
      <c r="Q41" s="30" t="str">
        <f ca="1">IFERROR(__xludf.DUMMYFUNCTION("""COMPUTED_VALUE"""),"-34.5205993")</f>
        <v>-34.5205993</v>
      </c>
      <c r="R41" s="30" t="str">
        <f ca="1">IFERROR(__xludf.DUMMYFUNCTION("""COMPUTED_VALUE"""),"-58.5223356")</f>
        <v>-58.5223356</v>
      </c>
      <c r="S41" s="30" t="str">
        <f ca="1">IFERROR(__xludf.DUMMYFUNCTION("""COMPUTED_VALUE"""),"Municipal")</f>
        <v>Municipal</v>
      </c>
      <c r="T41" s="30" t="str">
        <f ca="1">IFERROR(__xludf.DUMMYFUNCTION("""COMPUTED_VALUE"""),"VICENTE LÓPEZ")</f>
        <v>VICENTE LÓPEZ</v>
      </c>
    </row>
    <row r="42" spans="1:20" ht="15.75" customHeight="1" x14ac:dyDescent="0.25">
      <c r="A42" s="30" t="str">
        <f ca="1">IFERROR(__xludf.DUMMYFUNCTION("""COMPUTED_VALUE"""),"50068612201997")</f>
        <v>50068612201997</v>
      </c>
      <c r="B42" s="30" t="str">
        <f ca="1">IFERROR(__xludf.DUMMYFUNCTION("""COMPUTED_VALUE"""),"UAP BLANCA ELOISA RODRIGUEZ DE ACOSTA")</f>
        <v>UAP BLANCA ELOISA RODRIGUEZ DE ACOSTA</v>
      </c>
      <c r="C42" s="30" t="str">
        <f ca="1">IFERROR(__xludf.DUMMYFUNCTION("""COMPUTED_VALUE"""),"Buenos Aires")</f>
        <v>Buenos Aires</v>
      </c>
      <c r="D42" s="30" t="str">
        <f ca="1">IFERROR(__xludf.DUMMYFUNCTION("""COMPUTED_VALUE"""),"6")</f>
        <v>6</v>
      </c>
      <c r="E42" s="30" t="str">
        <f ca="1">IFERROR(__xludf.DUMMYFUNCTION("""COMPUTED_VALUE"""),"")</f>
        <v/>
      </c>
      <c r="F42" s="29"/>
      <c r="G42" s="29"/>
      <c r="H42" s="30" t="str">
        <f ca="1">IFERROR(__xludf.DUMMYFUNCTION("""COMPUTED_VALUE"""),"activo")</f>
        <v>activo</v>
      </c>
      <c r="I42" s="29"/>
      <c r="J42" s="29"/>
      <c r="K42" s="29"/>
      <c r="L42" s="30" t="str">
        <f ca="1">IFERROR(__xludf.DUMMYFUNCTION("""COMPUTED_VALUE"""),"No")</f>
        <v>No</v>
      </c>
      <c r="M42" s="30" t="str">
        <f ca="1">IFERROR(__xludf.DUMMYFUNCTION("""COMPUTED_VALUE"""),"6861010002")</f>
        <v>6861010002</v>
      </c>
      <c r="N42" s="30" t="str">
        <f ca="1">IFERROR(__xludf.DUMMYFUNCTION("""COMPUTED_VALUE"""),"FLORIDA")</f>
        <v>FLORIDA</v>
      </c>
      <c r="O42" s="30" t="str">
        <f ca="1">IFERROR(__xludf.DUMMYFUNCTION("""COMPUTED_VALUE"""),"6861")</f>
        <v>6861</v>
      </c>
      <c r="P42" s="30" t="str">
        <f ca="1">IFERROR(__xludf.DUMMYFUNCTION("""COMPUTED_VALUE"""),"VICENTE LÓPEZ")</f>
        <v>VICENTE LÓPEZ</v>
      </c>
      <c r="Q42" s="30" t="str">
        <f ca="1">IFERROR(__xludf.DUMMYFUNCTION("""COMPUTED_VALUE"""),"-34.5462329")</f>
        <v>-34.5462329</v>
      </c>
      <c r="R42" s="30" t="str">
        <f ca="1">IFERROR(__xludf.DUMMYFUNCTION("""COMPUTED_VALUE"""),"-58.5217083")</f>
        <v>-58.5217083</v>
      </c>
      <c r="S42" s="30" t="str">
        <f ca="1">IFERROR(__xludf.DUMMYFUNCTION("""COMPUTED_VALUE"""),"Municipal")</f>
        <v>Municipal</v>
      </c>
      <c r="T42" s="30" t="str">
        <f ca="1">IFERROR(__xludf.DUMMYFUNCTION("""COMPUTED_VALUE"""),"VICENTE LÓPEZ")</f>
        <v>VICENTE LÓPEZ</v>
      </c>
    </row>
    <row r="43" spans="1:20" ht="15.75" customHeight="1" x14ac:dyDescent="0.25">
      <c r="A43" s="30" t="str">
        <f ca="1">IFERROR(__xludf.DUMMYFUNCTION("""COMPUTED_VALUE"""),"50067602202065")</f>
        <v>50067602202065</v>
      </c>
      <c r="B43" s="30" t="str">
        <f ca="1">IFERROR(__xludf.DUMMYFUNCTION("""COMPUTED_VALUE"""),"UNIDAD SANITARIA ATENCION PROGRAMADA UFO")</f>
        <v>UNIDAD SANITARIA ATENCION PROGRAMADA UFO</v>
      </c>
      <c r="C43" s="30" t="str">
        <f ca="1">IFERROR(__xludf.DUMMYFUNCTION("""COMPUTED_VALUE"""),"Buenos Aires")</f>
        <v>Buenos Aires</v>
      </c>
      <c r="D43" s="30" t="str">
        <f ca="1">IFERROR(__xludf.DUMMYFUNCTION("""COMPUTED_VALUE"""),"6")</f>
        <v>6</v>
      </c>
      <c r="E43" s="30" t="str">
        <f ca="1">IFERROR(__xludf.DUMMYFUNCTION("""COMPUTED_VALUE"""),"si")</f>
        <v>si</v>
      </c>
      <c r="F43" s="29"/>
      <c r="G43" s="29"/>
      <c r="H43" s="30" t="str">
        <f ca="1">IFERROR(__xludf.DUMMYFUNCTION("""COMPUTED_VALUE"""),"activo")</f>
        <v>activo</v>
      </c>
      <c r="I43" s="29"/>
      <c r="J43" s="29"/>
      <c r="K43" s="29"/>
      <c r="L43" s="30" t="str">
        <f ca="1">IFERROR(__xludf.DUMMYFUNCTION("""COMPUTED_VALUE"""),"No")</f>
        <v>No</v>
      </c>
      <c r="M43" s="30" t="str">
        <f ca="1">IFERROR(__xludf.DUMMYFUNCTION("""COMPUTED_VALUE"""),"6760010004")</f>
        <v>6760010004</v>
      </c>
      <c r="N43" s="30" t="str">
        <f ca="1">IFERROR(__xludf.DUMMYFUNCTION("""COMPUTED_VALUE"""),"SAN MIGUEL")</f>
        <v>SAN MIGUEL</v>
      </c>
      <c r="O43" s="30" t="str">
        <f ca="1">IFERROR(__xludf.DUMMYFUNCTION("""COMPUTED_VALUE"""),"6760")</f>
        <v>6760</v>
      </c>
      <c r="P43" s="30" t="str">
        <f ca="1">IFERROR(__xludf.DUMMYFUNCTION("""COMPUTED_VALUE"""),"SAN MIGUEL")</f>
        <v>SAN MIGUEL</v>
      </c>
      <c r="Q43" s="30" t="str">
        <f ca="1">IFERROR(__xludf.DUMMYFUNCTION("""COMPUTED_VALUE"""),"-34.548908")</f>
        <v>-34.548908</v>
      </c>
      <c r="R43" s="30" t="str">
        <f ca="1">IFERROR(__xludf.DUMMYFUNCTION("""COMPUTED_VALUE"""),"-58.731605")</f>
        <v>-58.731605</v>
      </c>
      <c r="S43" s="30" t="str">
        <f ca="1">IFERROR(__xludf.DUMMYFUNCTION("""COMPUTED_VALUE"""),"Municipal")</f>
        <v>Municipal</v>
      </c>
      <c r="T43" s="30" t="str">
        <f ca="1">IFERROR(__xludf.DUMMYFUNCTION("""COMPUTED_VALUE"""),"SAN MIGUEL")</f>
        <v>SAN MIGUEL</v>
      </c>
    </row>
    <row r="44" spans="1:20" ht="15.75" customHeight="1" x14ac:dyDescent="0.25">
      <c r="A44" s="30" t="str">
        <f ca="1">IFERROR(__xludf.DUMMYFUNCTION("""COMPUTED_VALUE"""),"50067602201252")</f>
        <v>50067602201252</v>
      </c>
      <c r="B44" s="30" t="str">
        <f ca="1">IFERROR(__xludf.DUMMYFUNCTION("""COMPUTED_VALUE"""),"CENTRO DE SALUD LA CASITA")</f>
        <v>CENTRO DE SALUD LA CASITA</v>
      </c>
      <c r="C44" s="30" t="str">
        <f ca="1">IFERROR(__xludf.DUMMYFUNCTION("""COMPUTED_VALUE"""),"Buenos Aires")</f>
        <v>Buenos Aires</v>
      </c>
      <c r="D44" s="30" t="str">
        <f ca="1">IFERROR(__xludf.DUMMYFUNCTION("""COMPUTED_VALUE"""),"6")</f>
        <v>6</v>
      </c>
      <c r="E44" s="30" t="str">
        <f ca="1">IFERROR(__xludf.DUMMYFUNCTION("""COMPUTED_VALUE"""),"si")</f>
        <v>si</v>
      </c>
      <c r="F44" s="29"/>
      <c r="G44" s="29"/>
      <c r="H44" s="30" t="str">
        <f ca="1">IFERROR(__xludf.DUMMYFUNCTION("""COMPUTED_VALUE"""),"activo")</f>
        <v>activo</v>
      </c>
      <c r="I44" s="29"/>
      <c r="J44" s="29"/>
      <c r="K44" s="29"/>
      <c r="L44" s="30" t="str">
        <f ca="1">IFERROR(__xludf.DUMMYFUNCTION("""COMPUTED_VALUE"""),"No")</f>
        <v>No</v>
      </c>
      <c r="M44" s="30" t="str">
        <f ca="1">IFERROR(__xludf.DUMMYFUNCTION("""COMPUTED_VALUE"""),"6760010004")</f>
        <v>6760010004</v>
      </c>
      <c r="N44" s="30" t="str">
        <f ca="1">IFERROR(__xludf.DUMMYFUNCTION("""COMPUTED_VALUE"""),"SAN MIGUEL")</f>
        <v>SAN MIGUEL</v>
      </c>
      <c r="O44" s="30" t="str">
        <f ca="1">IFERROR(__xludf.DUMMYFUNCTION("""COMPUTED_VALUE"""),"6760")</f>
        <v>6760</v>
      </c>
      <c r="P44" s="30" t="str">
        <f ca="1">IFERROR(__xludf.DUMMYFUNCTION("""COMPUTED_VALUE"""),"SAN MIGUEL")</f>
        <v>SAN MIGUEL</v>
      </c>
      <c r="Q44" s="30" t="str">
        <f ca="1">IFERROR(__xludf.DUMMYFUNCTION("""COMPUTED_VALUE"""),"-34.5301435")</f>
        <v>-34.5301435</v>
      </c>
      <c r="R44" s="30" t="str">
        <f ca="1">IFERROR(__xludf.DUMMYFUNCTION("""COMPUTED_VALUE"""),"-58.7215821")</f>
        <v>-58.7215821</v>
      </c>
      <c r="S44" s="30" t="str">
        <f ca="1">IFERROR(__xludf.DUMMYFUNCTION("""COMPUTED_VALUE"""),"Municipal")</f>
        <v>Municipal</v>
      </c>
      <c r="T44" s="30" t="str">
        <f ca="1">IFERROR(__xludf.DUMMYFUNCTION("""COMPUTED_VALUE"""),"SAN MIGUEL")</f>
        <v>SAN MIGUEL</v>
      </c>
    </row>
    <row r="45" spans="1:20" ht="15.75" customHeight="1" x14ac:dyDescent="0.25">
      <c r="A45" s="30" t="str">
        <f ca="1">IFERROR(__xludf.DUMMYFUNCTION("""COMPUTED_VALUE"""),"50067602201523")</f>
        <v>50067602201523</v>
      </c>
      <c r="B45" s="30" t="str">
        <f ca="1">IFERROR(__xludf.DUMMYFUNCTION("""COMPUTED_VALUE"""),"CIC MARIA LOBATO")</f>
        <v>CIC MARIA LOBATO</v>
      </c>
      <c r="C45" s="30" t="str">
        <f ca="1">IFERROR(__xludf.DUMMYFUNCTION("""COMPUTED_VALUE"""),"Buenos Aires")</f>
        <v>Buenos Aires</v>
      </c>
      <c r="D45" s="30" t="str">
        <f ca="1">IFERROR(__xludf.DUMMYFUNCTION("""COMPUTED_VALUE"""),"6")</f>
        <v>6</v>
      </c>
      <c r="E45" s="30" t="str">
        <f ca="1">IFERROR(__xludf.DUMMYFUNCTION("""COMPUTED_VALUE"""),"si")</f>
        <v>si</v>
      </c>
      <c r="F45" s="29"/>
      <c r="G45" s="29"/>
      <c r="H45" s="30" t="str">
        <f ca="1">IFERROR(__xludf.DUMMYFUNCTION("""COMPUTED_VALUE"""),"activo")</f>
        <v>activo</v>
      </c>
      <c r="I45" s="29"/>
      <c r="J45" s="29"/>
      <c r="K45" s="29"/>
      <c r="L45" s="30" t="str">
        <f ca="1">IFERROR(__xludf.DUMMYFUNCTION("""COMPUTED_VALUE"""),"No")</f>
        <v>No</v>
      </c>
      <c r="M45" s="30" t="str">
        <f ca="1">IFERROR(__xludf.DUMMYFUNCTION("""COMPUTED_VALUE"""),"6760010004")</f>
        <v>6760010004</v>
      </c>
      <c r="N45" s="30" t="str">
        <f ca="1">IFERROR(__xludf.DUMMYFUNCTION("""COMPUTED_VALUE"""),"SAN MIGUEL")</f>
        <v>SAN MIGUEL</v>
      </c>
      <c r="O45" s="30" t="str">
        <f ca="1">IFERROR(__xludf.DUMMYFUNCTION("""COMPUTED_VALUE"""),"6760")</f>
        <v>6760</v>
      </c>
      <c r="P45" s="30" t="str">
        <f ca="1">IFERROR(__xludf.DUMMYFUNCTION("""COMPUTED_VALUE"""),"SAN MIGUEL")</f>
        <v>SAN MIGUEL</v>
      </c>
      <c r="Q45" s="30" t="str">
        <f ca="1">IFERROR(__xludf.DUMMYFUNCTION("""COMPUTED_VALUE"""),"-34.573771")</f>
        <v>-34.573771</v>
      </c>
      <c r="R45" s="30" t="str">
        <f ca="1">IFERROR(__xludf.DUMMYFUNCTION("""COMPUTED_VALUE"""),"-58.729505")</f>
        <v>-58.729505</v>
      </c>
      <c r="S45" s="30" t="str">
        <f ca="1">IFERROR(__xludf.DUMMYFUNCTION("""COMPUTED_VALUE"""),"Municipal")</f>
        <v>Municipal</v>
      </c>
      <c r="T45" s="30" t="str">
        <f ca="1">IFERROR(__xludf.DUMMYFUNCTION("""COMPUTED_VALUE"""),"SAN MIGUEL")</f>
        <v>SAN MIGUEL</v>
      </c>
    </row>
    <row r="46" spans="1:20" ht="15.75" customHeight="1" x14ac:dyDescent="0.25">
      <c r="A46" s="30" t="str">
        <f ca="1">IFERROR(__xludf.DUMMYFUNCTION("""COMPUTED_VALUE"""),"50067602202747")</f>
        <v>50067602202747</v>
      </c>
      <c r="B46" s="30" t="str">
        <f ca="1">IFERROR(__xludf.DUMMYFUNCTION("""COMPUTED_VALUE"""),"UNIDAD SANITARIA RAMON CARRILLO DE SAN MIGUEL")</f>
        <v>UNIDAD SANITARIA RAMON CARRILLO DE SAN MIGUEL</v>
      </c>
      <c r="C46" s="30" t="str">
        <f ca="1">IFERROR(__xludf.DUMMYFUNCTION("""COMPUTED_VALUE"""),"Buenos Aires")</f>
        <v>Buenos Aires</v>
      </c>
      <c r="D46" s="30" t="str">
        <f ca="1">IFERROR(__xludf.DUMMYFUNCTION("""COMPUTED_VALUE"""),"6")</f>
        <v>6</v>
      </c>
      <c r="E46" s="30" t="str">
        <f ca="1">IFERROR(__xludf.DUMMYFUNCTION("""COMPUTED_VALUE"""),"si")</f>
        <v>si</v>
      </c>
      <c r="F46" s="29"/>
      <c r="G46" s="29"/>
      <c r="H46" s="30" t="str">
        <f ca="1">IFERROR(__xludf.DUMMYFUNCTION("""COMPUTED_VALUE"""),"activo")</f>
        <v>activo</v>
      </c>
      <c r="I46" s="29"/>
      <c r="J46" s="29"/>
      <c r="K46" s="29"/>
      <c r="L46" s="30" t="str">
        <f ca="1">IFERROR(__xludf.DUMMYFUNCTION("""COMPUTED_VALUE"""),"No")</f>
        <v>No</v>
      </c>
      <c r="M46" s="30" t="str">
        <f ca="1">IFERROR(__xludf.DUMMYFUNCTION("""COMPUTED_VALUE"""),"6760010004")</f>
        <v>6760010004</v>
      </c>
      <c r="N46" s="30" t="str">
        <f ca="1">IFERROR(__xludf.DUMMYFUNCTION("""COMPUTED_VALUE"""),"SAN MIGUEL")</f>
        <v>SAN MIGUEL</v>
      </c>
      <c r="O46" s="30" t="str">
        <f ca="1">IFERROR(__xludf.DUMMYFUNCTION("""COMPUTED_VALUE"""),"6760")</f>
        <v>6760</v>
      </c>
      <c r="P46" s="30" t="str">
        <f ca="1">IFERROR(__xludf.DUMMYFUNCTION("""COMPUTED_VALUE"""),"SAN MIGUEL")</f>
        <v>SAN MIGUEL</v>
      </c>
      <c r="Q46" s="30" t="str">
        <f ca="1">IFERROR(__xludf.DUMMYFUNCTION("""COMPUTED_VALUE"""),"-34.5895222")</f>
        <v>-34.5895222</v>
      </c>
      <c r="R46" s="30" t="str">
        <f ca="1">IFERROR(__xludf.DUMMYFUNCTION("""COMPUTED_VALUE"""),"-58.730358")</f>
        <v>-58.730358</v>
      </c>
      <c r="S46" s="30" t="str">
        <f ca="1">IFERROR(__xludf.DUMMYFUNCTION("""COMPUTED_VALUE"""),"Municipal")</f>
        <v>Municipal</v>
      </c>
      <c r="T46" s="30" t="str">
        <f ca="1">IFERROR(__xludf.DUMMYFUNCTION("""COMPUTED_VALUE"""),"SAN MIGUEL")</f>
        <v>SAN MIGUEL</v>
      </c>
    </row>
    <row r="47" spans="1:20" ht="15.75" customHeight="1" x14ac:dyDescent="0.25">
      <c r="A47" s="30" t="str">
        <f ca="1">IFERROR(__xludf.DUMMYFUNCTION("""COMPUTED_VALUE"""),"50063712202522")</f>
        <v>50063712202522</v>
      </c>
      <c r="B47" s="30" t="str">
        <f ca="1">IFERROR(__xludf.DUMMYFUNCTION("""COMPUTED_VALUE"""),"UNIDAD SANITARIA N° 16 SALVADOR MAZZA DE VILLA ZAGALA")</f>
        <v>UNIDAD SANITARIA N° 16 SALVADOR MAZZA DE VILLA ZAGALA</v>
      </c>
      <c r="C47" s="30" t="str">
        <f ca="1">IFERROR(__xludf.DUMMYFUNCTION("""COMPUTED_VALUE"""),"Buenos Aires")</f>
        <v>Buenos Aires</v>
      </c>
      <c r="D47" s="30" t="str">
        <f ca="1">IFERROR(__xludf.DUMMYFUNCTION("""COMPUTED_VALUE"""),"6")</f>
        <v>6</v>
      </c>
      <c r="E47" s="30" t="str">
        <f ca="1">IFERROR(__xludf.DUMMYFUNCTION("""COMPUTED_VALUE"""),"")</f>
        <v/>
      </c>
      <c r="F47" s="29"/>
      <c r="G47" s="29"/>
      <c r="H47" s="30" t="str">
        <f ca="1">IFERROR(__xludf.DUMMYFUNCTION("""COMPUTED_VALUE"""),"activo")</f>
        <v>activo</v>
      </c>
      <c r="I47" s="29"/>
      <c r="J47" s="29"/>
      <c r="K47" s="29"/>
      <c r="L47" s="30" t="str">
        <f ca="1">IFERROR(__xludf.DUMMYFUNCTION("""COMPUTED_VALUE"""),"No")</f>
        <v>No</v>
      </c>
      <c r="M47" s="30" t="str">
        <f ca="1">IFERROR(__xludf.DUMMYFUNCTION("""COMPUTED_VALUE"""),"6371070")</f>
        <v>6371070</v>
      </c>
      <c r="N47" s="30" t="str">
        <f ca="1">IFERROR(__xludf.DUMMYFUNCTION("""COMPUTED_VALUE"""),"VILLA ZAGALA")</f>
        <v>VILLA ZAGALA</v>
      </c>
      <c r="O47" s="30" t="str">
        <f ca="1">IFERROR(__xludf.DUMMYFUNCTION("""COMPUTED_VALUE"""),"6371")</f>
        <v>6371</v>
      </c>
      <c r="P47" s="30" t="str">
        <f ca="1">IFERROR(__xludf.DUMMYFUNCTION("""COMPUTED_VALUE"""),"GENERAL SAN MARTÍN")</f>
        <v>GENERAL SAN MARTÍN</v>
      </c>
      <c r="Q47" s="30" t="str">
        <f ca="1">IFERROR(__xludf.DUMMYFUNCTION("""COMPUTED_VALUE"""),"-34.55501")</f>
        <v>-34.55501</v>
      </c>
      <c r="R47" s="30" t="str">
        <f ca="1">IFERROR(__xludf.DUMMYFUNCTION("""COMPUTED_VALUE"""),"-58.526405")</f>
        <v>-58.526405</v>
      </c>
      <c r="S47" s="30" t="str">
        <f ca="1">IFERROR(__xludf.DUMMYFUNCTION("""COMPUTED_VALUE"""),"Municipal")</f>
        <v>Municipal</v>
      </c>
      <c r="T47" s="30" t="str">
        <f ca="1">IFERROR(__xludf.DUMMYFUNCTION("""COMPUTED_VALUE"""),"GENERAL SAN MARTÍN")</f>
        <v>GENERAL SAN MARTÍN</v>
      </c>
    </row>
    <row r="48" spans="1:20" ht="15.75" customHeight="1" x14ac:dyDescent="0.25">
      <c r="A48" s="30" t="str">
        <f ca="1">IFERROR(__xludf.DUMMYFUNCTION("""COMPUTED_VALUE"""),"50063712201328")</f>
        <v>50063712201328</v>
      </c>
      <c r="B48" s="30" t="str">
        <f ca="1">IFERROR(__xludf.DUMMYFUNCTION("""COMPUTED_VALUE"""),"CENTRO DE SALUD N° 6 BARRIO LIBERTADOR DE LOMA HERMOSA")</f>
        <v>CENTRO DE SALUD N° 6 BARRIO LIBERTADOR DE LOMA HERMOSA</v>
      </c>
      <c r="C48" s="30" t="str">
        <f ca="1">IFERROR(__xludf.DUMMYFUNCTION("""COMPUTED_VALUE"""),"Buenos Aires")</f>
        <v>Buenos Aires</v>
      </c>
      <c r="D48" s="30" t="str">
        <f ca="1">IFERROR(__xludf.DUMMYFUNCTION("""COMPUTED_VALUE"""),"6")</f>
        <v>6</v>
      </c>
      <c r="E48" s="30" t="str">
        <f ca="1">IFERROR(__xludf.DUMMYFUNCTION("""COMPUTED_VALUE"""),"")</f>
        <v/>
      </c>
      <c r="F48" s="29"/>
      <c r="G48" s="29"/>
      <c r="H48" s="30" t="str">
        <f ca="1">IFERROR(__xludf.DUMMYFUNCTION("""COMPUTED_VALUE"""),"activo")</f>
        <v>activo</v>
      </c>
      <c r="I48" s="29"/>
      <c r="J48" s="29"/>
      <c r="K48" s="29"/>
      <c r="L48" s="30" t="str">
        <f ca="1">IFERROR(__xludf.DUMMYFUNCTION("""COMPUTED_VALUE"""),"No")</f>
        <v>No</v>
      </c>
      <c r="M48" s="30" t="str">
        <f ca="1">IFERROR(__xludf.DUMMYFUNCTION("""COMPUTED_VALUE"""),"6371050")</f>
        <v>6371050</v>
      </c>
      <c r="N48" s="30" t="str">
        <f ca="1">IFERROR(__xludf.DUMMYFUNCTION("""COMPUTED_VALUE"""),"LOMA HERMOSA")</f>
        <v>LOMA HERMOSA</v>
      </c>
      <c r="O48" s="30" t="str">
        <f ca="1">IFERROR(__xludf.DUMMYFUNCTION("""COMPUTED_VALUE"""),"6371")</f>
        <v>6371</v>
      </c>
      <c r="P48" s="30" t="str">
        <f ca="1">IFERROR(__xludf.DUMMYFUNCTION("""COMPUTED_VALUE"""),"GENERAL SAN MARTÍN")</f>
        <v>GENERAL SAN MARTÍN</v>
      </c>
      <c r="Q48" s="30" t="str">
        <f ca="1">IFERROR(__xludf.DUMMYFUNCTION("""COMPUTED_VALUE"""),"-34.55378098")</f>
        <v>-34.55378098</v>
      </c>
      <c r="R48" s="30" t="str">
        <f ca="1">IFERROR(__xludf.DUMMYFUNCTION("""COMPUTED_VALUE"""),"-58.59262848")</f>
        <v>-58.59262848</v>
      </c>
      <c r="S48" s="30" t="str">
        <f ca="1">IFERROR(__xludf.DUMMYFUNCTION("""COMPUTED_VALUE"""),"Municipal")</f>
        <v>Municipal</v>
      </c>
      <c r="T48" s="30" t="str">
        <f ca="1">IFERROR(__xludf.DUMMYFUNCTION("""COMPUTED_VALUE"""),"GENERAL SAN MARTÍN")</f>
        <v>GENERAL SAN MARTÍN</v>
      </c>
    </row>
    <row r="49" spans="1:20" ht="15.75" customHeight="1" x14ac:dyDescent="0.25">
      <c r="A49" s="30" t="str">
        <f ca="1">IFERROR(__xludf.DUMMYFUNCTION("""COMPUTED_VALUE"""),"50063712202680")</f>
        <v>50063712202680</v>
      </c>
      <c r="B49" s="30" t="str">
        <f ca="1">IFERROR(__xludf.DUMMYFUNCTION("""COMPUTED_VALUE"""),"UNIDAD SANITARIA N° 9 DE VILLA BILLINGHURST")</f>
        <v>UNIDAD SANITARIA N° 9 DE VILLA BILLINGHURST</v>
      </c>
      <c r="C49" s="30" t="str">
        <f ca="1">IFERROR(__xludf.DUMMYFUNCTION("""COMPUTED_VALUE"""),"Buenos Aires")</f>
        <v>Buenos Aires</v>
      </c>
      <c r="D49" s="30" t="str">
        <f ca="1">IFERROR(__xludf.DUMMYFUNCTION("""COMPUTED_VALUE"""),"6")</f>
        <v>6</v>
      </c>
      <c r="E49" s="30" t="str">
        <f ca="1">IFERROR(__xludf.DUMMYFUNCTION("""COMPUTED_VALUE"""),"")</f>
        <v/>
      </c>
      <c r="F49" s="29"/>
      <c r="G49" s="29"/>
      <c r="H49" s="30" t="str">
        <f ca="1">IFERROR(__xludf.DUMMYFUNCTION("""COMPUTED_VALUE"""),"activo")</f>
        <v>activo</v>
      </c>
      <c r="I49" s="29"/>
      <c r="J49" s="29"/>
      <c r="K49" s="29"/>
      <c r="L49" s="30" t="str">
        <f ca="1">IFERROR(__xludf.DUMMYFUNCTION("""COMPUTED_VALUE"""),"No")</f>
        <v>No</v>
      </c>
      <c r="M49" s="30" t="str">
        <f ca="1">IFERROR(__xludf.DUMMYFUNCTION("""COMPUTED_VALUE"""),"6371010002")</f>
        <v>6371010002</v>
      </c>
      <c r="N49" s="30" t="str">
        <f ca="1">IFERROR(__xludf.DUMMYFUNCTION("""COMPUTED_VALUE"""),"BILLINGHURST")</f>
        <v>BILLINGHURST</v>
      </c>
      <c r="O49" s="30" t="str">
        <f ca="1">IFERROR(__xludf.DUMMYFUNCTION("""COMPUTED_VALUE"""),"6371")</f>
        <v>6371</v>
      </c>
      <c r="P49" s="30" t="str">
        <f ca="1">IFERROR(__xludf.DUMMYFUNCTION("""COMPUTED_VALUE"""),"GENERAL SAN MARTÍN")</f>
        <v>GENERAL SAN MARTÍN</v>
      </c>
      <c r="Q49" s="30" t="str">
        <f ca="1">IFERROR(__xludf.DUMMYFUNCTION("""COMPUTED_VALUE"""),"-34.5805771")</f>
        <v>-34.5805771</v>
      </c>
      <c r="R49" s="30" t="str">
        <f ca="1">IFERROR(__xludf.DUMMYFUNCTION("""COMPUTED_VALUE"""),"-58.5691387")</f>
        <v>-58.5691387</v>
      </c>
      <c r="S49" s="30" t="str">
        <f ca="1">IFERROR(__xludf.DUMMYFUNCTION("""COMPUTED_VALUE"""),"Municipal")</f>
        <v>Municipal</v>
      </c>
      <c r="T49" s="30" t="str">
        <f ca="1">IFERROR(__xludf.DUMMYFUNCTION("""COMPUTED_VALUE"""),"GENERAL SAN MARTÍN")</f>
        <v>GENERAL SAN MARTÍN</v>
      </c>
    </row>
    <row r="50" spans="1:20" ht="15.75" customHeight="1" x14ac:dyDescent="0.25">
      <c r="A50" s="30" t="str">
        <f ca="1">IFERROR(__xludf.DUMMYFUNCTION("""COMPUTED_VALUE"""),"50063712201220")</f>
        <v>50063712201220</v>
      </c>
      <c r="B50" s="30" t="str">
        <f ca="1">IFERROR(__xludf.DUMMYFUNCTION("""COMPUTED_VALUE"""),"CENTRO DE SALUD DR. ALEXANDER FLEMING")</f>
        <v>CENTRO DE SALUD DR. ALEXANDER FLEMING</v>
      </c>
      <c r="C50" s="30" t="str">
        <f ca="1">IFERROR(__xludf.DUMMYFUNCTION("""COMPUTED_VALUE"""),"Buenos Aires")</f>
        <v>Buenos Aires</v>
      </c>
      <c r="D50" s="30" t="str">
        <f ca="1">IFERROR(__xludf.DUMMYFUNCTION("""COMPUTED_VALUE"""),"6")</f>
        <v>6</v>
      </c>
      <c r="E50" s="30" t="str">
        <f ca="1">IFERROR(__xludf.DUMMYFUNCTION("""COMPUTED_VALUE"""),"")</f>
        <v/>
      </c>
      <c r="F50" s="29"/>
      <c r="G50" s="29"/>
      <c r="H50" s="30" t="str">
        <f ca="1">IFERROR(__xludf.DUMMYFUNCTION("""COMPUTED_VALUE"""),"activo")</f>
        <v>activo</v>
      </c>
      <c r="I50" s="29"/>
      <c r="J50" s="29"/>
      <c r="K50" s="29"/>
      <c r="L50" s="30" t="str">
        <f ca="1">IFERROR(__xludf.DUMMYFUNCTION("""COMPUTED_VALUE"""),"No")</f>
        <v>No</v>
      </c>
      <c r="M50" s="30" t="str">
        <f ca="1">IFERROR(__xludf.DUMMYFUNCTION("""COMPUTED_VALUE"""),"6371020")</f>
        <v>6371020</v>
      </c>
      <c r="N50" s="30" t="str">
        <f ca="1">IFERROR(__xludf.DUMMYFUNCTION("""COMPUTED_VALUE"""),"JOSÉ LEÓN SUAREZ")</f>
        <v>JOSÉ LEÓN SUAREZ</v>
      </c>
      <c r="O50" s="30" t="str">
        <f ca="1">IFERROR(__xludf.DUMMYFUNCTION("""COMPUTED_VALUE"""),"6371")</f>
        <v>6371</v>
      </c>
      <c r="P50" s="30" t="str">
        <f ca="1">IFERROR(__xludf.DUMMYFUNCTION("""COMPUTED_VALUE"""),"GENERAL SAN MARTÍN")</f>
        <v>GENERAL SAN MARTÍN</v>
      </c>
      <c r="Q50" s="30" t="str">
        <f ca="1">IFERROR(__xludf.DUMMYFUNCTION("""COMPUTED_VALUE"""),"-34.52968204")</f>
        <v>-34.52968204</v>
      </c>
      <c r="R50" s="30" t="str">
        <f ca="1">IFERROR(__xludf.DUMMYFUNCTION("""COMPUTED_VALUE"""),"-58.5724926")</f>
        <v>-58.5724926</v>
      </c>
      <c r="S50" s="30" t="str">
        <f ca="1">IFERROR(__xludf.DUMMYFUNCTION("""COMPUTED_VALUE"""),"Municipal")</f>
        <v>Municipal</v>
      </c>
      <c r="T50" s="30" t="str">
        <f ca="1">IFERROR(__xludf.DUMMYFUNCTION("""COMPUTED_VALUE"""),"GENERAL SAN MARTÍN")</f>
        <v>GENERAL SAN MARTÍN</v>
      </c>
    </row>
    <row r="51" spans="1:20" ht="15.75" customHeight="1" x14ac:dyDescent="0.25">
      <c r="A51" s="30" t="str">
        <f ca="1">IFERROR(__xludf.DUMMYFUNCTION("""COMPUTED_VALUE"""),"50062522201232")</f>
        <v>50062522201232</v>
      </c>
      <c r="B51" s="30" t="str">
        <f ca="1">IFERROR(__xludf.DUMMYFUNCTION("""COMPUTED_VALUE"""),"CENTRO DE SALUD DR. LUIS RESIO")</f>
        <v>CENTRO DE SALUD DR. LUIS RESIO</v>
      </c>
      <c r="C51" s="30" t="str">
        <f ca="1">IFERROR(__xludf.DUMMYFUNCTION("""COMPUTED_VALUE"""),"Buenos Aires")</f>
        <v>Buenos Aires</v>
      </c>
      <c r="D51" s="30" t="str">
        <f ca="1">IFERROR(__xludf.DUMMYFUNCTION("""COMPUTED_VALUE"""),"6")</f>
        <v>6</v>
      </c>
      <c r="E51" s="30" t="str">
        <f ca="1">IFERROR(__xludf.DUMMYFUNCTION("""COMPUTED_VALUE"""),"")</f>
        <v/>
      </c>
      <c r="F51" s="29"/>
      <c r="G51" s="30" t="str">
        <f ca="1">IFERROR(__xludf.DUMMYFUNCTION("""COMPUTED_VALUE"""),"50061192217601")</f>
        <v>50061192217601</v>
      </c>
      <c r="H51" s="30" t="str">
        <f ca="1">IFERROR(__xludf.DUMMYFUNCTION("""COMPUTED_VALUE"""),"inactivo")</f>
        <v>inactivo</v>
      </c>
      <c r="I51" s="29"/>
      <c r="J51" s="29"/>
      <c r="K51" s="29"/>
      <c r="L51" s="30" t="str">
        <f ca="1">IFERROR(__xludf.DUMMYFUNCTION("""COMPUTED_VALUE"""),"No")</f>
        <v>No</v>
      </c>
      <c r="M51" s="30" t="str">
        <f ca="1">IFERROR(__xludf.DUMMYFUNCTION("""COMPUTED_VALUE"""),"6252010003")</f>
        <v>6252010003</v>
      </c>
      <c r="N51" s="30" t="str">
        <f ca="1">IFERROR(__xludf.DUMMYFUNCTION("""COMPUTED_VALUE"""),"GARIN")</f>
        <v>GARIN</v>
      </c>
      <c r="O51" s="30" t="str">
        <f ca="1">IFERROR(__xludf.DUMMYFUNCTION("""COMPUTED_VALUE"""),"6252")</f>
        <v>6252</v>
      </c>
      <c r="P51" s="30" t="str">
        <f ca="1">IFERROR(__xludf.DUMMYFUNCTION("""COMPUTED_VALUE"""),"ESCOBAR")</f>
        <v>ESCOBAR</v>
      </c>
      <c r="Q51" s="30" t="str">
        <f ca="1">IFERROR(__xludf.DUMMYFUNCTION("""COMPUTED_VALUE"""),"-34.42106156")</f>
        <v>-34.42106156</v>
      </c>
      <c r="R51" s="30" t="str">
        <f ca="1">IFERROR(__xludf.DUMMYFUNCTION("""COMPUTED_VALUE"""),"-58.73363757")</f>
        <v>-58.73363757</v>
      </c>
      <c r="S51" s="30" t="str">
        <f ca="1">IFERROR(__xludf.DUMMYFUNCTION("""COMPUTED_VALUE"""),"Municipal")</f>
        <v>Municipal</v>
      </c>
      <c r="T51" s="30" t="str">
        <f ca="1">IFERROR(__xludf.DUMMYFUNCTION("""COMPUTED_VALUE"""),"ESCOBAR")</f>
        <v>ESCOBAR</v>
      </c>
    </row>
    <row r="52" spans="1:20" ht="15.75" customHeight="1" x14ac:dyDescent="0.25">
      <c r="A52" s="30" t="str">
        <f ca="1">IFERROR(__xludf.DUMMYFUNCTION("""COMPUTED_VALUE"""),"50061192217601")</f>
        <v>50061192217601</v>
      </c>
      <c r="B52" s="30" t="str">
        <f ca="1">IFERROR(__xludf.DUMMYFUNCTION("""COMPUTED_VALUE"""),"CAPS LAS GOLONDRINAS")</f>
        <v>CAPS LAS GOLONDRINAS</v>
      </c>
      <c r="C52" s="30" t="str">
        <f ca="1">IFERROR(__xludf.DUMMYFUNCTION("""COMPUTED_VALUE"""),"Buenos Aires")</f>
        <v>Buenos Aires</v>
      </c>
      <c r="D52" s="30" t="str">
        <f ca="1">IFERROR(__xludf.DUMMYFUNCTION("""COMPUTED_VALUE"""),"6")</f>
        <v>6</v>
      </c>
      <c r="E52" s="30" t="str">
        <f ca="1">IFERROR(__xludf.DUMMYFUNCTION("""COMPUTED_VALUE"""),"")</f>
        <v/>
      </c>
      <c r="F52" s="30" t="str">
        <f ca="1">IFERROR(__xludf.DUMMYFUNCTION("""COMPUTED_VALUE"""),"50062522201232")</f>
        <v>50062522201232</v>
      </c>
      <c r="G52" s="29"/>
      <c r="H52" s="30" t="str">
        <f ca="1">IFERROR(__xludf.DUMMYFUNCTION("""COMPUTED_VALUE"""),"activo")</f>
        <v>activo</v>
      </c>
      <c r="I52" s="29"/>
      <c r="J52" s="29"/>
      <c r="K52" s="29"/>
      <c r="L52" s="30" t="str">
        <f ca="1">IFERROR(__xludf.DUMMYFUNCTION("""COMPUTED_VALUE"""),"No")</f>
        <v>No</v>
      </c>
      <c r="M52" s="30" t="str">
        <f ca="1">IFERROR(__xludf.DUMMYFUNCTION("""COMPUTED_VALUE"""),"6119060000")</f>
        <v>6119060000</v>
      </c>
      <c r="N52" s="30" t="str">
        <f ca="1">IFERROR(__xludf.DUMMYFUNCTION("""COMPUTED_VALUE"""),"GOMEZ")</f>
        <v>GOMEZ</v>
      </c>
      <c r="O52" s="30" t="str">
        <f ca="1">IFERROR(__xludf.DUMMYFUNCTION("""COMPUTED_VALUE"""),"6119")</f>
        <v>6119</v>
      </c>
      <c r="P52" s="30" t="str">
        <f ca="1">IFERROR(__xludf.DUMMYFUNCTION("""COMPUTED_VALUE"""),"BRANDSEN")</f>
        <v>BRANDSEN</v>
      </c>
      <c r="Q52" s="30" t="str">
        <f ca="1">IFERROR(__xludf.DUMMYFUNCTION("""COMPUTED_VALUE"""),"-36.42397885")</f>
        <v>-36.42397885</v>
      </c>
      <c r="R52" s="30" t="str">
        <f ca="1">IFERROR(__xludf.DUMMYFUNCTION("""COMPUTED_VALUE"""),"-59.90719083")</f>
        <v>-59.90719083</v>
      </c>
      <c r="S52" s="30" t="str">
        <f ca="1">IFERROR(__xludf.DUMMYFUNCTION("""COMPUTED_VALUE"""),"Municipal")</f>
        <v>Municipal</v>
      </c>
      <c r="T52" s="30" t="str">
        <f ca="1">IFERROR(__xludf.DUMMYFUNCTION("""COMPUTED_VALUE"""),"BRANDSEN")</f>
        <v>BRANDSEN</v>
      </c>
    </row>
    <row r="53" spans="1:20" ht="15.75" customHeight="1" x14ac:dyDescent="0.25">
      <c r="A53" s="30" t="str">
        <f ca="1">IFERROR(__xludf.DUMMYFUNCTION("""COMPUTED_VALUE"""),"50062522202283")</f>
        <v>50062522202283</v>
      </c>
      <c r="B53" s="30" t="str">
        <f ca="1">IFERROR(__xludf.DUMMYFUNCTION("""COMPUTED_VALUE"""),"UNIDAD SANITARIA EVA PERON DE ESCOBAR")</f>
        <v>UNIDAD SANITARIA EVA PERON DE ESCOBAR</v>
      </c>
      <c r="C53" s="30" t="str">
        <f ca="1">IFERROR(__xludf.DUMMYFUNCTION("""COMPUTED_VALUE"""),"Buenos Aires")</f>
        <v>Buenos Aires</v>
      </c>
      <c r="D53" s="30" t="str">
        <f ca="1">IFERROR(__xludf.DUMMYFUNCTION("""COMPUTED_VALUE"""),"6")</f>
        <v>6</v>
      </c>
      <c r="E53" s="30" t="str">
        <f ca="1">IFERROR(__xludf.DUMMYFUNCTION("""COMPUTED_VALUE"""),"")</f>
        <v/>
      </c>
      <c r="F53" s="29"/>
      <c r="G53" s="29"/>
      <c r="H53" s="30" t="str">
        <f ca="1">IFERROR(__xludf.DUMMYFUNCTION("""COMPUTED_VALUE"""),"activo")</f>
        <v>activo</v>
      </c>
      <c r="I53" s="29"/>
      <c r="J53" s="29"/>
      <c r="K53" s="29"/>
      <c r="L53" s="30" t="str">
        <f ca="1">IFERROR(__xludf.DUMMYFUNCTION("""COMPUTED_VALUE"""),"No")</f>
        <v>No</v>
      </c>
      <c r="M53" s="30" t="str">
        <f ca="1">IFERROR(__xludf.DUMMYFUNCTION("""COMPUTED_VALUE"""),"6252010007")</f>
        <v>6252010007</v>
      </c>
      <c r="N53" s="30" t="str">
        <f ca="1">IFERROR(__xludf.DUMMYFUNCTION("""COMPUTED_VALUE"""),"MAQUINISTA F. SAVIO ESTE")</f>
        <v>MAQUINISTA F. SAVIO ESTE</v>
      </c>
      <c r="O53" s="30" t="str">
        <f ca="1">IFERROR(__xludf.DUMMYFUNCTION("""COMPUTED_VALUE"""),"6252")</f>
        <v>6252</v>
      </c>
      <c r="P53" s="30" t="str">
        <f ca="1">IFERROR(__xludf.DUMMYFUNCTION("""COMPUTED_VALUE"""),"ESCOBAR")</f>
        <v>ESCOBAR</v>
      </c>
      <c r="Q53" s="30" t="str">
        <f ca="1">IFERROR(__xludf.DUMMYFUNCTION("""COMPUTED_VALUE"""),"-34.31748023")</f>
        <v>-34.31748023</v>
      </c>
      <c r="R53" s="30" t="str">
        <f ca="1">IFERROR(__xludf.DUMMYFUNCTION("""COMPUTED_VALUE"""),"-58.77538776")</f>
        <v>-58.77538776</v>
      </c>
      <c r="S53" s="30" t="str">
        <f ca="1">IFERROR(__xludf.DUMMYFUNCTION("""COMPUTED_VALUE"""),"Municipal")</f>
        <v>Municipal</v>
      </c>
      <c r="T53" s="30" t="str">
        <f ca="1">IFERROR(__xludf.DUMMYFUNCTION("""COMPUTED_VALUE"""),"ESCOBAR")</f>
        <v>ESCOBAR</v>
      </c>
    </row>
    <row r="54" spans="1:20" ht="15.75" customHeight="1" x14ac:dyDescent="0.25">
      <c r="A54" s="30" t="str">
        <f ca="1">IFERROR(__xludf.DUMMYFUNCTION("""COMPUTED_VALUE"""),"50062522201775")</f>
        <v>50062522201775</v>
      </c>
      <c r="B54" s="30" t="str">
        <f ca="1">IFERROR(__xludf.DUMMYFUNCTION("""COMPUTED_VALUE"""),"SALA ARGENTINO TORRES")</f>
        <v>SALA ARGENTINO TORRES</v>
      </c>
      <c r="C54" s="30" t="str">
        <f ca="1">IFERROR(__xludf.DUMMYFUNCTION("""COMPUTED_VALUE"""),"Buenos Aires")</f>
        <v>Buenos Aires</v>
      </c>
      <c r="D54" s="30" t="str">
        <f ca="1">IFERROR(__xludf.DUMMYFUNCTION("""COMPUTED_VALUE"""),"6")</f>
        <v>6</v>
      </c>
      <c r="E54" s="30" t="str">
        <f ca="1">IFERROR(__xludf.DUMMYFUNCTION("""COMPUTED_VALUE"""),"")</f>
        <v/>
      </c>
      <c r="F54" s="29"/>
      <c r="G54" s="29"/>
      <c r="H54" s="30" t="str">
        <f ca="1">IFERROR(__xludf.DUMMYFUNCTION("""COMPUTED_VALUE"""),"activo")</f>
        <v>activo</v>
      </c>
      <c r="I54" s="29"/>
      <c r="J54" s="29"/>
      <c r="K54" s="29"/>
      <c r="L54" s="30" t="str">
        <f ca="1">IFERROR(__xludf.DUMMYFUNCTION("""COMPUTED_VALUE"""),"No")</f>
        <v>No</v>
      </c>
      <c r="M54" s="30" t="str">
        <f ca="1">IFERROR(__xludf.DUMMYFUNCTION("""COMPUTED_VALUE"""),"6252010004")</f>
        <v>6252010004</v>
      </c>
      <c r="N54" s="30" t="str">
        <f ca="1">IFERROR(__xludf.DUMMYFUNCTION("""COMPUTED_VALUE"""),"INGENIERO MASCHWITZ")</f>
        <v>INGENIERO MASCHWITZ</v>
      </c>
      <c r="O54" s="30" t="str">
        <f ca="1">IFERROR(__xludf.DUMMYFUNCTION("""COMPUTED_VALUE"""),"6252")</f>
        <v>6252</v>
      </c>
      <c r="P54" s="30" t="str">
        <f ca="1">IFERROR(__xludf.DUMMYFUNCTION("""COMPUTED_VALUE"""),"ESCOBAR")</f>
        <v>ESCOBAR</v>
      </c>
      <c r="Q54" s="30" t="str">
        <f ca="1">IFERROR(__xludf.DUMMYFUNCTION("""COMPUTED_VALUE"""),"-34.3884648")</f>
        <v>-34.3884648</v>
      </c>
      <c r="R54" s="30" t="str">
        <f ca="1">IFERROR(__xludf.DUMMYFUNCTION("""COMPUTED_VALUE"""),"-58.7376309")</f>
        <v>-58.7376309</v>
      </c>
      <c r="S54" s="30" t="str">
        <f ca="1">IFERROR(__xludf.DUMMYFUNCTION("""COMPUTED_VALUE"""),"Municipal")</f>
        <v>Municipal</v>
      </c>
      <c r="T54" s="30" t="str">
        <f ca="1">IFERROR(__xludf.DUMMYFUNCTION("""COMPUTED_VALUE"""),"ESCOBAR")</f>
        <v>ESCOBAR</v>
      </c>
    </row>
    <row r="55" spans="1:20" ht="15.75" customHeight="1" x14ac:dyDescent="0.25">
      <c r="A55" s="30" t="str">
        <f ca="1">IFERROR(__xludf.DUMMYFUNCTION("""COMPUTED_VALUE"""),"50062522106692")</f>
        <v>50062522106692</v>
      </c>
      <c r="B55" s="30" t="str">
        <f ca="1">IFERROR(__xludf.DUMMYFUNCTION("""COMPUTED_VALUE"""),"CENTRO DE SALUD AURORA PEÑALBA")</f>
        <v>CENTRO DE SALUD AURORA PEÑALBA</v>
      </c>
      <c r="C55" s="30" t="str">
        <f ca="1">IFERROR(__xludf.DUMMYFUNCTION("""COMPUTED_VALUE"""),"Buenos Aires")</f>
        <v>Buenos Aires</v>
      </c>
      <c r="D55" s="30" t="str">
        <f ca="1">IFERROR(__xludf.DUMMYFUNCTION("""COMPUTED_VALUE"""),"6")</f>
        <v>6</v>
      </c>
      <c r="E55" s="30" t="str">
        <f ca="1">IFERROR(__xludf.DUMMYFUNCTION("""COMPUTED_VALUE"""),"")</f>
        <v/>
      </c>
      <c r="F55" s="29"/>
      <c r="G55" s="30" t="str">
        <f ca="1">IFERROR(__xludf.DUMMYFUNCTION("""COMPUTED_VALUE"""),"50061192202424")</f>
        <v>50061192202424</v>
      </c>
      <c r="H55" s="30" t="str">
        <f ca="1">IFERROR(__xludf.DUMMYFUNCTION("""COMPUTED_VALUE"""),"inactivo")</f>
        <v>inactivo</v>
      </c>
      <c r="I55" s="29"/>
      <c r="J55" s="29"/>
      <c r="K55" s="29"/>
      <c r="L55" s="30" t="str">
        <f ca="1">IFERROR(__xludf.DUMMYFUNCTION("""COMPUTED_VALUE"""),"No")</f>
        <v>No</v>
      </c>
      <c r="M55" s="30" t="str">
        <f ca="1">IFERROR(__xludf.DUMMYFUNCTION("""COMPUTED_VALUE"""),"6252010001")</f>
        <v>6252010001</v>
      </c>
      <c r="N55" s="30" t="str">
        <f ca="1">IFERROR(__xludf.DUMMYFUNCTION("""COMPUTED_VALUE"""),"BELEN DE ESCOBAR")</f>
        <v>BELEN DE ESCOBAR</v>
      </c>
      <c r="O55" s="30" t="str">
        <f ca="1">IFERROR(__xludf.DUMMYFUNCTION("""COMPUTED_VALUE"""),"6252")</f>
        <v>6252</v>
      </c>
      <c r="P55" s="30" t="str">
        <f ca="1">IFERROR(__xludf.DUMMYFUNCTION("""COMPUTED_VALUE"""),"ESCOBAR")</f>
        <v>ESCOBAR</v>
      </c>
      <c r="Q55" s="30" t="str">
        <f ca="1">IFERROR(__xludf.DUMMYFUNCTION("""COMPUTED_VALUE"""),"-34.360301")</f>
        <v>-34.360301</v>
      </c>
      <c r="R55" s="30" t="str">
        <f ca="1">IFERROR(__xludf.DUMMYFUNCTION("""COMPUTED_VALUE"""),"-58.776863")</f>
        <v>-58.776863</v>
      </c>
      <c r="S55" s="30" t="str">
        <f ca="1">IFERROR(__xludf.DUMMYFUNCTION("""COMPUTED_VALUE"""),"Municipal")</f>
        <v>Municipal</v>
      </c>
      <c r="T55" s="30" t="str">
        <f ca="1">IFERROR(__xludf.DUMMYFUNCTION("""COMPUTED_VALUE"""),"ESCOBAR")</f>
        <v>ESCOBAR</v>
      </c>
    </row>
    <row r="56" spans="1:20" ht="15.75" customHeight="1" x14ac:dyDescent="0.25">
      <c r="A56" s="30" t="str">
        <f ca="1">IFERROR(__xludf.DUMMYFUNCTION("""COMPUTED_VALUE"""),"50061192202424")</f>
        <v>50061192202424</v>
      </c>
      <c r="B56" s="30" t="str">
        <f ca="1">IFERROR(__xludf.DUMMYFUNCTION("""COMPUTED_VALUE"""),"UNIDAD SANITARIA LOS PINOS")</f>
        <v>UNIDAD SANITARIA LOS PINOS</v>
      </c>
      <c r="C56" s="30" t="str">
        <f ca="1">IFERROR(__xludf.DUMMYFUNCTION("""COMPUTED_VALUE"""),"Buenos Aires")</f>
        <v>Buenos Aires</v>
      </c>
      <c r="D56" s="30" t="str">
        <f ca="1">IFERROR(__xludf.DUMMYFUNCTION("""COMPUTED_VALUE"""),"6")</f>
        <v>6</v>
      </c>
      <c r="E56" s="30" t="str">
        <f ca="1">IFERROR(__xludf.DUMMYFUNCTION("""COMPUTED_VALUE"""),"")</f>
        <v/>
      </c>
      <c r="F56" s="30" t="str">
        <f ca="1">IFERROR(__xludf.DUMMYFUNCTION("""COMPUTED_VALUE"""),"50062522106692")</f>
        <v>50062522106692</v>
      </c>
      <c r="G56" s="29"/>
      <c r="H56" s="30" t="str">
        <f ca="1">IFERROR(__xludf.DUMMYFUNCTION("""COMPUTED_VALUE"""),"activo")</f>
        <v>activo</v>
      </c>
      <c r="I56" s="29"/>
      <c r="J56" s="29"/>
      <c r="K56" s="29"/>
      <c r="L56" s="30" t="str">
        <f ca="1">IFERROR(__xludf.DUMMYFUNCTION("""COMPUTED_VALUE"""),"No")</f>
        <v>No</v>
      </c>
      <c r="M56" s="30" t="str">
        <f ca="1">IFERROR(__xludf.DUMMYFUNCTION("""COMPUTED_VALUE"""),"6119050000")</f>
        <v>6119050000</v>
      </c>
      <c r="N56" s="30" t="str">
        <f ca="1">IFERROR(__xludf.DUMMYFUNCTION("""COMPUTED_VALUE"""),"CORONEL BRANDSEN")</f>
        <v>CORONEL BRANDSEN</v>
      </c>
      <c r="O56" s="30" t="str">
        <f ca="1">IFERROR(__xludf.DUMMYFUNCTION("""COMPUTED_VALUE"""),"6119")</f>
        <v>6119</v>
      </c>
      <c r="P56" s="30" t="str">
        <f ca="1">IFERROR(__xludf.DUMMYFUNCTION("""COMPUTED_VALUE"""),"BRANDSEN")</f>
        <v>BRANDSEN</v>
      </c>
      <c r="Q56" s="30" t="str">
        <f ca="1">IFERROR(__xludf.DUMMYFUNCTION("""COMPUTED_VALUE"""),"-35.17554429")</f>
        <v>-35.17554429</v>
      </c>
      <c r="R56" s="30" t="str">
        <f ca="1">IFERROR(__xludf.DUMMYFUNCTION("""COMPUTED_VALUE"""),"-58.22296751")</f>
        <v>-58.22296751</v>
      </c>
      <c r="S56" s="30" t="str">
        <f ca="1">IFERROR(__xludf.DUMMYFUNCTION("""COMPUTED_VALUE"""),"Municipal")</f>
        <v>Municipal</v>
      </c>
      <c r="T56" s="30" t="str">
        <f ca="1">IFERROR(__xludf.DUMMYFUNCTION("""COMPUTED_VALUE"""),"BRANDSEN")</f>
        <v>BRANDSEN</v>
      </c>
    </row>
    <row r="57" spans="1:20" ht="15.75" customHeight="1" x14ac:dyDescent="0.25">
      <c r="A57" s="30" t="str">
        <f ca="1">IFERROR(__xludf.DUMMYFUNCTION("""COMPUTED_VALUE"""),"50062522202722")</f>
        <v>50062522202722</v>
      </c>
      <c r="B57" s="30" t="str">
        <f ca="1">IFERROR(__xludf.DUMMYFUNCTION("""COMPUTED_VALUE"""),"UNIDAD SANITARIA PERIFERICA RAMON CARILLO DE GARIN")</f>
        <v>UNIDAD SANITARIA PERIFERICA RAMON CARILLO DE GARIN</v>
      </c>
      <c r="C57" s="30" t="str">
        <f ca="1">IFERROR(__xludf.DUMMYFUNCTION("""COMPUTED_VALUE"""),"Buenos Aires")</f>
        <v>Buenos Aires</v>
      </c>
      <c r="D57" s="30" t="str">
        <f ca="1">IFERROR(__xludf.DUMMYFUNCTION("""COMPUTED_VALUE"""),"6")</f>
        <v>6</v>
      </c>
      <c r="E57" s="30" t="str">
        <f ca="1">IFERROR(__xludf.DUMMYFUNCTION("""COMPUTED_VALUE"""),"")</f>
        <v/>
      </c>
      <c r="F57" s="29"/>
      <c r="G57" s="29"/>
      <c r="H57" s="30" t="str">
        <f ca="1">IFERROR(__xludf.DUMMYFUNCTION("""COMPUTED_VALUE"""),"activo")</f>
        <v>activo</v>
      </c>
      <c r="I57" s="29"/>
      <c r="J57" s="29"/>
      <c r="K57" s="29"/>
      <c r="L57" s="30" t="str">
        <f ca="1">IFERROR(__xludf.DUMMYFUNCTION("""COMPUTED_VALUE"""),"No")</f>
        <v>No</v>
      </c>
      <c r="M57" s="30" t="str">
        <f ca="1">IFERROR(__xludf.DUMMYFUNCTION("""COMPUTED_VALUE"""),"6252010003")</f>
        <v>6252010003</v>
      </c>
      <c r="N57" s="30" t="str">
        <f ca="1">IFERROR(__xludf.DUMMYFUNCTION("""COMPUTED_VALUE"""),"GARIN")</f>
        <v>GARIN</v>
      </c>
      <c r="O57" s="30" t="str">
        <f ca="1">IFERROR(__xludf.DUMMYFUNCTION("""COMPUTED_VALUE"""),"6252")</f>
        <v>6252</v>
      </c>
      <c r="P57" s="30" t="str">
        <f ca="1">IFERROR(__xludf.DUMMYFUNCTION("""COMPUTED_VALUE"""),"ESCOBAR")</f>
        <v>ESCOBAR</v>
      </c>
      <c r="Q57" s="30" t="str">
        <f ca="1">IFERROR(__xludf.DUMMYFUNCTION("""COMPUTED_VALUE"""),"-34.43614993")</f>
        <v>-34.43614993</v>
      </c>
      <c r="R57" s="30" t="str">
        <f ca="1">IFERROR(__xludf.DUMMYFUNCTION("""COMPUTED_VALUE"""),"-58.72400308")</f>
        <v>-58.72400308</v>
      </c>
      <c r="S57" s="30" t="str">
        <f ca="1">IFERROR(__xludf.DUMMYFUNCTION("""COMPUTED_VALUE"""),"Municipal")</f>
        <v>Municipal</v>
      </c>
      <c r="T57" s="30" t="str">
        <f ca="1">IFERROR(__xludf.DUMMYFUNCTION("""COMPUTED_VALUE"""),"ESCOBAR")</f>
        <v>ESCOBAR</v>
      </c>
    </row>
    <row r="58" spans="1:20" ht="15.75" customHeight="1" x14ac:dyDescent="0.25">
      <c r="A58" s="30" t="str">
        <f ca="1">IFERROR(__xludf.DUMMYFUNCTION("""COMPUTED_VALUE"""),"50067492201229")</f>
        <v>50067492201229</v>
      </c>
      <c r="B58" s="30" t="str">
        <f ca="1">IFERROR(__xludf.DUMMYFUNCTION("""COMPUTED_VALUE"""),"CENTRO DE SALUD DR. ITALO PIAGGI")</f>
        <v>CENTRO DE SALUD DR. ITALO PIAGGI</v>
      </c>
      <c r="C58" s="30" t="str">
        <f ca="1">IFERROR(__xludf.DUMMYFUNCTION("""COMPUTED_VALUE"""),"Buenos Aires")</f>
        <v>Buenos Aires</v>
      </c>
      <c r="D58" s="30" t="str">
        <f ca="1">IFERROR(__xludf.DUMMYFUNCTION("""COMPUTED_VALUE"""),"6")</f>
        <v>6</v>
      </c>
      <c r="E58" s="30" t="str">
        <f ca="1">IFERROR(__xludf.DUMMYFUNCTION("""COMPUTED_VALUE"""),"")</f>
        <v/>
      </c>
      <c r="F58" s="29"/>
      <c r="G58" s="29"/>
      <c r="H58" s="30" t="str">
        <f ca="1">IFERROR(__xludf.DUMMYFUNCTION("""COMPUTED_VALUE"""),"activo")</f>
        <v>activo</v>
      </c>
      <c r="I58" s="29"/>
      <c r="J58" s="29"/>
      <c r="K58" s="29"/>
      <c r="L58" s="30" t="str">
        <f ca="1">IFERROR(__xludf.DUMMYFUNCTION("""COMPUTED_VALUE"""),"No")</f>
        <v>No</v>
      </c>
      <c r="M58" s="30" t="str">
        <f ca="1">IFERROR(__xludf.DUMMYFUNCTION("""COMPUTED_VALUE"""),"6749010003")</f>
        <v>6749010003</v>
      </c>
      <c r="N58" s="30" t="str">
        <f ca="1">IFERROR(__xludf.DUMMYFUNCTION("""COMPUTED_VALUE"""),"VIRREYES")</f>
        <v>VIRREYES</v>
      </c>
      <c r="O58" s="30" t="str">
        <f ca="1">IFERROR(__xludf.DUMMYFUNCTION("""COMPUTED_VALUE"""),"6749")</f>
        <v>6749</v>
      </c>
      <c r="P58" s="30" t="str">
        <f ca="1">IFERROR(__xludf.DUMMYFUNCTION("""COMPUTED_VALUE"""),"SAN FERNANDO")</f>
        <v>SAN FERNANDO</v>
      </c>
      <c r="Q58" s="30" t="str">
        <f ca="1">IFERROR(__xludf.DUMMYFUNCTION("""COMPUTED_VALUE"""),"-34.472842")</f>
        <v>-34.472842</v>
      </c>
      <c r="R58" s="30" t="str">
        <f ca="1">IFERROR(__xludf.DUMMYFUNCTION("""COMPUTED_VALUE"""),"-58.591787")</f>
        <v>-58.591787</v>
      </c>
      <c r="S58" s="30" t="str">
        <f ca="1">IFERROR(__xludf.DUMMYFUNCTION("""COMPUTED_VALUE"""),"Municipal")</f>
        <v>Municipal</v>
      </c>
      <c r="T58" s="30" t="str">
        <f ca="1">IFERROR(__xludf.DUMMYFUNCTION("""COMPUTED_VALUE"""),"SAN FERNANDO")</f>
        <v>SAN FERNANDO</v>
      </c>
    </row>
    <row r="59" spans="1:20" ht="15.75" customHeight="1" x14ac:dyDescent="0.25">
      <c r="A59" s="30" t="str">
        <f ca="1">IFERROR(__xludf.DUMMYFUNCTION("""COMPUTED_VALUE"""),"50067492201228")</f>
        <v>50067492201228</v>
      </c>
      <c r="B59" s="30" t="str">
        <f ca="1">IFERROR(__xludf.DUMMYFUNCTION("""COMPUTED_VALUE"""),"CENTRO DE SALUD DR. ISIDORO GALVEZ")</f>
        <v>CENTRO DE SALUD DR. ISIDORO GALVEZ</v>
      </c>
      <c r="C59" s="30" t="str">
        <f ca="1">IFERROR(__xludf.DUMMYFUNCTION("""COMPUTED_VALUE"""),"Buenos Aires")</f>
        <v>Buenos Aires</v>
      </c>
      <c r="D59" s="30" t="str">
        <f ca="1">IFERROR(__xludf.DUMMYFUNCTION("""COMPUTED_VALUE"""),"6")</f>
        <v>6</v>
      </c>
      <c r="E59" s="30" t="str">
        <f ca="1">IFERROR(__xludf.DUMMYFUNCTION("""COMPUTED_VALUE"""),"")</f>
        <v/>
      </c>
      <c r="F59" s="29"/>
      <c r="G59" s="29"/>
      <c r="H59" s="30" t="str">
        <f ca="1">IFERROR(__xludf.DUMMYFUNCTION("""COMPUTED_VALUE"""),"activo")</f>
        <v>activo</v>
      </c>
      <c r="I59" s="29"/>
      <c r="J59" s="29"/>
      <c r="K59" s="29"/>
      <c r="L59" s="30" t="str">
        <f ca="1">IFERROR(__xludf.DUMMYFUNCTION("""COMPUTED_VALUE"""),"No")</f>
        <v>No</v>
      </c>
      <c r="M59" s="30" t="str">
        <f ca="1">IFERROR(__xludf.DUMMYFUNCTION("""COMPUTED_VALUE"""),"6749010001")</f>
        <v>6749010001</v>
      </c>
      <c r="N59" s="30" t="str">
        <f ca="1">IFERROR(__xludf.DUMMYFUNCTION("""COMPUTED_VALUE"""),"SAN FERNANDO")</f>
        <v>SAN FERNANDO</v>
      </c>
      <c r="O59" s="30" t="str">
        <f ca="1">IFERROR(__xludf.DUMMYFUNCTION("""COMPUTED_VALUE"""),"6749")</f>
        <v>6749</v>
      </c>
      <c r="P59" s="30" t="str">
        <f ca="1">IFERROR(__xludf.DUMMYFUNCTION("""COMPUTED_VALUE"""),"SAN FERNANDO")</f>
        <v>SAN FERNANDO</v>
      </c>
      <c r="Q59" s="30" t="str">
        <f ca="1">IFERROR(__xludf.DUMMYFUNCTION("""COMPUTED_VALUE"""),"-34.4689895")</f>
        <v>-34.4689895</v>
      </c>
      <c r="R59" s="30" t="str">
        <f ca="1">IFERROR(__xludf.DUMMYFUNCTION("""COMPUTED_VALUE"""),"-58.5870815")</f>
        <v>-58.5870815</v>
      </c>
      <c r="S59" s="30" t="str">
        <f ca="1">IFERROR(__xludf.DUMMYFUNCTION("""COMPUTED_VALUE"""),"Municipal")</f>
        <v>Municipal</v>
      </c>
      <c r="T59" s="30" t="str">
        <f ca="1">IFERROR(__xludf.DUMMYFUNCTION("""COMPUTED_VALUE"""),"SAN FERNANDO")</f>
        <v>SAN FERNANDO</v>
      </c>
    </row>
    <row r="60" spans="1:20" ht="15.75" customHeight="1" x14ac:dyDescent="0.25">
      <c r="A60" s="30" t="str">
        <f ca="1">IFERROR(__xludf.DUMMYFUNCTION("""COMPUTED_VALUE"""),"50067492201264")</f>
        <v>50067492201264</v>
      </c>
      <c r="B60" s="30" t="str">
        <f ca="1">IFERROR(__xludf.DUMMYFUNCTION("""COMPUTED_VALUE"""),"CENTRO DE SALUD MARIA ISABEL")</f>
        <v>CENTRO DE SALUD MARIA ISABEL</v>
      </c>
      <c r="C60" s="30" t="str">
        <f ca="1">IFERROR(__xludf.DUMMYFUNCTION("""COMPUTED_VALUE"""),"Buenos Aires")</f>
        <v>Buenos Aires</v>
      </c>
      <c r="D60" s="30" t="str">
        <f ca="1">IFERROR(__xludf.DUMMYFUNCTION("""COMPUTED_VALUE"""),"6")</f>
        <v>6</v>
      </c>
      <c r="E60" s="30" t="str">
        <f ca="1">IFERROR(__xludf.DUMMYFUNCTION("""COMPUTED_VALUE"""),"")</f>
        <v/>
      </c>
      <c r="F60" s="29"/>
      <c r="G60" s="29"/>
      <c r="H60" s="30" t="str">
        <f ca="1">IFERROR(__xludf.DUMMYFUNCTION("""COMPUTED_VALUE"""),"activo")</f>
        <v>activo</v>
      </c>
      <c r="I60" s="29"/>
      <c r="J60" s="29"/>
      <c r="K60" s="29"/>
      <c r="L60" s="30" t="str">
        <f ca="1">IFERROR(__xludf.DUMMYFUNCTION("""COMPUTED_VALUE"""),"No")</f>
        <v>No</v>
      </c>
      <c r="M60" s="30" t="str">
        <f ca="1">IFERROR(__xludf.DUMMYFUNCTION("""COMPUTED_VALUE"""),"6749010001")</f>
        <v>6749010001</v>
      </c>
      <c r="N60" s="30" t="str">
        <f ca="1">IFERROR(__xludf.DUMMYFUNCTION("""COMPUTED_VALUE"""),"SAN FERNANDO")</f>
        <v>SAN FERNANDO</v>
      </c>
      <c r="O60" s="30" t="str">
        <f ca="1">IFERROR(__xludf.DUMMYFUNCTION("""COMPUTED_VALUE"""),"6749")</f>
        <v>6749</v>
      </c>
      <c r="P60" s="30" t="str">
        <f ca="1">IFERROR(__xludf.DUMMYFUNCTION("""COMPUTED_VALUE"""),"SAN FERNANDO")</f>
        <v>SAN FERNANDO</v>
      </c>
      <c r="Q60" s="30" t="str">
        <f ca="1">IFERROR(__xludf.DUMMYFUNCTION("""COMPUTED_VALUE"""),"-34.4562727")</f>
        <v>-34.4562727</v>
      </c>
      <c r="R60" s="30" t="str">
        <f ca="1">IFERROR(__xludf.DUMMYFUNCTION("""COMPUTED_VALUE"""),"-58.56911")</f>
        <v>-58.56911</v>
      </c>
      <c r="S60" s="30" t="str">
        <f ca="1">IFERROR(__xludf.DUMMYFUNCTION("""COMPUTED_VALUE"""),"Municipal")</f>
        <v>Municipal</v>
      </c>
      <c r="T60" s="30" t="str">
        <f ca="1">IFERROR(__xludf.DUMMYFUNCTION("""COMPUTED_VALUE"""),"SAN FERNANDO")</f>
        <v>SAN FERNANDO</v>
      </c>
    </row>
    <row r="61" spans="1:20" ht="15.75" customHeight="1" x14ac:dyDescent="0.25">
      <c r="A61" s="30" t="str">
        <f ca="1">IFERROR(__xludf.DUMMYFUNCTION("""COMPUTED_VALUE"""),"50067492202319")</f>
        <v>50067492202319</v>
      </c>
      <c r="B61" s="30" t="str">
        <f ca="1">IFERROR(__xludf.DUMMYFUNCTION("""COMPUTED_VALUE"""),"UNIDAD SANITARIA H. BERTRES")</f>
        <v>UNIDAD SANITARIA H. BERTRES</v>
      </c>
      <c r="C61" s="30" t="str">
        <f ca="1">IFERROR(__xludf.DUMMYFUNCTION("""COMPUTED_VALUE"""),"Buenos Aires")</f>
        <v>Buenos Aires</v>
      </c>
      <c r="D61" s="30" t="str">
        <f ca="1">IFERROR(__xludf.DUMMYFUNCTION("""COMPUTED_VALUE"""),"6")</f>
        <v>6</v>
      </c>
      <c r="E61" s="30" t="str">
        <f ca="1">IFERROR(__xludf.DUMMYFUNCTION("""COMPUTED_VALUE"""),"")</f>
        <v/>
      </c>
      <c r="F61" s="29"/>
      <c r="G61" s="29"/>
      <c r="H61" s="30" t="str">
        <f ca="1">IFERROR(__xludf.DUMMYFUNCTION("""COMPUTED_VALUE"""),"activo")</f>
        <v>activo</v>
      </c>
      <c r="I61" s="29"/>
      <c r="J61" s="29"/>
      <c r="K61" s="29"/>
      <c r="L61" s="30" t="str">
        <f ca="1">IFERROR(__xludf.DUMMYFUNCTION("""COMPUTED_VALUE"""),"No")</f>
        <v>No</v>
      </c>
      <c r="M61" s="30" t="str">
        <f ca="1">IFERROR(__xludf.DUMMYFUNCTION("""COMPUTED_VALUE"""),"6749010001")</f>
        <v>6749010001</v>
      </c>
      <c r="N61" s="30" t="str">
        <f ca="1">IFERROR(__xludf.DUMMYFUNCTION("""COMPUTED_VALUE"""),"SAN FERNANDO")</f>
        <v>SAN FERNANDO</v>
      </c>
      <c r="O61" s="30" t="str">
        <f ca="1">IFERROR(__xludf.DUMMYFUNCTION("""COMPUTED_VALUE"""),"6749")</f>
        <v>6749</v>
      </c>
      <c r="P61" s="30" t="str">
        <f ca="1">IFERROR(__xludf.DUMMYFUNCTION("""COMPUTED_VALUE"""),"SAN FERNANDO")</f>
        <v>SAN FERNANDO</v>
      </c>
      <c r="Q61" s="30" t="str">
        <f ca="1">IFERROR(__xludf.DUMMYFUNCTION("""COMPUTED_VALUE"""),"-34.457545")</f>
        <v>-34.457545</v>
      </c>
      <c r="R61" s="30" t="str">
        <f ca="1">IFERROR(__xludf.DUMMYFUNCTION("""COMPUTED_VALUE"""),"-58.576996")</f>
        <v>-58.576996</v>
      </c>
      <c r="S61" s="30" t="str">
        <f ca="1">IFERROR(__xludf.DUMMYFUNCTION("""COMPUTED_VALUE"""),"Municipal")</f>
        <v>Municipal</v>
      </c>
      <c r="T61" s="30" t="str">
        <f ca="1">IFERROR(__xludf.DUMMYFUNCTION("""COMPUTED_VALUE"""),"SAN FERNANDO")</f>
        <v>SAN FERNANDO</v>
      </c>
    </row>
    <row r="62" spans="1:20" ht="15.75" customHeight="1" x14ac:dyDescent="0.25">
      <c r="A62" s="30" t="str">
        <f ca="1">IFERROR(__xludf.DUMMYFUNCTION("""COMPUTED_VALUE"""),"50067492201373")</f>
        <v>50067492201373</v>
      </c>
      <c r="B62" s="30" t="str">
        <f ca="1">IFERROR(__xludf.DUMMYFUNCTION("""COMPUTED_VALUE"""),"CENTRO DE SALUD VILLA FEDERAL")</f>
        <v>CENTRO DE SALUD VILLA FEDERAL</v>
      </c>
      <c r="C62" s="30" t="str">
        <f ca="1">IFERROR(__xludf.DUMMYFUNCTION("""COMPUTED_VALUE"""),"Buenos Aires")</f>
        <v>Buenos Aires</v>
      </c>
      <c r="D62" s="30" t="str">
        <f ca="1">IFERROR(__xludf.DUMMYFUNCTION("""COMPUTED_VALUE"""),"6")</f>
        <v>6</v>
      </c>
      <c r="E62" s="30" t="str">
        <f ca="1">IFERROR(__xludf.DUMMYFUNCTION("""COMPUTED_VALUE"""),"")</f>
        <v/>
      </c>
      <c r="F62" s="29"/>
      <c r="G62" s="29"/>
      <c r="H62" s="30" t="str">
        <f ca="1">IFERROR(__xludf.DUMMYFUNCTION("""COMPUTED_VALUE"""),"inactivo")</f>
        <v>inactivo</v>
      </c>
      <c r="I62" s="29"/>
      <c r="J62" s="29"/>
      <c r="K62" s="29"/>
      <c r="L62" s="30" t="str">
        <f ca="1">IFERROR(__xludf.DUMMYFUNCTION("""COMPUTED_VALUE"""),"No")</f>
        <v>No</v>
      </c>
      <c r="M62" s="30" t="str">
        <f ca="1">IFERROR(__xludf.DUMMYFUNCTION("""COMPUTED_VALUE"""),"6749010003")</f>
        <v>6749010003</v>
      </c>
      <c r="N62" s="30" t="str">
        <f ca="1">IFERROR(__xludf.DUMMYFUNCTION("""COMPUTED_VALUE"""),"VIRREYES")</f>
        <v>VIRREYES</v>
      </c>
      <c r="O62" s="30" t="str">
        <f ca="1">IFERROR(__xludf.DUMMYFUNCTION("""COMPUTED_VALUE"""),"6749")</f>
        <v>6749</v>
      </c>
      <c r="P62" s="30" t="str">
        <f ca="1">IFERROR(__xludf.DUMMYFUNCTION("""COMPUTED_VALUE"""),"SAN FERNANDO")</f>
        <v>SAN FERNANDO</v>
      </c>
      <c r="Q62" s="30" t="str">
        <f ca="1">IFERROR(__xludf.DUMMYFUNCTION("""COMPUTED_VALUE"""),"-34.45096131")</f>
        <v>-34.45096131</v>
      </c>
      <c r="R62" s="30" t="str">
        <f ca="1">IFERROR(__xludf.DUMMYFUNCTION("""COMPUTED_VALUE"""),"-58.5742929")</f>
        <v>-58.5742929</v>
      </c>
      <c r="S62" s="30" t="str">
        <f ca="1">IFERROR(__xludf.DUMMYFUNCTION("""COMPUTED_VALUE"""),"Municipal")</f>
        <v>Municipal</v>
      </c>
      <c r="T62" s="30" t="str">
        <f ca="1">IFERROR(__xludf.DUMMYFUNCTION("""COMPUTED_VALUE"""),"SAN FERNANDO")</f>
        <v>SAN FERNANDO</v>
      </c>
    </row>
    <row r="63" spans="1:20" ht="15.75" customHeight="1" x14ac:dyDescent="0.25">
      <c r="A63" s="30" t="str">
        <f ca="1">IFERROR(__xludf.DUMMYFUNCTION("""COMPUTED_VALUE"""),"50067492201226")</f>
        <v>50067492201226</v>
      </c>
      <c r="B63" s="30" t="str">
        <f ca="1">IFERROR(__xludf.DUMMYFUNCTION("""COMPUTED_VALUE"""),"CENTRO DE SALUD DR. FINOCHIETTO")</f>
        <v>CENTRO DE SALUD DR. FINOCHIETTO</v>
      </c>
      <c r="C63" s="30" t="str">
        <f ca="1">IFERROR(__xludf.DUMMYFUNCTION("""COMPUTED_VALUE"""),"Buenos Aires")</f>
        <v>Buenos Aires</v>
      </c>
      <c r="D63" s="30" t="str">
        <f ca="1">IFERROR(__xludf.DUMMYFUNCTION("""COMPUTED_VALUE"""),"6")</f>
        <v>6</v>
      </c>
      <c r="E63" s="30" t="str">
        <f ca="1">IFERROR(__xludf.DUMMYFUNCTION("""COMPUTED_VALUE"""),"")</f>
        <v/>
      </c>
      <c r="F63" s="29"/>
      <c r="G63" s="29"/>
      <c r="H63" s="30" t="str">
        <f ca="1">IFERROR(__xludf.DUMMYFUNCTION("""COMPUTED_VALUE"""),"activo")</f>
        <v>activo</v>
      </c>
      <c r="I63" s="29"/>
      <c r="J63" s="29"/>
      <c r="K63" s="29"/>
      <c r="L63" s="30" t="str">
        <f ca="1">IFERROR(__xludf.DUMMYFUNCTION("""COMPUTED_VALUE"""),"No")</f>
        <v>No</v>
      </c>
      <c r="M63" s="30" t="str">
        <f ca="1">IFERROR(__xludf.DUMMYFUNCTION("""COMPUTED_VALUE"""),"6749010003")</f>
        <v>6749010003</v>
      </c>
      <c r="N63" s="30" t="str">
        <f ca="1">IFERROR(__xludf.DUMMYFUNCTION("""COMPUTED_VALUE"""),"VIRREYES")</f>
        <v>VIRREYES</v>
      </c>
      <c r="O63" s="30" t="str">
        <f ca="1">IFERROR(__xludf.DUMMYFUNCTION("""COMPUTED_VALUE"""),"6749")</f>
        <v>6749</v>
      </c>
      <c r="P63" s="30" t="str">
        <f ca="1">IFERROR(__xludf.DUMMYFUNCTION("""COMPUTED_VALUE"""),"SAN FERNANDO")</f>
        <v>SAN FERNANDO</v>
      </c>
      <c r="Q63" s="30" t="str">
        <f ca="1">IFERROR(__xludf.DUMMYFUNCTION("""COMPUTED_VALUE"""),"-34.47252867")</f>
        <v>-34.47252867</v>
      </c>
      <c r="R63" s="30" t="str">
        <f ca="1">IFERROR(__xludf.DUMMYFUNCTION("""COMPUTED_VALUE"""),"-58.59720111")</f>
        <v>-58.59720111</v>
      </c>
      <c r="S63" s="30" t="str">
        <f ca="1">IFERROR(__xludf.DUMMYFUNCTION("""COMPUTED_VALUE"""),"Municipal")</f>
        <v>Municipal</v>
      </c>
      <c r="T63" s="30" t="str">
        <f ca="1">IFERROR(__xludf.DUMMYFUNCTION("""COMPUTED_VALUE"""),"SAN FERNANDO")</f>
        <v>SAN FERNANDO</v>
      </c>
    </row>
    <row r="64" spans="1:20" ht="15.75" customHeight="1" x14ac:dyDescent="0.25">
      <c r="A64" s="30" t="str">
        <f ca="1">IFERROR(__xludf.DUMMYFUNCTION("""COMPUTED_VALUE"""),"50067562206994")</f>
        <v>50067562206994</v>
      </c>
      <c r="B64" s="30" t="str">
        <f ca="1">IFERROR(__xludf.DUMMYFUNCTION("""COMPUTED_VALUE"""),"CENTRO DE ATENCION PRIMARIA DE SALUD SAN ISIDRO LABRADOR")</f>
        <v>CENTRO DE ATENCION PRIMARIA DE SALUD SAN ISIDRO LABRADOR</v>
      </c>
      <c r="C64" s="30" t="str">
        <f ca="1">IFERROR(__xludf.DUMMYFUNCTION("""COMPUTED_VALUE"""),"Buenos Aires")</f>
        <v>Buenos Aires</v>
      </c>
      <c r="D64" s="30" t="str">
        <f ca="1">IFERROR(__xludf.DUMMYFUNCTION("""COMPUTED_VALUE"""),"6")</f>
        <v>6</v>
      </c>
      <c r="E64" s="30" t="str">
        <f ca="1">IFERROR(__xludf.DUMMYFUNCTION("""COMPUTED_VALUE"""),"")</f>
        <v/>
      </c>
      <c r="F64" s="29"/>
      <c r="G64" s="29"/>
      <c r="H64" s="30" t="str">
        <f ca="1">IFERROR(__xludf.DUMMYFUNCTION("""COMPUTED_VALUE"""),"activo")</f>
        <v>activo</v>
      </c>
      <c r="I64" s="29"/>
      <c r="J64" s="29"/>
      <c r="K64" s="29"/>
      <c r="L64" s="30" t="str">
        <f ca="1">IFERROR(__xludf.DUMMYFUNCTION("""COMPUTED_VALUE"""),"No")</f>
        <v>No</v>
      </c>
      <c r="M64" s="30" t="str">
        <f ca="1">IFERROR(__xludf.DUMMYFUNCTION("""COMPUTED_VALUE"""),"6756010005")</f>
        <v>6756010005</v>
      </c>
      <c r="N64" s="30" t="str">
        <f ca="1">IFERROR(__xludf.DUMMYFUNCTION("""COMPUTED_VALUE"""),"SAN ISIDRO")</f>
        <v>SAN ISIDRO</v>
      </c>
      <c r="O64" s="30" t="str">
        <f ca="1">IFERROR(__xludf.DUMMYFUNCTION("""COMPUTED_VALUE"""),"6756")</f>
        <v>6756</v>
      </c>
      <c r="P64" s="30" t="str">
        <f ca="1">IFERROR(__xludf.DUMMYFUNCTION("""COMPUTED_VALUE"""),"SAN ISIDRO")</f>
        <v>SAN ISIDRO</v>
      </c>
      <c r="Q64" s="30" t="str">
        <f ca="1">IFERROR(__xludf.DUMMYFUNCTION("""COMPUTED_VALUE"""),"-34.47252424")</f>
        <v>-34.47252424</v>
      </c>
      <c r="R64" s="30" t="str">
        <f ca="1">IFERROR(__xludf.DUMMYFUNCTION("""COMPUTED_VALUE"""),"-58.53823543")</f>
        <v>-58.53823543</v>
      </c>
      <c r="S64" s="30" t="str">
        <f ca="1">IFERROR(__xludf.DUMMYFUNCTION("""COMPUTED_VALUE"""),"Municipal")</f>
        <v>Municipal</v>
      </c>
      <c r="T64" s="30" t="str">
        <f ca="1">IFERROR(__xludf.DUMMYFUNCTION("""COMPUTED_VALUE"""),"SAN ISIDRO")</f>
        <v>SAN ISIDRO</v>
      </c>
    </row>
    <row r="65" spans="1:20" ht="15.75" customHeight="1" x14ac:dyDescent="0.25">
      <c r="A65" s="30" t="str">
        <f ca="1">IFERROR(__xludf.DUMMYFUNCTION("""COMPUTED_VALUE"""),"50067562201452")</f>
        <v>50067562201452</v>
      </c>
      <c r="B65" s="30" t="str">
        <f ca="1">IFERROR(__xludf.DUMMYFUNCTION("""COMPUTED_VALUE"""),"CAPS BAJO BOULOGNE")</f>
        <v>CAPS BAJO BOULOGNE</v>
      </c>
      <c r="C65" s="30" t="str">
        <f ca="1">IFERROR(__xludf.DUMMYFUNCTION("""COMPUTED_VALUE"""),"Buenos Aires")</f>
        <v>Buenos Aires</v>
      </c>
      <c r="D65" s="30" t="str">
        <f ca="1">IFERROR(__xludf.DUMMYFUNCTION("""COMPUTED_VALUE"""),"6")</f>
        <v>6</v>
      </c>
      <c r="E65" s="30" t="str">
        <f ca="1">IFERROR(__xludf.DUMMYFUNCTION("""COMPUTED_VALUE"""),"")</f>
        <v/>
      </c>
      <c r="F65" s="29"/>
      <c r="G65" s="29"/>
      <c r="H65" s="30" t="str">
        <f ca="1">IFERROR(__xludf.DUMMYFUNCTION("""COMPUTED_VALUE"""),"activo")</f>
        <v>activo</v>
      </c>
      <c r="I65" s="29"/>
      <c r="J65" s="29"/>
      <c r="K65" s="29"/>
      <c r="L65" s="30" t="str">
        <f ca="1">IFERROR(__xludf.DUMMYFUNCTION("""COMPUTED_VALUE"""),"No")</f>
        <v>No</v>
      </c>
      <c r="M65" s="30" t="str">
        <f ca="1">IFERROR(__xludf.DUMMYFUNCTION("""COMPUTED_VALUE"""),"6756040")</f>
        <v>6756040</v>
      </c>
      <c r="N65" s="30" t="str">
        <f ca="1">IFERROR(__xludf.DUMMYFUNCTION("""COMPUTED_VALUE"""),"BOULOGNE")</f>
        <v>BOULOGNE</v>
      </c>
      <c r="O65" s="30" t="str">
        <f ca="1">IFERROR(__xludf.DUMMYFUNCTION("""COMPUTED_VALUE"""),"6756")</f>
        <v>6756</v>
      </c>
      <c r="P65" s="30" t="str">
        <f ca="1">IFERROR(__xludf.DUMMYFUNCTION("""COMPUTED_VALUE"""),"SAN ISIDRO")</f>
        <v>SAN ISIDRO</v>
      </c>
      <c r="Q65" s="30" t="str">
        <f ca="1">IFERROR(__xludf.DUMMYFUNCTION("""COMPUTED_VALUE"""),"-34.4883778")</f>
        <v>-34.4883778</v>
      </c>
      <c r="R65" s="30" t="str">
        <f ca="1">IFERROR(__xludf.DUMMYFUNCTION("""COMPUTED_VALUE"""),"-58.5818846")</f>
        <v>-58.5818846</v>
      </c>
      <c r="S65" s="30" t="str">
        <f ca="1">IFERROR(__xludf.DUMMYFUNCTION("""COMPUTED_VALUE"""),"Municipal")</f>
        <v>Municipal</v>
      </c>
      <c r="T65" s="30" t="str">
        <f ca="1">IFERROR(__xludf.DUMMYFUNCTION("""COMPUTED_VALUE"""),"SAN ISIDRO")</f>
        <v>SAN ISIDRO</v>
      </c>
    </row>
    <row r="66" spans="1:20" ht="15.75" customHeight="1" x14ac:dyDescent="0.25">
      <c r="A66" s="30" t="str">
        <f ca="1">IFERROR(__xludf.DUMMYFUNCTION("""COMPUTED_VALUE"""),"50067562201494")</f>
        <v>50067562201494</v>
      </c>
      <c r="B66" s="30" t="str">
        <f ca="1">IFERROR(__xludf.DUMMYFUNCTION("""COMPUTED_VALUE"""),"CAPS VILLA ADELINA")</f>
        <v>CAPS VILLA ADELINA</v>
      </c>
      <c r="C66" s="30" t="str">
        <f ca="1">IFERROR(__xludf.DUMMYFUNCTION("""COMPUTED_VALUE"""),"Buenos Aires")</f>
        <v>Buenos Aires</v>
      </c>
      <c r="D66" s="30" t="str">
        <f ca="1">IFERROR(__xludf.DUMMYFUNCTION("""COMPUTED_VALUE"""),"6")</f>
        <v>6</v>
      </c>
      <c r="E66" s="30" t="str">
        <f ca="1">IFERROR(__xludf.DUMMYFUNCTION("""COMPUTED_VALUE"""),"")</f>
        <v/>
      </c>
      <c r="F66" s="29"/>
      <c r="G66" s="29"/>
      <c r="H66" s="30" t="str">
        <f ca="1">IFERROR(__xludf.DUMMYFUNCTION("""COMPUTED_VALUE"""),"activo")</f>
        <v>activo</v>
      </c>
      <c r="I66" s="29"/>
      <c r="J66" s="29"/>
      <c r="K66" s="29"/>
      <c r="L66" s="30" t="str">
        <f ca="1">IFERROR(__xludf.DUMMYFUNCTION("""COMPUTED_VALUE"""),"No")</f>
        <v>No</v>
      </c>
      <c r="M66" s="30" t="str">
        <f ca="1">IFERROR(__xludf.DUMMYFUNCTION("""COMPUTED_VALUE"""),"6756010006")</f>
        <v>6756010006</v>
      </c>
      <c r="N66" s="30" t="str">
        <f ca="1">IFERROR(__xludf.DUMMYFUNCTION("""COMPUTED_VALUE"""),"VILLA ADELINA")</f>
        <v>VILLA ADELINA</v>
      </c>
      <c r="O66" s="30" t="str">
        <f ca="1">IFERROR(__xludf.DUMMYFUNCTION("""COMPUTED_VALUE"""),"6756")</f>
        <v>6756</v>
      </c>
      <c r="P66" s="30" t="str">
        <f ca="1">IFERROR(__xludf.DUMMYFUNCTION("""COMPUTED_VALUE"""),"SAN ISIDRO")</f>
        <v>SAN ISIDRO</v>
      </c>
      <c r="Q66" s="30" t="str">
        <f ca="1">IFERROR(__xludf.DUMMYFUNCTION("""COMPUTED_VALUE"""),"-34.520996")</f>
        <v>-34.520996</v>
      </c>
      <c r="R66" s="30" t="str">
        <f ca="1">IFERROR(__xludf.DUMMYFUNCTION("""COMPUTED_VALUE"""),"-58.5449402")</f>
        <v>-58.5449402</v>
      </c>
      <c r="S66" s="30" t="str">
        <f ca="1">IFERROR(__xludf.DUMMYFUNCTION("""COMPUTED_VALUE"""),"Municipal")</f>
        <v>Municipal</v>
      </c>
      <c r="T66" s="30" t="str">
        <f ca="1">IFERROR(__xludf.DUMMYFUNCTION("""COMPUTED_VALUE"""),"SAN ISIDRO")</f>
        <v>SAN ISIDRO</v>
      </c>
    </row>
    <row r="67" spans="1:20" ht="15.75" customHeight="1" x14ac:dyDescent="0.25">
      <c r="A67" s="30" t="str">
        <f ca="1">IFERROR(__xludf.DUMMYFUNCTION("""COMPUTED_VALUE"""),"50061262201488")</f>
        <v>50061262201488</v>
      </c>
      <c r="B67" s="30" t="str">
        <f ca="1">IFERROR(__xludf.DUMMYFUNCTION("""COMPUTED_VALUE"""),"CAPS N° 6")</f>
        <v>CAPS N° 6</v>
      </c>
      <c r="C67" s="30" t="str">
        <f ca="1">IFERROR(__xludf.DUMMYFUNCTION("""COMPUTED_VALUE"""),"Buenos Aires")</f>
        <v>Buenos Aires</v>
      </c>
      <c r="D67" s="30" t="str">
        <f ca="1">IFERROR(__xludf.DUMMYFUNCTION("""COMPUTED_VALUE"""),"6")</f>
        <v>6</v>
      </c>
      <c r="E67" s="30" t="str">
        <f ca="1">IFERROR(__xludf.DUMMYFUNCTION("""COMPUTED_VALUE"""),"")</f>
        <v/>
      </c>
      <c r="F67" s="29"/>
      <c r="G67" s="29"/>
      <c r="H67" s="30" t="str">
        <f ca="1">IFERROR(__xludf.DUMMYFUNCTION("""COMPUTED_VALUE"""),"activo")</f>
        <v>activo</v>
      </c>
      <c r="I67" s="29"/>
      <c r="J67" s="29"/>
      <c r="K67" s="29"/>
      <c r="L67" s="30" t="str">
        <f ca="1">IFERROR(__xludf.DUMMYFUNCTION("""COMPUTED_VALUE"""),"No")</f>
        <v>No</v>
      </c>
      <c r="M67" s="30" t="str">
        <f ca="1">IFERROR(__xludf.DUMMYFUNCTION("""COMPUTED_VALUE"""),"6126030000")</f>
        <v>6126030000</v>
      </c>
      <c r="N67" s="30" t="str">
        <f ca="1">IFERROR(__xludf.DUMMYFUNCTION("""COMPUTED_VALUE"""),"CAMPANA")</f>
        <v>CAMPANA</v>
      </c>
      <c r="O67" s="30" t="str">
        <f ca="1">IFERROR(__xludf.DUMMYFUNCTION("""COMPUTED_VALUE"""),"6126")</f>
        <v>6126</v>
      </c>
      <c r="P67" s="30" t="str">
        <f ca="1">IFERROR(__xludf.DUMMYFUNCTION("""COMPUTED_VALUE"""),"CAMPANA")</f>
        <v>CAMPANA</v>
      </c>
      <c r="Q67" s="30" t="str">
        <f ca="1">IFERROR(__xludf.DUMMYFUNCTION("""COMPUTED_VALUE"""),"-34.1856073")</f>
        <v>-34.1856073</v>
      </c>
      <c r="R67" s="30" t="str">
        <f ca="1">IFERROR(__xludf.DUMMYFUNCTION("""COMPUTED_VALUE"""),"-58.965524")</f>
        <v>-58.965524</v>
      </c>
      <c r="S67" s="30" t="str">
        <f ca="1">IFERROR(__xludf.DUMMYFUNCTION("""COMPUTED_VALUE"""),"Municipal")</f>
        <v>Municipal</v>
      </c>
      <c r="T67" s="30" t="str">
        <f ca="1">IFERROR(__xludf.DUMMYFUNCTION("""COMPUTED_VALUE"""),"CAMPANA")</f>
        <v>CAMPANA</v>
      </c>
    </row>
    <row r="68" spans="1:20" ht="15.75" customHeight="1" x14ac:dyDescent="0.25">
      <c r="A68" s="30" t="str">
        <f ca="1">IFERROR(__xludf.DUMMYFUNCTION("""COMPUTED_VALUE"""),"50061262201141")</f>
        <v>50061262201141</v>
      </c>
      <c r="B68" s="30" t="str">
        <f ca="1">IFERROR(__xludf.DUMMYFUNCTION("""COMPUTED_VALUE"""),"CENTRO DE ATENCION PRIMARIA DE LA SALUD N° 3 DE CAMPANA")</f>
        <v>CENTRO DE ATENCION PRIMARIA DE LA SALUD N° 3 DE CAMPANA</v>
      </c>
      <c r="C68" s="30" t="str">
        <f ca="1">IFERROR(__xludf.DUMMYFUNCTION("""COMPUTED_VALUE"""),"Buenos Aires")</f>
        <v>Buenos Aires</v>
      </c>
      <c r="D68" s="30" t="str">
        <f ca="1">IFERROR(__xludf.DUMMYFUNCTION("""COMPUTED_VALUE"""),"6")</f>
        <v>6</v>
      </c>
      <c r="E68" s="30" t="str">
        <f ca="1">IFERROR(__xludf.DUMMYFUNCTION("""COMPUTED_VALUE"""),"")</f>
        <v/>
      </c>
      <c r="F68" s="29"/>
      <c r="G68" s="29"/>
      <c r="H68" s="30" t="str">
        <f ca="1">IFERROR(__xludf.DUMMYFUNCTION("""COMPUTED_VALUE"""),"activo")</f>
        <v>activo</v>
      </c>
      <c r="I68" s="29"/>
      <c r="J68" s="29"/>
      <c r="K68" s="29"/>
      <c r="L68" s="30" t="str">
        <f ca="1">IFERROR(__xludf.DUMMYFUNCTION("""COMPUTED_VALUE"""),"No")</f>
        <v>No</v>
      </c>
      <c r="M68" s="30" t="str">
        <f ca="1">IFERROR(__xludf.DUMMYFUNCTION("""COMPUTED_VALUE"""),"6126030000")</f>
        <v>6126030000</v>
      </c>
      <c r="N68" s="30" t="str">
        <f ca="1">IFERROR(__xludf.DUMMYFUNCTION("""COMPUTED_VALUE"""),"CAMPANA")</f>
        <v>CAMPANA</v>
      </c>
      <c r="O68" s="30" t="str">
        <f ca="1">IFERROR(__xludf.DUMMYFUNCTION("""COMPUTED_VALUE"""),"6126")</f>
        <v>6126</v>
      </c>
      <c r="P68" s="30" t="str">
        <f ca="1">IFERROR(__xludf.DUMMYFUNCTION("""COMPUTED_VALUE"""),"CAMPANA")</f>
        <v>CAMPANA</v>
      </c>
      <c r="Q68" s="30" t="str">
        <f ca="1">IFERROR(__xludf.DUMMYFUNCTION("""COMPUTED_VALUE"""),"-34.18823385")</f>
        <v>-34.18823385</v>
      </c>
      <c r="R68" s="30" t="str">
        <f ca="1">IFERROR(__xludf.DUMMYFUNCTION("""COMPUTED_VALUE"""),"-58.93954754")</f>
        <v>-58.93954754</v>
      </c>
      <c r="S68" s="30" t="str">
        <f ca="1">IFERROR(__xludf.DUMMYFUNCTION("""COMPUTED_VALUE"""),"Municipal")</f>
        <v>Municipal</v>
      </c>
      <c r="T68" s="30" t="str">
        <f ca="1">IFERROR(__xludf.DUMMYFUNCTION("""COMPUTED_VALUE"""),"CAMPANA")</f>
        <v>CAMPANA</v>
      </c>
    </row>
    <row r="69" spans="1:20" ht="15.75" customHeight="1" x14ac:dyDescent="0.25">
      <c r="A69" s="30" t="str">
        <f ca="1">IFERROR(__xludf.DUMMYFUNCTION("""COMPUTED_VALUE"""),"50061262201486")</f>
        <v>50061262201486</v>
      </c>
      <c r="B69" s="30" t="str">
        <f ca="1">IFERROR(__xludf.DUMMYFUNCTION("""COMPUTED_VALUE"""),"CENTRO PERIFERICO N° 4 DE CAMPANA")</f>
        <v>CENTRO PERIFERICO N° 4 DE CAMPANA</v>
      </c>
      <c r="C69" s="30" t="str">
        <f ca="1">IFERROR(__xludf.DUMMYFUNCTION("""COMPUTED_VALUE"""),"Buenos Aires")</f>
        <v>Buenos Aires</v>
      </c>
      <c r="D69" s="30" t="str">
        <f ca="1">IFERROR(__xludf.DUMMYFUNCTION("""COMPUTED_VALUE"""),"6")</f>
        <v>6</v>
      </c>
      <c r="E69" s="30" t="str">
        <f ca="1">IFERROR(__xludf.DUMMYFUNCTION("""COMPUTED_VALUE"""),"")</f>
        <v/>
      </c>
      <c r="F69" s="29"/>
      <c r="G69" s="29"/>
      <c r="H69" s="30" t="str">
        <f ca="1">IFERROR(__xludf.DUMMYFUNCTION("""COMPUTED_VALUE"""),"activo")</f>
        <v>activo</v>
      </c>
      <c r="I69" s="29"/>
      <c r="J69" s="29"/>
      <c r="K69" s="29"/>
      <c r="L69" s="30" t="str">
        <f ca="1">IFERROR(__xludf.DUMMYFUNCTION("""COMPUTED_VALUE"""),"No")</f>
        <v>No</v>
      </c>
      <c r="M69" s="30" t="str">
        <f ca="1">IFERROR(__xludf.DUMMYFUNCTION("""COMPUTED_VALUE"""),"6126030000")</f>
        <v>6126030000</v>
      </c>
      <c r="N69" s="30" t="str">
        <f ca="1">IFERROR(__xludf.DUMMYFUNCTION("""COMPUTED_VALUE"""),"CAMPANA")</f>
        <v>CAMPANA</v>
      </c>
      <c r="O69" s="30" t="str">
        <f ca="1">IFERROR(__xludf.DUMMYFUNCTION("""COMPUTED_VALUE"""),"6126")</f>
        <v>6126</v>
      </c>
      <c r="P69" s="30" t="str">
        <f ca="1">IFERROR(__xludf.DUMMYFUNCTION("""COMPUTED_VALUE"""),"CAMPANA")</f>
        <v>CAMPANA</v>
      </c>
      <c r="Q69" s="30" t="str">
        <f ca="1">IFERROR(__xludf.DUMMYFUNCTION("""COMPUTED_VALUE"""),"-34.15509753")</f>
        <v>-34.15509753</v>
      </c>
      <c r="R69" s="30" t="str">
        <f ca="1">IFERROR(__xludf.DUMMYFUNCTION("""COMPUTED_VALUE"""),"-59.00631309")</f>
        <v>-59.00631309</v>
      </c>
      <c r="S69" s="30" t="str">
        <f ca="1">IFERROR(__xludf.DUMMYFUNCTION("""COMPUTED_VALUE"""),"Municipal")</f>
        <v>Municipal</v>
      </c>
      <c r="T69" s="30" t="str">
        <f ca="1">IFERROR(__xludf.DUMMYFUNCTION("""COMPUTED_VALUE"""),"CAMPANA")</f>
        <v>CAMPANA</v>
      </c>
    </row>
    <row r="70" spans="1:20" ht="15.75" customHeight="1" x14ac:dyDescent="0.25">
      <c r="A70" s="30" t="str">
        <f ca="1">IFERROR(__xludf.DUMMYFUNCTION("""COMPUTED_VALUE"""),"50061262201489")</f>
        <v>50061262201489</v>
      </c>
      <c r="B70" s="30" t="str">
        <f ca="1">IFERROR(__xludf.DUMMYFUNCTION("""COMPUTED_VALUE"""),"CAPS N° 7")</f>
        <v>CAPS N° 7</v>
      </c>
      <c r="C70" s="30" t="str">
        <f ca="1">IFERROR(__xludf.DUMMYFUNCTION("""COMPUTED_VALUE"""),"Buenos Aires")</f>
        <v>Buenos Aires</v>
      </c>
      <c r="D70" s="30" t="str">
        <f ca="1">IFERROR(__xludf.DUMMYFUNCTION("""COMPUTED_VALUE"""),"6")</f>
        <v>6</v>
      </c>
      <c r="E70" s="30" t="str">
        <f ca="1">IFERROR(__xludf.DUMMYFUNCTION("""COMPUTED_VALUE"""),"")</f>
        <v/>
      </c>
      <c r="F70" s="29"/>
      <c r="G70" s="29"/>
      <c r="H70" s="30" t="str">
        <f ca="1">IFERROR(__xludf.DUMMYFUNCTION("""COMPUTED_VALUE"""),"activo")</f>
        <v>activo</v>
      </c>
      <c r="I70" s="29"/>
      <c r="J70" s="29"/>
      <c r="K70" s="29"/>
      <c r="L70" s="30" t="str">
        <f ca="1">IFERROR(__xludf.DUMMYFUNCTION("""COMPUTED_VALUE"""),"No")</f>
        <v>No</v>
      </c>
      <c r="M70" s="30" t="str">
        <f ca="1">IFERROR(__xludf.DUMMYFUNCTION("""COMPUTED_VALUE"""),"6126030000")</f>
        <v>6126030000</v>
      </c>
      <c r="N70" s="30" t="str">
        <f ca="1">IFERROR(__xludf.DUMMYFUNCTION("""COMPUTED_VALUE"""),"CAMPANA")</f>
        <v>CAMPANA</v>
      </c>
      <c r="O70" s="30" t="str">
        <f ca="1">IFERROR(__xludf.DUMMYFUNCTION("""COMPUTED_VALUE"""),"6126")</f>
        <v>6126</v>
      </c>
      <c r="P70" s="30" t="str">
        <f ca="1">IFERROR(__xludf.DUMMYFUNCTION("""COMPUTED_VALUE"""),"CAMPANA")</f>
        <v>CAMPANA</v>
      </c>
      <c r="Q70" s="30" t="str">
        <f ca="1">IFERROR(__xludf.DUMMYFUNCTION("""COMPUTED_VALUE"""),"-34.19684113")</f>
        <v>-34.19684113</v>
      </c>
      <c r="R70" s="30" t="str">
        <f ca="1">IFERROR(__xludf.DUMMYFUNCTION("""COMPUTED_VALUE"""),"-58.96572375")</f>
        <v>-58.96572375</v>
      </c>
      <c r="S70" s="30" t="str">
        <f ca="1">IFERROR(__xludf.DUMMYFUNCTION("""COMPUTED_VALUE"""),"Municipal")</f>
        <v>Municipal</v>
      </c>
      <c r="T70" s="30" t="str">
        <f ca="1">IFERROR(__xludf.DUMMYFUNCTION("""COMPUTED_VALUE"""),"CAMPANA")</f>
        <v>CAMPANA</v>
      </c>
    </row>
    <row r="71" spans="1:20" ht="15.75" customHeight="1" x14ac:dyDescent="0.25">
      <c r="A71" s="30" t="str">
        <f ca="1">IFERROR(__xludf.DUMMYFUNCTION("""COMPUTED_VALUE"""),"50065152202920")</f>
        <v>50065152202920</v>
      </c>
      <c r="B71" s="30" t="str">
        <f ca="1">IFERROR(__xludf.DUMMYFUNCTION("""COMPUTED_VALUE"""),"UNIDAD FUNCIONAL PUEBLO CHICO 11 DE FEBRERO   (GRAND BOURG)")</f>
        <v>UNIDAD FUNCIONAL PUEBLO CHICO 11 DE FEBRERO   (GRAND BOURG)</v>
      </c>
      <c r="C71" s="30" t="str">
        <f ca="1">IFERROR(__xludf.DUMMYFUNCTION("""COMPUTED_VALUE"""),"Buenos Aires")</f>
        <v>Buenos Aires</v>
      </c>
      <c r="D71" s="30" t="str">
        <f ca="1">IFERROR(__xludf.DUMMYFUNCTION("""COMPUTED_VALUE"""),"6")</f>
        <v>6</v>
      </c>
      <c r="E71" s="30" t="str">
        <f ca="1">IFERROR(__xludf.DUMMYFUNCTION("""COMPUTED_VALUE"""),"")</f>
        <v/>
      </c>
      <c r="F71" s="29"/>
      <c r="G71" s="29"/>
      <c r="H71" s="30" t="str">
        <f ca="1">IFERROR(__xludf.DUMMYFUNCTION("""COMPUTED_VALUE"""),"activo")</f>
        <v>activo</v>
      </c>
      <c r="I71" s="29"/>
      <c r="J71" s="29"/>
      <c r="K71" s="29"/>
      <c r="L71" s="30" t="str">
        <f ca="1">IFERROR(__xludf.DUMMYFUNCTION("""COMPUTED_VALUE"""),"No")</f>
        <v>No</v>
      </c>
      <c r="M71" s="30" t="str">
        <f ca="1">IFERROR(__xludf.DUMMYFUNCTION("""COMPUTED_VALUE"""),"6515010002")</f>
        <v>6515010002</v>
      </c>
      <c r="N71" s="30" t="str">
        <f ca="1">IFERROR(__xludf.DUMMYFUNCTION("""COMPUTED_VALUE"""),"GRAND BOURG")</f>
        <v>GRAND BOURG</v>
      </c>
      <c r="O71" s="30" t="str">
        <f ca="1">IFERROR(__xludf.DUMMYFUNCTION("""COMPUTED_VALUE"""),"6515")</f>
        <v>6515</v>
      </c>
      <c r="P71" s="30" t="str">
        <f ca="1">IFERROR(__xludf.DUMMYFUNCTION("""COMPUTED_VALUE"""),"MALVINAS ARGENTINAS")</f>
        <v>MALVINAS ARGENTINAS</v>
      </c>
      <c r="Q71" s="30" t="str">
        <f ca="1">IFERROR(__xludf.DUMMYFUNCTION("""COMPUTED_VALUE"""),"-34.498546")</f>
        <v>-34.498546</v>
      </c>
      <c r="R71" s="30" t="str">
        <f ca="1">IFERROR(__xludf.DUMMYFUNCTION("""COMPUTED_VALUE"""),"-58.717545")</f>
        <v>-58.717545</v>
      </c>
      <c r="S71" s="30" t="str">
        <f ca="1">IFERROR(__xludf.DUMMYFUNCTION("""COMPUTED_VALUE"""),"Municipal")</f>
        <v>Municipal</v>
      </c>
      <c r="T71" s="30" t="str">
        <f ca="1">IFERROR(__xludf.DUMMYFUNCTION("""COMPUTED_VALUE"""),"MALVINAS ARGENTINAS")</f>
        <v>MALVINAS ARGENTINAS</v>
      </c>
    </row>
    <row r="72" spans="1:20" ht="15.75" customHeight="1" x14ac:dyDescent="0.25">
      <c r="A72" s="30" t="str">
        <f ca="1">IFERROR(__xludf.DUMMYFUNCTION("""COMPUTED_VALUE"""),"50065152202017")</f>
        <v>50065152202017</v>
      </c>
      <c r="B72" s="30" t="str">
        <f ca="1">IFERROR(__xludf.DUMMYFUNCTION("""COMPUTED_VALUE"""),"UNIDAD FUNCIONAL PARQUE ALVEAR")</f>
        <v>UNIDAD FUNCIONAL PARQUE ALVEAR</v>
      </c>
      <c r="C72" s="30" t="str">
        <f ca="1">IFERROR(__xludf.DUMMYFUNCTION("""COMPUTED_VALUE"""),"Buenos Aires")</f>
        <v>Buenos Aires</v>
      </c>
      <c r="D72" s="30" t="str">
        <f ca="1">IFERROR(__xludf.DUMMYFUNCTION("""COMPUTED_VALUE"""),"6")</f>
        <v>6</v>
      </c>
      <c r="E72" s="30" t="str">
        <f ca="1">IFERROR(__xludf.DUMMYFUNCTION("""COMPUTED_VALUE"""),"")</f>
        <v/>
      </c>
      <c r="F72" s="29"/>
      <c r="G72" s="29"/>
      <c r="H72" s="30" t="str">
        <f ca="1">IFERROR(__xludf.DUMMYFUNCTION("""COMPUTED_VALUE"""),"activo")</f>
        <v>activo</v>
      </c>
      <c r="I72" s="29"/>
      <c r="J72" s="29"/>
      <c r="K72" s="29"/>
      <c r="L72" s="30" t="str">
        <f ca="1">IFERROR(__xludf.DUMMYFUNCTION("""COMPUTED_VALUE"""),"No")</f>
        <v>No</v>
      </c>
      <c r="M72" s="30" t="str">
        <f ca="1">IFERROR(__xludf.DUMMYFUNCTION("""COMPUTED_VALUE"""),"6515010008")</f>
        <v>6515010008</v>
      </c>
      <c r="N72" s="30" t="str">
        <f ca="1">IFERROR(__xludf.DUMMYFUNCTION("""COMPUTED_VALUE"""),"VILLA DE MAYO")</f>
        <v>VILLA DE MAYO</v>
      </c>
      <c r="O72" s="30" t="str">
        <f ca="1">IFERROR(__xludf.DUMMYFUNCTION("""COMPUTED_VALUE"""),"6515")</f>
        <v>6515</v>
      </c>
      <c r="P72" s="30" t="str">
        <f ca="1">IFERROR(__xludf.DUMMYFUNCTION("""COMPUTED_VALUE"""),"MALVINAS ARGENTINAS")</f>
        <v>MALVINAS ARGENTINAS</v>
      </c>
      <c r="Q72" s="30" t="str">
        <f ca="1">IFERROR(__xludf.DUMMYFUNCTION("""COMPUTED_VALUE"""),"-34.48684633")</f>
        <v>-34.48684633</v>
      </c>
      <c r="R72" s="30" t="str">
        <f ca="1">IFERROR(__xludf.DUMMYFUNCTION("""COMPUTED_VALUE"""),"-58.67134595")</f>
        <v>-58.67134595</v>
      </c>
      <c r="S72" s="30" t="str">
        <f ca="1">IFERROR(__xludf.DUMMYFUNCTION("""COMPUTED_VALUE"""),"Municipal")</f>
        <v>Municipal</v>
      </c>
      <c r="T72" s="30" t="str">
        <f ca="1">IFERROR(__xludf.DUMMYFUNCTION("""COMPUTED_VALUE"""),"MALVINAS ARGENTINAS")</f>
        <v>MALVINAS ARGENTINAS</v>
      </c>
    </row>
    <row r="73" spans="1:20" ht="15.75" customHeight="1" x14ac:dyDescent="0.25">
      <c r="A73" s="30" t="str">
        <f ca="1">IFERROR(__xludf.DUMMYFUNCTION("""COMPUTED_VALUE"""),"50065152202018")</f>
        <v>50065152202018</v>
      </c>
      <c r="B73" s="30" t="str">
        <f ca="1">IFERROR(__xludf.DUMMYFUNCTION("""COMPUTED_VALUE"""),"UNIDAD FUNCIONAL PUEBLO CHICO TORTUGUITAS")</f>
        <v>UNIDAD FUNCIONAL PUEBLO CHICO TORTUGUITAS</v>
      </c>
      <c r="C73" s="30" t="str">
        <f ca="1">IFERROR(__xludf.DUMMYFUNCTION("""COMPUTED_VALUE"""),"Buenos Aires")</f>
        <v>Buenos Aires</v>
      </c>
      <c r="D73" s="30" t="str">
        <f ca="1">IFERROR(__xludf.DUMMYFUNCTION("""COMPUTED_VALUE"""),"6")</f>
        <v>6</v>
      </c>
      <c r="E73" s="30" t="str">
        <f ca="1">IFERROR(__xludf.DUMMYFUNCTION("""COMPUTED_VALUE"""),"")</f>
        <v/>
      </c>
      <c r="F73" s="29"/>
      <c r="G73" s="29"/>
      <c r="H73" s="30" t="str">
        <f ca="1">IFERROR(__xludf.DUMMYFUNCTION("""COMPUTED_VALUE"""),"activo")</f>
        <v>activo</v>
      </c>
      <c r="I73" s="29"/>
      <c r="J73" s="29"/>
      <c r="K73" s="29"/>
      <c r="L73" s="30" t="str">
        <f ca="1">IFERROR(__xludf.DUMMYFUNCTION("""COMPUTED_VALUE"""),"No")</f>
        <v>No</v>
      </c>
      <c r="M73" s="30" t="str">
        <f ca="1">IFERROR(__xludf.DUMMYFUNCTION("""COMPUTED_VALUE"""),"6515010007")</f>
        <v>6515010007</v>
      </c>
      <c r="N73" s="30" t="str">
        <f ca="1">IFERROR(__xludf.DUMMYFUNCTION("""COMPUTED_VALUE"""),"TORTUGUITAS")</f>
        <v>TORTUGUITAS</v>
      </c>
      <c r="O73" s="30" t="str">
        <f ca="1">IFERROR(__xludf.DUMMYFUNCTION("""COMPUTED_VALUE"""),"6515")</f>
        <v>6515</v>
      </c>
      <c r="P73" s="30" t="str">
        <f ca="1">IFERROR(__xludf.DUMMYFUNCTION("""COMPUTED_VALUE"""),"MALVINAS ARGENTINAS")</f>
        <v>MALVINAS ARGENTINAS</v>
      </c>
      <c r="Q73" s="30" t="str">
        <f ca="1">IFERROR(__xludf.DUMMYFUNCTION("""COMPUTED_VALUE"""),"-34.46792038")</f>
        <v>-34.46792038</v>
      </c>
      <c r="R73" s="30" t="str">
        <f ca="1">IFERROR(__xludf.DUMMYFUNCTION("""COMPUTED_VALUE"""),"-58.75752211")</f>
        <v>-58.75752211</v>
      </c>
      <c r="S73" s="30" t="str">
        <f ca="1">IFERROR(__xludf.DUMMYFUNCTION("""COMPUTED_VALUE"""),"Municipal")</f>
        <v>Municipal</v>
      </c>
      <c r="T73" s="30" t="str">
        <f ca="1">IFERROR(__xludf.DUMMYFUNCTION("""COMPUTED_VALUE"""),"MALVINAS ARGENTINAS")</f>
        <v>MALVINAS ARGENTINAS</v>
      </c>
    </row>
    <row r="74" spans="1:20" ht="15.75" customHeight="1" x14ac:dyDescent="0.25">
      <c r="A74" s="30" t="str">
        <f ca="1">IFERROR(__xludf.DUMMYFUNCTION("""COMPUTED_VALUE"""),"50065152202355")</f>
        <v>50065152202355</v>
      </c>
      <c r="B74" s="30" t="str">
        <f ca="1">IFERROR(__xludf.DUMMYFUNCTION("""COMPUTED_VALUE"""),"UNIDAD SANITARIA KM 30 DE INGENIERO ADOLFO SOURDEAUX")</f>
        <v>UNIDAD SANITARIA KM 30 DE INGENIERO ADOLFO SOURDEAUX</v>
      </c>
      <c r="C74" s="30" t="str">
        <f ca="1">IFERROR(__xludf.DUMMYFUNCTION("""COMPUTED_VALUE"""),"Buenos Aires")</f>
        <v>Buenos Aires</v>
      </c>
      <c r="D74" s="30" t="str">
        <f ca="1">IFERROR(__xludf.DUMMYFUNCTION("""COMPUTED_VALUE"""),"6")</f>
        <v>6</v>
      </c>
      <c r="E74" s="30" t="str">
        <f ca="1">IFERROR(__xludf.DUMMYFUNCTION("""COMPUTED_VALUE"""),"")</f>
        <v/>
      </c>
      <c r="F74" s="29"/>
      <c r="G74" s="29"/>
      <c r="H74" s="30" t="str">
        <f ca="1">IFERROR(__xludf.DUMMYFUNCTION("""COMPUTED_VALUE"""),"activo")</f>
        <v>activo</v>
      </c>
      <c r="I74" s="29"/>
      <c r="J74" s="29"/>
      <c r="K74" s="29"/>
      <c r="L74" s="30" t="str">
        <f ca="1">IFERROR(__xludf.DUMMYFUNCTION("""COMPUTED_VALUE"""),"No")</f>
        <v>No</v>
      </c>
      <c r="M74" s="30" t="str">
        <f ca="1">IFERROR(__xludf.DUMMYFUNCTION("""COMPUTED_VALUE"""),"6515010003")</f>
        <v>6515010003</v>
      </c>
      <c r="N74" s="30" t="str">
        <f ca="1">IFERROR(__xludf.DUMMYFUNCTION("""COMPUTED_VALUE"""),"INGENIERO ADOLFO SOURDEAUX")</f>
        <v>INGENIERO ADOLFO SOURDEAUX</v>
      </c>
      <c r="O74" s="30" t="str">
        <f ca="1">IFERROR(__xludf.DUMMYFUNCTION("""COMPUTED_VALUE"""),"6515")</f>
        <v>6515</v>
      </c>
      <c r="P74" s="30" t="str">
        <f ca="1">IFERROR(__xludf.DUMMYFUNCTION("""COMPUTED_VALUE"""),"MALVINAS ARGENTINAS")</f>
        <v>MALVINAS ARGENTINAS</v>
      </c>
      <c r="Q74" s="30" t="str">
        <f ca="1">IFERROR(__xludf.DUMMYFUNCTION("""COMPUTED_VALUE"""),"-34.50256825")</f>
        <v>-34.50256825</v>
      </c>
      <c r="R74" s="30" t="str">
        <f ca="1">IFERROR(__xludf.DUMMYFUNCTION("""COMPUTED_VALUE"""),"-58.67046618")</f>
        <v>-58.67046618</v>
      </c>
      <c r="S74" s="30" t="str">
        <f ca="1">IFERROR(__xludf.DUMMYFUNCTION("""COMPUTED_VALUE"""),"Municipal")</f>
        <v>Municipal</v>
      </c>
      <c r="T74" s="30" t="str">
        <f ca="1">IFERROR(__xludf.DUMMYFUNCTION("""COMPUTED_VALUE"""),"MALVINAS ARGENTINAS")</f>
        <v>MALVINAS ARGENTINAS</v>
      </c>
    </row>
    <row r="75" spans="1:20" ht="15.75" customHeight="1" x14ac:dyDescent="0.25">
      <c r="A75" s="30" t="str">
        <f ca="1">IFERROR(__xludf.DUMMYFUNCTION("""COMPUTED_VALUE"""),"50065152201984")</f>
        <v>50065152201984</v>
      </c>
      <c r="B75" s="30" t="str">
        <f ca="1">IFERROR(__xludf.DUMMYFUNCTION("""COMPUTED_VALUE"""),"UNIDAD FUNCIONAL MAGDALENA")</f>
        <v>UNIDAD FUNCIONAL MAGDALENA</v>
      </c>
      <c r="C75" s="30" t="str">
        <f ca="1">IFERROR(__xludf.DUMMYFUNCTION("""COMPUTED_VALUE"""),"Buenos Aires")</f>
        <v>Buenos Aires</v>
      </c>
      <c r="D75" s="30" t="str">
        <f ca="1">IFERROR(__xludf.DUMMYFUNCTION("""COMPUTED_VALUE"""),"6")</f>
        <v>6</v>
      </c>
      <c r="E75" s="30" t="str">
        <f ca="1">IFERROR(__xludf.DUMMYFUNCTION("""COMPUTED_VALUE"""),"")</f>
        <v/>
      </c>
      <c r="F75" s="29"/>
      <c r="G75" s="29"/>
      <c r="H75" s="30" t="str">
        <f ca="1">IFERROR(__xludf.DUMMYFUNCTION("""COMPUTED_VALUE"""),"activo")</f>
        <v>activo</v>
      </c>
      <c r="I75" s="29"/>
      <c r="J75" s="29"/>
      <c r="K75" s="29"/>
      <c r="L75" s="30" t="str">
        <f ca="1">IFERROR(__xludf.DUMMYFUNCTION("""COMPUTED_VALUE"""),"No")</f>
        <v>No</v>
      </c>
      <c r="M75" s="30" t="str">
        <f ca="1">IFERROR(__xludf.DUMMYFUNCTION("""COMPUTED_VALUE"""),"6515010005")</f>
        <v>6515010005</v>
      </c>
      <c r="N75" s="30" t="str">
        <f ca="1">IFERROR(__xludf.DUMMYFUNCTION("""COMPUTED_VALUE"""),"LOS POLVORINES")</f>
        <v>LOS POLVORINES</v>
      </c>
      <c r="O75" s="30" t="str">
        <f ca="1">IFERROR(__xludf.DUMMYFUNCTION("""COMPUTED_VALUE"""),"6515")</f>
        <v>6515</v>
      </c>
      <c r="P75" s="30" t="str">
        <f ca="1">IFERROR(__xludf.DUMMYFUNCTION("""COMPUTED_VALUE"""),"MALVINAS ARGENTINAS")</f>
        <v>MALVINAS ARGENTINAS</v>
      </c>
      <c r="Q75" s="30" t="str">
        <f ca="1">IFERROR(__xludf.DUMMYFUNCTION("""COMPUTED_VALUE"""),"-34.50653806")</f>
        <v>-34.50653806</v>
      </c>
      <c r="R75" s="30" t="str">
        <f ca="1">IFERROR(__xludf.DUMMYFUNCTION("""COMPUTED_VALUE"""),"-58.71295238")</f>
        <v>-58.71295238</v>
      </c>
      <c r="S75" s="30" t="str">
        <f ca="1">IFERROR(__xludf.DUMMYFUNCTION("""COMPUTED_VALUE"""),"Municipal")</f>
        <v>Municipal</v>
      </c>
      <c r="T75" s="30" t="str">
        <f ca="1">IFERROR(__xludf.DUMMYFUNCTION("""COMPUTED_VALUE"""),"MALVINAS ARGENTINAS")</f>
        <v>MALVINAS ARGENTINAS</v>
      </c>
    </row>
    <row r="76" spans="1:20" ht="15.75" customHeight="1" x14ac:dyDescent="0.25">
      <c r="A76" s="30" t="str">
        <f ca="1">IFERROR(__xludf.DUMMYFUNCTION("""COMPUTED_VALUE"""),"50065152201093")</f>
        <v>50065152201093</v>
      </c>
      <c r="B76" s="30" t="str">
        <f ca="1">IFERROR(__xludf.DUMMYFUNCTION("""COMPUTED_VALUE"""),"CENTRO ASISTENCIAL LOS ANGELES")</f>
        <v>CENTRO ASISTENCIAL LOS ANGELES</v>
      </c>
      <c r="C76" s="30" t="str">
        <f ca="1">IFERROR(__xludf.DUMMYFUNCTION("""COMPUTED_VALUE"""),"Buenos Aires")</f>
        <v>Buenos Aires</v>
      </c>
      <c r="D76" s="30" t="str">
        <f ca="1">IFERROR(__xludf.DUMMYFUNCTION("""COMPUTED_VALUE"""),"6")</f>
        <v>6</v>
      </c>
      <c r="E76" s="30" t="str">
        <f ca="1">IFERROR(__xludf.DUMMYFUNCTION("""COMPUTED_VALUE"""),"")</f>
        <v/>
      </c>
      <c r="F76" s="29"/>
      <c r="G76" s="29"/>
      <c r="H76" s="30" t="str">
        <f ca="1">IFERROR(__xludf.DUMMYFUNCTION("""COMPUTED_VALUE"""),"activo")</f>
        <v>activo</v>
      </c>
      <c r="I76" s="29"/>
      <c r="J76" s="29"/>
      <c r="K76" s="29"/>
      <c r="L76" s="30" t="str">
        <f ca="1">IFERROR(__xludf.DUMMYFUNCTION("""COMPUTED_VALUE"""),"No")</f>
        <v>No</v>
      </c>
      <c r="M76" s="30" t="str">
        <f ca="1">IFERROR(__xludf.DUMMYFUNCTION("""COMPUTED_VALUE"""),"6515010007")</f>
        <v>6515010007</v>
      </c>
      <c r="N76" s="30" t="str">
        <f ca="1">IFERROR(__xludf.DUMMYFUNCTION("""COMPUTED_VALUE"""),"TORTUGUITAS")</f>
        <v>TORTUGUITAS</v>
      </c>
      <c r="O76" s="30" t="str">
        <f ca="1">IFERROR(__xludf.DUMMYFUNCTION("""COMPUTED_VALUE"""),"6515")</f>
        <v>6515</v>
      </c>
      <c r="P76" s="30" t="str">
        <f ca="1">IFERROR(__xludf.DUMMYFUNCTION("""COMPUTED_VALUE"""),"MALVINAS ARGENTINAS")</f>
        <v>MALVINAS ARGENTINAS</v>
      </c>
      <c r="Q76" s="30" t="str">
        <f ca="1">IFERROR(__xludf.DUMMYFUNCTION("""COMPUTED_VALUE"""),"-34.4663848")</f>
        <v>-34.4663848</v>
      </c>
      <c r="R76" s="30" t="str">
        <f ca="1">IFERROR(__xludf.DUMMYFUNCTION("""COMPUTED_VALUE"""),"-58.7382009")</f>
        <v>-58.7382009</v>
      </c>
      <c r="S76" s="30" t="str">
        <f ca="1">IFERROR(__xludf.DUMMYFUNCTION("""COMPUTED_VALUE"""),"Municipal")</f>
        <v>Municipal</v>
      </c>
      <c r="T76" s="30" t="str">
        <f ca="1">IFERROR(__xludf.DUMMYFUNCTION("""COMPUTED_VALUE"""),"MALVINAS ARGENTINAS")</f>
        <v>MALVINAS ARGENTINAS</v>
      </c>
    </row>
    <row r="77" spans="1:20" ht="15.75" customHeight="1" x14ac:dyDescent="0.25">
      <c r="A77" s="30" t="str">
        <f ca="1">IFERROR(__xludf.DUMMYFUNCTION("""COMPUTED_VALUE"""),"50065152202015")</f>
        <v>50065152202015</v>
      </c>
      <c r="B77" s="30" t="str">
        <f ca="1">IFERROR(__xludf.DUMMYFUNCTION("""COMPUTED_VALUE"""),"UNIDAD FUNCIONAL EL CHELITO")</f>
        <v>UNIDAD FUNCIONAL EL CHELITO</v>
      </c>
      <c r="C77" s="30" t="str">
        <f ca="1">IFERROR(__xludf.DUMMYFUNCTION("""COMPUTED_VALUE"""),"Buenos Aires")</f>
        <v>Buenos Aires</v>
      </c>
      <c r="D77" s="30" t="str">
        <f ca="1">IFERROR(__xludf.DUMMYFUNCTION("""COMPUTED_VALUE"""),"6")</f>
        <v>6</v>
      </c>
      <c r="E77" s="30" t="str">
        <f ca="1">IFERROR(__xludf.DUMMYFUNCTION("""COMPUTED_VALUE"""),"")</f>
        <v/>
      </c>
      <c r="F77" s="29"/>
      <c r="G77" s="29"/>
      <c r="H77" s="30" t="str">
        <f ca="1">IFERROR(__xludf.DUMMYFUNCTION("""COMPUTED_VALUE"""),"activo")</f>
        <v>activo</v>
      </c>
      <c r="I77" s="29"/>
      <c r="J77" s="29"/>
      <c r="K77" s="29"/>
      <c r="L77" s="30" t="str">
        <f ca="1">IFERROR(__xludf.DUMMYFUNCTION("""COMPUTED_VALUE"""),"No")</f>
        <v>No</v>
      </c>
      <c r="M77" s="30" t="str">
        <f ca="1">IFERROR(__xludf.DUMMYFUNCTION("""COMPUTED_VALUE"""),"6515010007")</f>
        <v>6515010007</v>
      </c>
      <c r="N77" s="30" t="str">
        <f ca="1">IFERROR(__xludf.DUMMYFUNCTION("""COMPUTED_VALUE"""),"TORTUGUITAS")</f>
        <v>TORTUGUITAS</v>
      </c>
      <c r="O77" s="30" t="str">
        <f ca="1">IFERROR(__xludf.DUMMYFUNCTION("""COMPUTED_VALUE"""),"6515")</f>
        <v>6515</v>
      </c>
      <c r="P77" s="30" t="str">
        <f ca="1">IFERROR(__xludf.DUMMYFUNCTION("""COMPUTED_VALUE"""),"MALVINAS ARGENTINAS")</f>
        <v>MALVINAS ARGENTINAS</v>
      </c>
      <c r="Q77" s="30" t="str">
        <f ca="1">IFERROR(__xludf.DUMMYFUNCTION("""COMPUTED_VALUE"""),"-34.47629559")</f>
        <v>-34.47629559</v>
      </c>
      <c r="R77" s="30" t="str">
        <f ca="1">IFERROR(__xludf.DUMMYFUNCTION("""COMPUTED_VALUE"""),"-58.77799058")</f>
        <v>-58.77799058</v>
      </c>
      <c r="S77" s="30" t="str">
        <f ca="1">IFERROR(__xludf.DUMMYFUNCTION("""COMPUTED_VALUE"""),"Municipal")</f>
        <v>Municipal</v>
      </c>
      <c r="T77" s="30" t="str">
        <f ca="1">IFERROR(__xludf.DUMMYFUNCTION("""COMPUTED_VALUE"""),"MALVINAS ARGENTINAS")</f>
        <v>MALVINAS ARGENTINAS</v>
      </c>
    </row>
    <row r="78" spans="1:20" ht="15.75" customHeight="1" x14ac:dyDescent="0.25">
      <c r="A78" s="30" t="str">
        <f ca="1">IFERROR(__xludf.DUMMYFUNCTION("""COMPUTED_VALUE"""),"50065152201615")</f>
        <v>50065152201615</v>
      </c>
      <c r="B78" s="30" t="str">
        <f ca="1">IFERROR(__xludf.DUMMYFUNCTION("""COMPUTED_VALUE"""),"EL CAMINO")</f>
        <v>EL CAMINO</v>
      </c>
      <c r="C78" s="30" t="str">
        <f ca="1">IFERROR(__xludf.DUMMYFUNCTION("""COMPUTED_VALUE"""),"Buenos Aires")</f>
        <v>Buenos Aires</v>
      </c>
      <c r="D78" s="30" t="str">
        <f ca="1">IFERROR(__xludf.DUMMYFUNCTION("""COMPUTED_VALUE"""),"6")</f>
        <v>6</v>
      </c>
      <c r="E78" s="30" t="str">
        <f ca="1">IFERROR(__xludf.DUMMYFUNCTION("""COMPUTED_VALUE"""),"")</f>
        <v/>
      </c>
      <c r="F78" s="29"/>
      <c r="G78" s="29"/>
      <c r="H78" s="30" t="str">
        <f ca="1">IFERROR(__xludf.DUMMYFUNCTION("""COMPUTED_VALUE"""),"activo")</f>
        <v>activo</v>
      </c>
      <c r="I78" s="29"/>
      <c r="J78" s="29"/>
      <c r="K78" s="29"/>
      <c r="L78" s="30" t="str">
        <f ca="1">IFERROR(__xludf.DUMMYFUNCTION("""COMPUTED_VALUE"""),"No")</f>
        <v>No</v>
      </c>
      <c r="M78" s="30" t="str">
        <f ca="1">IFERROR(__xludf.DUMMYFUNCTION("""COMPUTED_VALUE"""),"6515010002")</f>
        <v>6515010002</v>
      </c>
      <c r="N78" s="30" t="str">
        <f ca="1">IFERROR(__xludf.DUMMYFUNCTION("""COMPUTED_VALUE"""),"GRAND BOURG")</f>
        <v>GRAND BOURG</v>
      </c>
      <c r="O78" s="30" t="str">
        <f ca="1">IFERROR(__xludf.DUMMYFUNCTION("""COMPUTED_VALUE"""),"6515")</f>
        <v>6515</v>
      </c>
      <c r="P78" s="30" t="str">
        <f ca="1">IFERROR(__xludf.DUMMYFUNCTION("""COMPUTED_VALUE"""),"MALVINAS ARGENTINAS")</f>
        <v>MALVINAS ARGENTINAS</v>
      </c>
      <c r="Q78" s="30" t="str">
        <f ca="1">IFERROR(__xludf.DUMMYFUNCTION("""COMPUTED_VALUE"""),"-34.50067612")</f>
        <v>-34.50067612</v>
      </c>
      <c r="R78" s="30" t="str">
        <f ca="1">IFERROR(__xludf.DUMMYFUNCTION("""COMPUTED_VALUE"""),"-58.74393725")</f>
        <v>-58.74393725</v>
      </c>
      <c r="S78" s="30" t="str">
        <f ca="1">IFERROR(__xludf.DUMMYFUNCTION("""COMPUTED_VALUE"""),"Municipal")</f>
        <v>Municipal</v>
      </c>
      <c r="T78" s="30" t="str">
        <f ca="1">IFERROR(__xludf.DUMMYFUNCTION("""COMPUTED_VALUE"""),"MALVINAS ARGENTINAS")</f>
        <v>MALVINAS ARGENTINAS</v>
      </c>
    </row>
    <row r="79" spans="1:20" ht="15.75" customHeight="1" x14ac:dyDescent="0.25">
      <c r="A79" s="30" t="str">
        <f ca="1">IFERROR(__xludf.DUMMYFUNCTION("""COMPUTED_VALUE"""),"50060912202465")</f>
        <v>50060912202465</v>
      </c>
      <c r="B79" s="30" t="str">
        <f ca="1">IFERROR(__xludf.DUMMYFUNCTION("""COMPUTED_VALUE"""),"UNIDAD SANITARIA Nº 1 DR. J. SABATO")</f>
        <v>UNIDAD SANITARIA Nº 1 DR. J. SABATO</v>
      </c>
      <c r="C79" s="30" t="str">
        <f ca="1">IFERROR(__xludf.DUMMYFUNCTION("""COMPUTED_VALUE"""),"Buenos Aires")</f>
        <v>Buenos Aires</v>
      </c>
      <c r="D79" s="30" t="str">
        <f ca="1">IFERROR(__xludf.DUMMYFUNCTION("""COMPUTED_VALUE"""),"6")</f>
        <v>6</v>
      </c>
      <c r="E79" s="30" t="str">
        <f ca="1">IFERROR(__xludf.DUMMYFUNCTION("""COMPUTED_VALUE"""),"")</f>
        <v/>
      </c>
      <c r="F79" s="29"/>
      <c r="G79" s="29"/>
      <c r="H79" s="30" t="str">
        <f ca="1">IFERROR(__xludf.DUMMYFUNCTION("""COMPUTED_VALUE"""),"activo")</f>
        <v>activo</v>
      </c>
      <c r="I79" s="29"/>
      <c r="J79" s="29"/>
      <c r="K79" s="29"/>
      <c r="L79" s="30" t="str">
        <f ca="1">IFERROR(__xludf.DUMMYFUNCTION("""COMPUTED_VALUE"""),"No")</f>
        <v>No</v>
      </c>
      <c r="M79" s="30" t="str">
        <f ca="1">IFERROR(__xludf.DUMMYFUNCTION("""COMPUTED_VALUE"""),"6091010001")</f>
        <v>6091010001</v>
      </c>
      <c r="N79" s="30" t="str">
        <f ca="1">IFERROR(__xludf.DUMMYFUNCTION("""COMPUTED_VALUE"""),"BERAZATEGUI")</f>
        <v>BERAZATEGUI</v>
      </c>
      <c r="O79" s="30" t="str">
        <f ca="1">IFERROR(__xludf.DUMMYFUNCTION("""COMPUTED_VALUE"""),"691")</f>
        <v>691</v>
      </c>
      <c r="P79" s="30" t="str">
        <f ca="1">IFERROR(__xludf.DUMMYFUNCTION("""COMPUTED_VALUE"""),"BERAZATEGUI")</f>
        <v>BERAZATEGUI</v>
      </c>
      <c r="Q79" s="30" t="str">
        <f ca="1">IFERROR(__xludf.DUMMYFUNCTION("""COMPUTED_VALUE"""),"-34.770837")</f>
        <v>-34.770837</v>
      </c>
      <c r="R79" s="30" t="str">
        <f ca="1">IFERROR(__xludf.DUMMYFUNCTION("""COMPUTED_VALUE"""),"-58.226405")</f>
        <v>-58.226405</v>
      </c>
      <c r="S79" s="30" t="str">
        <f ca="1">IFERROR(__xludf.DUMMYFUNCTION("""COMPUTED_VALUE"""),"Municipal")</f>
        <v>Municipal</v>
      </c>
      <c r="T79" s="30" t="str">
        <f ca="1">IFERROR(__xludf.DUMMYFUNCTION("""COMPUTED_VALUE"""),"BERAZATEGUI")</f>
        <v>BERAZATEGUI</v>
      </c>
    </row>
    <row r="80" spans="1:20" ht="15.75" customHeight="1" x14ac:dyDescent="0.25">
      <c r="A80" s="30" t="str">
        <f ca="1">IFERROR(__xludf.DUMMYFUNCTION("""COMPUTED_VALUE"""),"50060912202517")</f>
        <v>50060912202517</v>
      </c>
      <c r="B80" s="30" t="str">
        <f ca="1">IFERROR(__xludf.DUMMYFUNCTION("""COMPUTED_VALUE"""),"UNIDAD SANITARIA N° 16 DE BERAZATEGUI")</f>
        <v>UNIDAD SANITARIA N° 16 DE BERAZATEGUI</v>
      </c>
      <c r="C80" s="30" t="str">
        <f ca="1">IFERROR(__xludf.DUMMYFUNCTION("""COMPUTED_VALUE"""),"Buenos Aires")</f>
        <v>Buenos Aires</v>
      </c>
      <c r="D80" s="30" t="str">
        <f ca="1">IFERROR(__xludf.DUMMYFUNCTION("""COMPUTED_VALUE"""),"6")</f>
        <v>6</v>
      </c>
      <c r="E80" s="30" t="str">
        <f ca="1">IFERROR(__xludf.DUMMYFUNCTION("""COMPUTED_VALUE"""),"")</f>
        <v/>
      </c>
      <c r="F80" s="29"/>
      <c r="G80" s="29"/>
      <c r="H80" s="30" t="str">
        <f ca="1">IFERROR(__xludf.DUMMYFUNCTION("""COMPUTED_VALUE"""),"activo")</f>
        <v>activo</v>
      </c>
      <c r="I80" s="29"/>
      <c r="J80" s="29"/>
      <c r="K80" s="29"/>
      <c r="L80" s="30" t="str">
        <f ca="1">IFERROR(__xludf.DUMMYFUNCTION("""COMPUTED_VALUE"""),"No")</f>
        <v>No</v>
      </c>
      <c r="M80" s="30" t="str">
        <f ca="1">IFERROR(__xludf.DUMMYFUNCTION("""COMPUTED_VALUE"""),"6091010001")</f>
        <v>6091010001</v>
      </c>
      <c r="N80" s="30" t="str">
        <f ca="1">IFERROR(__xludf.DUMMYFUNCTION("""COMPUTED_VALUE"""),"BERAZATEGUI")</f>
        <v>BERAZATEGUI</v>
      </c>
      <c r="O80" s="30" t="str">
        <f ca="1">IFERROR(__xludf.DUMMYFUNCTION("""COMPUTED_VALUE"""),"691")</f>
        <v>691</v>
      </c>
      <c r="P80" s="30" t="str">
        <f ca="1">IFERROR(__xludf.DUMMYFUNCTION("""COMPUTED_VALUE"""),"BERAZATEGUI")</f>
        <v>BERAZATEGUI</v>
      </c>
      <c r="Q80" s="30" t="str">
        <f ca="1">IFERROR(__xludf.DUMMYFUNCTION("""COMPUTED_VALUE"""),"-34.74888203")</f>
        <v>-34.74888203</v>
      </c>
      <c r="R80" s="30" t="str">
        <f ca="1">IFERROR(__xludf.DUMMYFUNCTION("""COMPUTED_VALUE"""),"-58.20893312")</f>
        <v>-58.20893312</v>
      </c>
      <c r="S80" s="30" t="str">
        <f ca="1">IFERROR(__xludf.DUMMYFUNCTION("""COMPUTED_VALUE"""),"Municipal")</f>
        <v>Municipal</v>
      </c>
      <c r="T80" s="30" t="str">
        <f ca="1">IFERROR(__xludf.DUMMYFUNCTION("""COMPUTED_VALUE"""),"BERAZATEGUI")</f>
        <v>BERAZATEGUI</v>
      </c>
    </row>
    <row r="81" spans="1:20" ht="15.75" customHeight="1" x14ac:dyDescent="0.25">
      <c r="A81" s="30" t="str">
        <f ca="1">IFERROR(__xludf.DUMMYFUNCTION("""COMPUTED_VALUE"""),"50060912202583")</f>
        <v>50060912202583</v>
      </c>
      <c r="B81" s="30" t="str">
        <f ca="1">IFERROR(__xludf.DUMMYFUNCTION("""COMPUTED_VALUE"""),"UNIDAD SANITARIA N° 29 DE BERAZATEGUI")</f>
        <v>UNIDAD SANITARIA N° 29 DE BERAZATEGUI</v>
      </c>
      <c r="C81" s="30" t="str">
        <f ca="1">IFERROR(__xludf.DUMMYFUNCTION("""COMPUTED_VALUE"""),"Buenos Aires")</f>
        <v>Buenos Aires</v>
      </c>
      <c r="D81" s="30" t="str">
        <f ca="1">IFERROR(__xludf.DUMMYFUNCTION("""COMPUTED_VALUE"""),"6")</f>
        <v>6</v>
      </c>
      <c r="E81" s="30" t="str">
        <f ca="1">IFERROR(__xludf.DUMMYFUNCTION("""COMPUTED_VALUE"""),"")</f>
        <v/>
      </c>
      <c r="F81" s="29"/>
      <c r="G81" s="29"/>
      <c r="H81" s="30" t="str">
        <f ca="1">IFERROR(__xludf.DUMMYFUNCTION("""COMPUTED_VALUE"""),"activo")</f>
        <v>activo</v>
      </c>
      <c r="I81" s="29"/>
      <c r="J81" s="29"/>
      <c r="K81" s="29"/>
      <c r="L81" s="30" t="str">
        <f ca="1">IFERROR(__xludf.DUMMYFUNCTION("""COMPUTED_VALUE"""),"No")</f>
        <v>No</v>
      </c>
      <c r="M81" s="30" t="str">
        <f ca="1">IFERROR(__xludf.DUMMYFUNCTION("""COMPUTED_VALUE"""),"6091010009")</f>
        <v>6091010009</v>
      </c>
      <c r="N81" s="30" t="str">
        <f ca="1">IFERROR(__xludf.DUMMYFUNCTION("""COMPUTED_VALUE"""),"RANELAGH")</f>
        <v>RANELAGH</v>
      </c>
      <c r="O81" s="30" t="str">
        <f ca="1">IFERROR(__xludf.DUMMYFUNCTION("""COMPUTED_VALUE"""),"691")</f>
        <v>691</v>
      </c>
      <c r="P81" s="30" t="str">
        <f ca="1">IFERROR(__xludf.DUMMYFUNCTION("""COMPUTED_VALUE"""),"BERAZATEGUI")</f>
        <v>BERAZATEGUI</v>
      </c>
      <c r="Q81" s="30" t="str">
        <f ca="1">IFERROR(__xludf.DUMMYFUNCTION("""COMPUTED_VALUE"""),"-34.80774197")</f>
        <v>-34.80774197</v>
      </c>
      <c r="R81" s="30" t="str">
        <f ca="1">IFERROR(__xludf.DUMMYFUNCTION("""COMPUTED_VALUE"""),"-58.2081821")</f>
        <v>-58.2081821</v>
      </c>
      <c r="S81" s="30" t="str">
        <f ca="1">IFERROR(__xludf.DUMMYFUNCTION("""COMPUTED_VALUE"""),"Municipal")</f>
        <v>Municipal</v>
      </c>
      <c r="T81" s="30" t="str">
        <f ca="1">IFERROR(__xludf.DUMMYFUNCTION("""COMPUTED_VALUE"""),"BERAZATEGUI")</f>
        <v>BERAZATEGUI</v>
      </c>
    </row>
    <row r="82" spans="1:20" ht="15.75" customHeight="1" x14ac:dyDescent="0.25">
      <c r="A82" s="30" t="str">
        <f ca="1">IFERROR(__xludf.DUMMYFUNCTION("""COMPUTED_VALUE"""),"50060912215020")</f>
        <v>50060912215020</v>
      </c>
      <c r="B82" s="30" t="str">
        <f ca="1">IFERROR(__xludf.DUMMYFUNCTION("""COMPUTED_VALUE"""),"UNIDAD SANITARIA N° 36")</f>
        <v>UNIDAD SANITARIA N° 36</v>
      </c>
      <c r="C82" s="30" t="str">
        <f ca="1">IFERROR(__xludf.DUMMYFUNCTION("""COMPUTED_VALUE"""),"Buenos Aires")</f>
        <v>Buenos Aires</v>
      </c>
      <c r="D82" s="30" t="str">
        <f ca="1">IFERROR(__xludf.DUMMYFUNCTION("""COMPUTED_VALUE"""),"6")</f>
        <v>6</v>
      </c>
      <c r="E82" s="30" t="str">
        <f ca="1">IFERROR(__xludf.DUMMYFUNCTION("""COMPUTED_VALUE"""),"")</f>
        <v/>
      </c>
      <c r="F82" s="29"/>
      <c r="G82" s="29"/>
      <c r="H82" s="30" t="str">
        <f ca="1">IFERROR(__xludf.DUMMYFUNCTION("""COMPUTED_VALUE"""),"activo")</f>
        <v>activo</v>
      </c>
      <c r="I82" s="29"/>
      <c r="J82" s="29"/>
      <c r="K82" s="29"/>
      <c r="L82" s="30" t="str">
        <f ca="1">IFERROR(__xludf.DUMMYFUNCTION("""COMPUTED_VALUE"""),"No")</f>
        <v>No</v>
      </c>
      <c r="M82" s="30" t="str">
        <f ca="1">IFERROR(__xludf.DUMMYFUNCTION("""COMPUTED_VALUE"""),"6091010001")</f>
        <v>6091010001</v>
      </c>
      <c r="N82" s="30" t="str">
        <f ca="1">IFERROR(__xludf.DUMMYFUNCTION("""COMPUTED_VALUE"""),"BERAZATEGUI")</f>
        <v>BERAZATEGUI</v>
      </c>
      <c r="O82" s="30" t="str">
        <f ca="1">IFERROR(__xludf.DUMMYFUNCTION("""COMPUTED_VALUE"""),"691")</f>
        <v>691</v>
      </c>
      <c r="P82" s="30" t="str">
        <f ca="1">IFERROR(__xludf.DUMMYFUNCTION("""COMPUTED_VALUE"""),"BERAZATEGUI")</f>
        <v>BERAZATEGUI</v>
      </c>
      <c r="Q82" s="30" t="str">
        <f ca="1">IFERROR(__xludf.DUMMYFUNCTION("""COMPUTED_VALUE"""),"-38.558768")</f>
        <v>-38.558768</v>
      </c>
      <c r="R82" s="30" t="str">
        <f ca="1">IFERROR(__xludf.DUMMYFUNCTION("""COMPUTED_VALUE"""),"-58.7389986")</f>
        <v>-58.7389986</v>
      </c>
      <c r="S82" s="30" t="str">
        <f ca="1">IFERROR(__xludf.DUMMYFUNCTION("""COMPUTED_VALUE"""),"Municipal")</f>
        <v>Municipal</v>
      </c>
      <c r="T82" s="30" t="str">
        <f ca="1">IFERROR(__xludf.DUMMYFUNCTION("""COMPUTED_VALUE"""),"BERAZATEGUI")</f>
        <v>BERAZATEGUI</v>
      </c>
    </row>
    <row r="83" spans="1:20" ht="15.75" customHeight="1" x14ac:dyDescent="0.25">
      <c r="A83" s="30" t="str">
        <f ca="1">IFERROR(__xludf.DUMMYFUNCTION("""COMPUTED_VALUE"""),"50060282202639")</f>
        <v>50060282202639</v>
      </c>
      <c r="B83" s="30" t="str">
        <f ca="1">IFERROR(__xludf.DUMMYFUNCTION("""COMPUTED_VALUE"""),"UNIDAD SANITARIA N° 5 RAYO DE SOL DE LONGCHAMPS")</f>
        <v>UNIDAD SANITARIA N° 5 RAYO DE SOL DE LONGCHAMPS</v>
      </c>
      <c r="C83" s="30" t="str">
        <f ca="1">IFERROR(__xludf.DUMMYFUNCTION("""COMPUTED_VALUE"""),"Buenos Aires")</f>
        <v>Buenos Aires</v>
      </c>
      <c r="D83" s="30" t="str">
        <f ca="1">IFERROR(__xludf.DUMMYFUNCTION("""COMPUTED_VALUE"""),"6")</f>
        <v>6</v>
      </c>
      <c r="E83" s="30" t="str">
        <f ca="1">IFERROR(__xludf.DUMMYFUNCTION("""COMPUTED_VALUE"""),"")</f>
        <v/>
      </c>
      <c r="F83" s="29"/>
      <c r="G83" s="29"/>
      <c r="H83" s="30" t="str">
        <f ca="1">IFERROR(__xludf.DUMMYFUNCTION("""COMPUTED_VALUE"""),"activo")</f>
        <v>activo</v>
      </c>
      <c r="I83" s="29"/>
      <c r="J83" s="29"/>
      <c r="K83" s="29"/>
      <c r="L83" s="30" t="str">
        <f ca="1">IFERROR(__xludf.DUMMYFUNCTION("""COMPUTED_VALUE"""),"No")</f>
        <v>No</v>
      </c>
      <c r="M83" s="30" t="str">
        <f ca="1">IFERROR(__xludf.DUMMYFUNCTION("""COMPUTED_VALUE"""),"6028010007")</f>
        <v>6028010007</v>
      </c>
      <c r="N83" s="30" t="str">
        <f ca="1">IFERROR(__xludf.DUMMYFUNCTION("""COMPUTED_VALUE"""),"LONGCHAMPS")</f>
        <v>LONGCHAMPS</v>
      </c>
      <c r="O83" s="30" t="str">
        <f ca="1">IFERROR(__xludf.DUMMYFUNCTION("""COMPUTED_VALUE"""),"628")</f>
        <v>628</v>
      </c>
      <c r="P83" s="30" t="str">
        <f ca="1">IFERROR(__xludf.DUMMYFUNCTION("""COMPUTED_VALUE"""),"ALMIRANTE BROWN")</f>
        <v>ALMIRANTE BROWN</v>
      </c>
      <c r="Q83" s="30" t="str">
        <f ca="1">IFERROR(__xludf.DUMMYFUNCTION("""COMPUTED_VALUE"""),"-34.87095835")</f>
        <v>-34.87095835</v>
      </c>
      <c r="R83" s="30" t="str">
        <f ca="1">IFERROR(__xludf.DUMMYFUNCTION("""COMPUTED_VALUE"""),"-58.40607226")</f>
        <v>-58.40607226</v>
      </c>
      <c r="S83" s="30" t="str">
        <f ca="1">IFERROR(__xludf.DUMMYFUNCTION("""COMPUTED_VALUE"""),"Municipal")</f>
        <v>Municipal</v>
      </c>
      <c r="T83" s="30" t="str">
        <f ca="1">IFERROR(__xludf.DUMMYFUNCTION("""COMPUTED_VALUE"""),"ALMIRANTE BROWN")</f>
        <v>ALMIRANTE BROWN</v>
      </c>
    </row>
    <row r="84" spans="1:20" ht="15.75" customHeight="1" x14ac:dyDescent="0.25">
      <c r="A84" s="30" t="str">
        <f ca="1">IFERROR(__xludf.DUMMYFUNCTION("""COMPUTED_VALUE"""),"50060282202494")</f>
        <v>50060282202494</v>
      </c>
      <c r="B84" s="30" t="str">
        <f ca="1">IFERROR(__xludf.DUMMYFUNCTION("""COMPUTED_VALUE"""),"UNIDAD SANITARIA N° 12 DON ORIONE DE CLAYPOLE")</f>
        <v>UNIDAD SANITARIA N° 12 DON ORIONE DE CLAYPOLE</v>
      </c>
      <c r="C84" s="30" t="str">
        <f ca="1">IFERROR(__xludf.DUMMYFUNCTION("""COMPUTED_VALUE"""),"Buenos Aires")</f>
        <v>Buenos Aires</v>
      </c>
      <c r="D84" s="30" t="str">
        <f ca="1">IFERROR(__xludf.DUMMYFUNCTION("""COMPUTED_VALUE"""),"6")</f>
        <v>6</v>
      </c>
      <c r="E84" s="30" t="str">
        <f ca="1">IFERROR(__xludf.DUMMYFUNCTION("""COMPUTED_VALUE"""),"")</f>
        <v/>
      </c>
      <c r="F84" s="29"/>
      <c r="G84" s="29"/>
      <c r="H84" s="30" t="str">
        <f ca="1">IFERROR(__xludf.DUMMYFUNCTION("""COMPUTED_VALUE"""),"activo")</f>
        <v>activo</v>
      </c>
      <c r="I84" s="29"/>
      <c r="J84" s="29"/>
      <c r="K84" s="29"/>
      <c r="L84" s="30" t="str">
        <f ca="1">IFERROR(__xludf.DUMMYFUNCTION("""COMPUTED_VALUE"""),"No")</f>
        <v>No</v>
      </c>
      <c r="M84" s="30" t="str">
        <f ca="1">IFERROR(__xludf.DUMMYFUNCTION("""COMPUTED_VALUE"""),"6028010003")</f>
        <v>6028010003</v>
      </c>
      <c r="N84" s="30" t="str">
        <f ca="1">IFERROR(__xludf.DUMMYFUNCTION("""COMPUTED_VALUE"""),"CLAYPOLE")</f>
        <v>CLAYPOLE</v>
      </c>
      <c r="O84" s="30" t="str">
        <f ca="1">IFERROR(__xludf.DUMMYFUNCTION("""COMPUTED_VALUE"""),"628")</f>
        <v>628</v>
      </c>
      <c r="P84" s="30" t="str">
        <f ca="1">IFERROR(__xludf.DUMMYFUNCTION("""COMPUTED_VALUE"""),"ALMIRANTE BROWN")</f>
        <v>ALMIRANTE BROWN</v>
      </c>
      <c r="Q84" s="30" t="str">
        <f ca="1">IFERROR(__xludf.DUMMYFUNCTION("""COMPUTED_VALUE"""),"-34.81820393")</f>
        <v>-34.81820393</v>
      </c>
      <c r="R84" s="30" t="str">
        <f ca="1">IFERROR(__xludf.DUMMYFUNCTION("""COMPUTED_VALUE"""),"-58.34722137")</f>
        <v>-58.34722137</v>
      </c>
      <c r="S84" s="30" t="str">
        <f ca="1">IFERROR(__xludf.DUMMYFUNCTION("""COMPUTED_VALUE"""),"Municipal")</f>
        <v>Municipal</v>
      </c>
      <c r="T84" s="30" t="str">
        <f ca="1">IFERROR(__xludf.DUMMYFUNCTION("""COMPUTED_VALUE"""),"ALMIRANTE BROWN")</f>
        <v>ALMIRANTE BROWN</v>
      </c>
    </row>
    <row r="85" spans="1:20" ht="15.75" customHeight="1" x14ac:dyDescent="0.25">
      <c r="A85" s="30" t="str">
        <f ca="1">IFERROR(__xludf.DUMMYFUNCTION("""COMPUTED_VALUE"""),"50060282202520")</f>
        <v>50060282202520</v>
      </c>
      <c r="B85" s="30" t="str">
        <f ca="1">IFERROR(__xludf.DUMMYFUNCTION("""COMPUTED_VALUE"""),"UNIDAD SANITARIA N° 16 DE RAFAEL CALZADA")</f>
        <v>UNIDAD SANITARIA N° 16 DE RAFAEL CALZADA</v>
      </c>
      <c r="C85" s="30" t="str">
        <f ca="1">IFERROR(__xludf.DUMMYFUNCTION("""COMPUTED_VALUE"""),"Buenos Aires")</f>
        <v>Buenos Aires</v>
      </c>
      <c r="D85" s="30" t="str">
        <f ca="1">IFERROR(__xludf.DUMMYFUNCTION("""COMPUTED_VALUE"""),"6")</f>
        <v>6</v>
      </c>
      <c r="E85" s="30" t="str">
        <f ca="1">IFERROR(__xludf.DUMMYFUNCTION("""COMPUTED_VALUE"""),"")</f>
        <v/>
      </c>
      <c r="F85" s="29"/>
      <c r="G85" s="29"/>
      <c r="H85" s="30" t="str">
        <f ca="1">IFERROR(__xludf.DUMMYFUNCTION("""COMPUTED_VALUE"""),"activo")</f>
        <v>activo</v>
      </c>
      <c r="I85" s="29"/>
      <c r="J85" s="29"/>
      <c r="K85" s="29"/>
      <c r="L85" s="30" t="str">
        <f ca="1">IFERROR(__xludf.DUMMYFUNCTION("""COMPUTED_VALUE"""),"No")</f>
        <v>No</v>
      </c>
      <c r="M85" s="30" t="str">
        <f ca="1">IFERROR(__xludf.DUMMYFUNCTION("""COMPUTED_VALUE"""),"6028010010")</f>
        <v>6028010010</v>
      </c>
      <c r="N85" s="30" t="str">
        <f ca="1">IFERROR(__xludf.DUMMYFUNCTION("""COMPUTED_VALUE"""),"RAFAEL CALZADA")</f>
        <v>RAFAEL CALZADA</v>
      </c>
      <c r="O85" s="30" t="str">
        <f ca="1">IFERROR(__xludf.DUMMYFUNCTION("""COMPUTED_VALUE"""),"628")</f>
        <v>628</v>
      </c>
      <c r="P85" s="30" t="str">
        <f ca="1">IFERROR(__xludf.DUMMYFUNCTION("""COMPUTED_VALUE"""),"ALMIRANTE BROWN")</f>
        <v>ALMIRANTE BROWN</v>
      </c>
      <c r="Q85" s="30" t="str">
        <f ca="1">IFERROR(__xludf.DUMMYFUNCTION("""COMPUTED_VALUE"""),"-34.78132108")</f>
        <v>-34.78132108</v>
      </c>
      <c r="R85" s="30" t="str">
        <f ca="1">IFERROR(__xludf.DUMMYFUNCTION("""COMPUTED_VALUE"""),"-58.33804339")</f>
        <v>-58.33804339</v>
      </c>
      <c r="S85" s="30" t="str">
        <f ca="1">IFERROR(__xludf.DUMMYFUNCTION("""COMPUTED_VALUE"""),"Municipal")</f>
        <v>Municipal</v>
      </c>
      <c r="T85" s="30" t="str">
        <f ca="1">IFERROR(__xludf.DUMMYFUNCTION("""COMPUTED_VALUE"""),"ALMIRANTE BROWN")</f>
        <v>ALMIRANTE BROWN</v>
      </c>
    </row>
    <row r="86" spans="1:20" ht="15.75" customHeight="1" x14ac:dyDescent="0.25">
      <c r="A86" s="30" t="str">
        <f ca="1">IFERROR(__xludf.DUMMYFUNCTION("""COMPUTED_VALUE"""),"50060282202530")</f>
        <v>50060282202530</v>
      </c>
      <c r="B86" s="30" t="str">
        <f ca="1">IFERROR(__xludf.DUMMYFUNCTION("""COMPUTED_VALUE"""),"UNIDAD SANITARIA N° 17 SAN AGUSTIN DE RAFAEL CALZADA")</f>
        <v>UNIDAD SANITARIA N° 17 SAN AGUSTIN DE RAFAEL CALZADA</v>
      </c>
      <c r="C86" s="30" t="str">
        <f ca="1">IFERROR(__xludf.DUMMYFUNCTION("""COMPUTED_VALUE"""),"Buenos Aires")</f>
        <v>Buenos Aires</v>
      </c>
      <c r="D86" s="30" t="str">
        <f ca="1">IFERROR(__xludf.DUMMYFUNCTION("""COMPUTED_VALUE"""),"6")</f>
        <v>6</v>
      </c>
      <c r="E86" s="30" t="str">
        <f ca="1">IFERROR(__xludf.DUMMYFUNCTION("""COMPUTED_VALUE"""),"")</f>
        <v/>
      </c>
      <c r="F86" s="29"/>
      <c r="G86" s="29"/>
      <c r="H86" s="30" t="str">
        <f ca="1">IFERROR(__xludf.DUMMYFUNCTION("""COMPUTED_VALUE"""),"activo")</f>
        <v>activo</v>
      </c>
      <c r="I86" s="29"/>
      <c r="J86" s="29"/>
      <c r="K86" s="29"/>
      <c r="L86" s="30" t="str">
        <f ca="1">IFERROR(__xludf.DUMMYFUNCTION("""COMPUTED_VALUE"""),"No")</f>
        <v>No</v>
      </c>
      <c r="M86" s="30" t="str">
        <f ca="1">IFERROR(__xludf.DUMMYFUNCTION("""COMPUTED_VALUE"""),"6028010010")</f>
        <v>6028010010</v>
      </c>
      <c r="N86" s="30" t="str">
        <f ca="1">IFERROR(__xludf.DUMMYFUNCTION("""COMPUTED_VALUE"""),"RAFAEL CALZADA")</f>
        <v>RAFAEL CALZADA</v>
      </c>
      <c r="O86" s="30" t="str">
        <f ca="1">IFERROR(__xludf.DUMMYFUNCTION("""COMPUTED_VALUE"""),"628")</f>
        <v>628</v>
      </c>
      <c r="P86" s="30" t="str">
        <f ca="1">IFERROR(__xludf.DUMMYFUNCTION("""COMPUTED_VALUE"""),"ALMIRANTE BROWN")</f>
        <v>ALMIRANTE BROWN</v>
      </c>
      <c r="Q86" s="30" t="str">
        <f ca="1">IFERROR(__xludf.DUMMYFUNCTION("""COMPUTED_VALUE"""),"-34.78012925")</f>
        <v>-34.78012925</v>
      </c>
      <c r="R86" s="30" t="str">
        <f ca="1">IFERROR(__xludf.DUMMYFUNCTION("""COMPUTED_VALUE"""),"-58.32371503")</f>
        <v>-58.32371503</v>
      </c>
      <c r="S86" s="30" t="str">
        <f ca="1">IFERROR(__xludf.DUMMYFUNCTION("""COMPUTED_VALUE"""),"Municipal")</f>
        <v>Municipal</v>
      </c>
      <c r="T86" s="30" t="str">
        <f ca="1">IFERROR(__xludf.DUMMYFUNCTION("""COMPUTED_VALUE"""),"ALMIRANTE BROWN")</f>
        <v>ALMIRANTE BROWN</v>
      </c>
    </row>
    <row r="87" spans="1:20" ht="15.75" customHeight="1" x14ac:dyDescent="0.25">
      <c r="A87" s="30" t="str">
        <f ca="1">IFERROR(__xludf.DUMMYFUNCTION("""COMPUTED_VALUE"""),"50064342303944")</f>
        <v>50064342303944</v>
      </c>
      <c r="B87" s="30" t="str">
        <f ca="1">IFERROR(__xludf.DUMMYFUNCTION("""COMPUTED_VALUE"""),"INSTITUCION ASISTENCIAL Y HOSPITAL DE NIÑOS DR. LUIS MASPERO")</f>
        <v>INSTITUCION ASISTENCIAL Y HOSPITAL DE NIÑOS DR. LUIS MASPERO</v>
      </c>
      <c r="C87" s="30" t="str">
        <f ca="1">IFERROR(__xludf.DUMMYFUNCTION("""COMPUTED_VALUE"""),"Buenos Aires")</f>
        <v>Buenos Aires</v>
      </c>
      <c r="D87" s="30" t="str">
        <f ca="1">IFERROR(__xludf.DUMMYFUNCTION("""COMPUTED_VALUE"""),"6")</f>
        <v>6</v>
      </c>
      <c r="E87" s="30" t="str">
        <f ca="1">IFERROR(__xludf.DUMMYFUNCTION("""COMPUTED_VALUE"""),"")</f>
        <v/>
      </c>
      <c r="F87" s="29"/>
      <c r="G87" s="29"/>
      <c r="H87" s="30" t="str">
        <f ca="1">IFERROR(__xludf.DUMMYFUNCTION("""COMPUTED_VALUE"""),"activo")</f>
        <v>activo</v>
      </c>
      <c r="I87" s="29"/>
      <c r="J87" s="29"/>
      <c r="K87" s="29"/>
      <c r="L87" s="30" t="str">
        <f ca="1">IFERROR(__xludf.DUMMYFUNCTION("""COMPUTED_VALUE"""),"No")</f>
        <v>No</v>
      </c>
      <c r="M87" s="30" t="str">
        <f ca="1">IFERROR(__xludf.DUMMYFUNCTION("""COMPUTED_VALUE"""),"6434030")</f>
        <v>6434030</v>
      </c>
      <c r="N87" s="30" t="str">
        <f ca="1">IFERROR(__xludf.DUMMYFUNCTION("""COMPUTED_VALUE"""),"REMEDIOS DE ESCALADA")</f>
        <v>REMEDIOS DE ESCALADA</v>
      </c>
      <c r="O87" s="30" t="str">
        <f ca="1">IFERROR(__xludf.DUMMYFUNCTION("""COMPUTED_VALUE"""),"6434")</f>
        <v>6434</v>
      </c>
      <c r="P87" s="30" t="str">
        <f ca="1">IFERROR(__xludf.DUMMYFUNCTION("""COMPUTED_VALUE"""),"LANÚS")</f>
        <v>LANÚS</v>
      </c>
      <c r="Q87" s="30" t="str">
        <f ca="1">IFERROR(__xludf.DUMMYFUNCTION("""COMPUTED_VALUE"""),"-34.723336")</f>
        <v>-34.723336</v>
      </c>
      <c r="R87" s="30" t="str">
        <f ca="1">IFERROR(__xludf.DUMMYFUNCTION("""COMPUTED_VALUE"""),"-58.3956574")</f>
        <v>-58.3956574</v>
      </c>
      <c r="S87" s="30" t="str">
        <f ca="1">IFERROR(__xludf.DUMMYFUNCTION("""COMPUTED_VALUE"""),"Municipal")</f>
        <v>Municipal</v>
      </c>
      <c r="T87" s="30" t="str">
        <f ca="1">IFERROR(__xludf.DUMMYFUNCTION("""COMPUTED_VALUE"""),"LANÚS")</f>
        <v>LANÚS</v>
      </c>
    </row>
    <row r="88" spans="1:20" ht="15.75" customHeight="1" x14ac:dyDescent="0.25">
      <c r="A88" s="30" t="str">
        <f ca="1">IFERROR(__xludf.DUMMYFUNCTION("""COMPUTED_VALUE"""),"50064342202240")</f>
        <v>50064342202240</v>
      </c>
      <c r="B88" s="30" t="str">
        <f ca="1">IFERROR(__xludf.DUMMYFUNCTION("""COMPUTED_VALUE"""),"UNIDAD SANITARIA DR. NICOLAS NATIELLO")</f>
        <v>UNIDAD SANITARIA DR. NICOLAS NATIELLO</v>
      </c>
      <c r="C88" s="30" t="str">
        <f ca="1">IFERROR(__xludf.DUMMYFUNCTION("""COMPUTED_VALUE"""),"Buenos Aires")</f>
        <v>Buenos Aires</v>
      </c>
      <c r="D88" s="30" t="str">
        <f ca="1">IFERROR(__xludf.DUMMYFUNCTION("""COMPUTED_VALUE"""),"6")</f>
        <v>6</v>
      </c>
      <c r="E88" s="30" t="str">
        <f ca="1">IFERROR(__xludf.DUMMYFUNCTION("""COMPUTED_VALUE"""),"")</f>
        <v/>
      </c>
      <c r="F88" s="29"/>
      <c r="G88" s="29"/>
      <c r="H88" s="30" t="str">
        <f ca="1">IFERROR(__xludf.DUMMYFUNCTION("""COMPUTED_VALUE"""),"activo")</f>
        <v>activo</v>
      </c>
      <c r="I88" s="29"/>
      <c r="J88" s="29"/>
      <c r="K88" s="29"/>
      <c r="L88" s="30" t="str">
        <f ca="1">IFERROR(__xludf.DUMMYFUNCTION("""COMPUTED_VALUE"""),"No")</f>
        <v>No</v>
      </c>
      <c r="M88" s="30" t="str">
        <f ca="1">IFERROR(__xludf.DUMMYFUNCTION("""COMPUTED_VALUE"""),"6434010004")</f>
        <v>6434010004</v>
      </c>
      <c r="N88" s="30" t="str">
        <f ca="1">IFERROR(__xludf.DUMMYFUNCTION("""COMPUTED_VALUE"""),"MONTE CHINGOLO")</f>
        <v>MONTE CHINGOLO</v>
      </c>
      <c r="O88" s="30" t="str">
        <f ca="1">IFERROR(__xludf.DUMMYFUNCTION("""COMPUTED_VALUE"""),"6434")</f>
        <v>6434</v>
      </c>
      <c r="P88" s="30" t="str">
        <f ca="1">IFERROR(__xludf.DUMMYFUNCTION("""COMPUTED_VALUE"""),"LANÚS")</f>
        <v>LANÚS</v>
      </c>
      <c r="Q88" s="30" t="str">
        <f ca="1">IFERROR(__xludf.DUMMYFUNCTION("""COMPUTED_VALUE"""),"-34.73261727")</f>
        <v>-34.73261727</v>
      </c>
      <c r="R88" s="30" t="str">
        <f ca="1">IFERROR(__xludf.DUMMYFUNCTION("""COMPUTED_VALUE"""),"-58.34224641")</f>
        <v>-58.34224641</v>
      </c>
      <c r="S88" s="30" t="str">
        <f ca="1">IFERROR(__xludf.DUMMYFUNCTION("""COMPUTED_VALUE"""),"Municipal")</f>
        <v>Municipal</v>
      </c>
      <c r="T88" s="30" t="str">
        <f ca="1">IFERROR(__xludf.DUMMYFUNCTION("""COMPUTED_VALUE"""),"LANÚS")</f>
        <v>LANÚS</v>
      </c>
    </row>
    <row r="89" spans="1:20" ht="15.75" customHeight="1" x14ac:dyDescent="0.25">
      <c r="A89" s="30" t="str">
        <f ca="1">IFERROR(__xludf.DUMMYFUNCTION("""COMPUTED_VALUE"""),"50064342202891")</f>
        <v>50064342202891</v>
      </c>
      <c r="B89" s="30" t="str">
        <f ca="1">IFERROR(__xludf.DUMMYFUNCTION("""COMPUTED_VALUE"""),"UNIDAD SANITARIA VILLA JARDIN")</f>
        <v>UNIDAD SANITARIA VILLA JARDIN</v>
      </c>
      <c r="C89" s="30" t="str">
        <f ca="1">IFERROR(__xludf.DUMMYFUNCTION("""COMPUTED_VALUE"""),"Buenos Aires")</f>
        <v>Buenos Aires</v>
      </c>
      <c r="D89" s="30" t="str">
        <f ca="1">IFERROR(__xludf.DUMMYFUNCTION("""COMPUTED_VALUE"""),"6")</f>
        <v>6</v>
      </c>
      <c r="E89" s="30" t="str">
        <f ca="1">IFERROR(__xludf.DUMMYFUNCTION("""COMPUTED_VALUE"""),"")</f>
        <v/>
      </c>
      <c r="F89" s="29"/>
      <c r="G89" s="29"/>
      <c r="H89" s="30" t="str">
        <f ca="1">IFERROR(__xludf.DUMMYFUNCTION("""COMPUTED_VALUE"""),"activo")</f>
        <v>activo</v>
      </c>
      <c r="I89" s="29"/>
      <c r="J89" s="29"/>
      <c r="K89" s="29"/>
      <c r="L89" s="30" t="str">
        <f ca="1">IFERROR(__xludf.DUMMYFUNCTION("""COMPUTED_VALUE"""),"No")</f>
        <v>No</v>
      </c>
      <c r="M89" s="30" t="str">
        <f ca="1">IFERROR(__xludf.DUMMYFUNCTION("""COMPUTED_VALUE"""),"6434010003")</f>
        <v>6434010003</v>
      </c>
      <c r="N89" s="30" t="str">
        <f ca="1">IFERROR(__xludf.DUMMYFUNCTION("""COMPUTED_VALUE"""),"LANUS OESTE")</f>
        <v>LANUS OESTE</v>
      </c>
      <c r="O89" s="30" t="str">
        <f ca="1">IFERROR(__xludf.DUMMYFUNCTION("""COMPUTED_VALUE"""),"6434")</f>
        <v>6434</v>
      </c>
      <c r="P89" s="30" t="str">
        <f ca="1">IFERROR(__xludf.DUMMYFUNCTION("""COMPUTED_VALUE"""),"LANÚS")</f>
        <v>LANÚS</v>
      </c>
      <c r="Q89" s="30" t="str">
        <f ca="1">IFERROR(__xludf.DUMMYFUNCTION("""COMPUTED_VALUE"""),"-34.67807391")</f>
        <v>-34.67807391</v>
      </c>
      <c r="R89" s="30" t="str">
        <f ca="1">IFERROR(__xludf.DUMMYFUNCTION("""COMPUTED_VALUE"""),"-58.43098462")</f>
        <v>-58.43098462</v>
      </c>
      <c r="S89" s="30" t="str">
        <f ca="1">IFERROR(__xludf.DUMMYFUNCTION("""COMPUTED_VALUE"""),"Municipal")</f>
        <v>Municipal</v>
      </c>
      <c r="T89" s="30" t="str">
        <f ca="1">IFERROR(__xludf.DUMMYFUNCTION("""COMPUTED_VALUE"""),"LANÚS")</f>
        <v>LANÚS</v>
      </c>
    </row>
    <row r="90" spans="1:20" ht="15.75" customHeight="1" x14ac:dyDescent="0.25">
      <c r="A90" s="30" t="str">
        <f ca="1">IFERROR(__xludf.DUMMYFUNCTION("""COMPUTED_VALUE"""),"50064342202858")</f>
        <v>50064342202858</v>
      </c>
      <c r="B90" s="30" t="str">
        <f ca="1">IFERROR(__xludf.DUMMYFUNCTION("""COMPUTED_VALUE"""),"UNIDAD SANITARIA VALENTIN ALSINA")</f>
        <v>UNIDAD SANITARIA VALENTIN ALSINA</v>
      </c>
      <c r="C90" s="30" t="str">
        <f ca="1">IFERROR(__xludf.DUMMYFUNCTION("""COMPUTED_VALUE"""),"Buenos Aires")</f>
        <v>Buenos Aires</v>
      </c>
      <c r="D90" s="30" t="str">
        <f ca="1">IFERROR(__xludf.DUMMYFUNCTION("""COMPUTED_VALUE"""),"6")</f>
        <v>6</v>
      </c>
      <c r="E90" s="30" t="str">
        <f ca="1">IFERROR(__xludf.DUMMYFUNCTION("""COMPUTED_VALUE"""),"")</f>
        <v/>
      </c>
      <c r="F90" s="29"/>
      <c r="G90" s="29"/>
      <c r="H90" s="30" t="str">
        <f ca="1">IFERROR(__xludf.DUMMYFUNCTION("""COMPUTED_VALUE"""),"activo")</f>
        <v>activo</v>
      </c>
      <c r="I90" s="29"/>
      <c r="J90" s="29"/>
      <c r="K90" s="29"/>
      <c r="L90" s="30" t="str">
        <f ca="1">IFERROR(__xludf.DUMMYFUNCTION("""COMPUTED_VALUE"""),"No")</f>
        <v>No</v>
      </c>
      <c r="M90" s="30" t="str">
        <f ca="1">IFERROR(__xludf.DUMMYFUNCTION("""COMPUTED_VALUE"""),"6434010003")</f>
        <v>6434010003</v>
      </c>
      <c r="N90" s="30" t="str">
        <f ca="1">IFERROR(__xludf.DUMMYFUNCTION("""COMPUTED_VALUE"""),"LANUS OESTE")</f>
        <v>LANUS OESTE</v>
      </c>
      <c r="O90" s="30" t="str">
        <f ca="1">IFERROR(__xludf.DUMMYFUNCTION("""COMPUTED_VALUE"""),"6434")</f>
        <v>6434</v>
      </c>
      <c r="P90" s="30" t="str">
        <f ca="1">IFERROR(__xludf.DUMMYFUNCTION("""COMPUTED_VALUE"""),"LANÚS")</f>
        <v>LANÚS</v>
      </c>
      <c r="Q90" s="30" t="str">
        <f ca="1">IFERROR(__xludf.DUMMYFUNCTION("""COMPUTED_VALUE"""),"-34.67207323")</f>
        <v>-34.67207323</v>
      </c>
      <c r="R90" s="30" t="str">
        <f ca="1">IFERROR(__xludf.DUMMYFUNCTION("""COMPUTED_VALUE"""),"-58.40936869")</f>
        <v>-58.40936869</v>
      </c>
      <c r="S90" s="30" t="str">
        <f ca="1">IFERROR(__xludf.DUMMYFUNCTION("""COMPUTED_VALUE"""),"Municipal")</f>
        <v>Municipal</v>
      </c>
      <c r="T90" s="30" t="str">
        <f ca="1">IFERROR(__xludf.DUMMYFUNCTION("""COMPUTED_VALUE"""),"LANÚS")</f>
        <v>LANÚS</v>
      </c>
    </row>
    <row r="91" spans="1:20" ht="15.75" customHeight="1" x14ac:dyDescent="0.25">
      <c r="A91" s="30" t="str">
        <f ca="1">IFERROR(__xludf.DUMMYFUNCTION("""COMPUTED_VALUE"""),"50062742206748")</f>
        <v>50062742206748</v>
      </c>
      <c r="B91" s="30" t="str">
        <f ca="1">IFERROR(__xludf.DUMMYFUNCTION("""COMPUTED_VALUE"""),"CAPS VILLA VATTEONE")</f>
        <v>CAPS VILLA VATTEONE</v>
      </c>
      <c r="C91" s="30" t="str">
        <f ca="1">IFERROR(__xludf.DUMMYFUNCTION("""COMPUTED_VALUE"""),"Buenos Aires")</f>
        <v>Buenos Aires</v>
      </c>
      <c r="D91" s="30" t="str">
        <f ca="1">IFERROR(__xludf.DUMMYFUNCTION("""COMPUTED_VALUE"""),"6")</f>
        <v>6</v>
      </c>
      <c r="E91" s="30" t="str">
        <f ca="1">IFERROR(__xludf.DUMMYFUNCTION("""COMPUTED_VALUE"""),"")</f>
        <v/>
      </c>
      <c r="F91" s="29"/>
      <c r="G91" s="29"/>
      <c r="H91" s="30" t="str">
        <f ca="1">IFERROR(__xludf.DUMMYFUNCTION("""COMPUTED_VALUE"""),"activo")</f>
        <v>activo</v>
      </c>
      <c r="I91" s="29"/>
      <c r="J91" s="29"/>
      <c r="K91" s="29"/>
      <c r="L91" s="30" t="str">
        <f ca="1">IFERROR(__xludf.DUMMYFUNCTION("""COMPUTED_VALUE"""),"No")</f>
        <v>No</v>
      </c>
      <c r="M91" s="30" t="str">
        <f ca="1">IFERROR(__xludf.DUMMYFUNCTION("""COMPUTED_VALUE"""),"6274010009")</f>
        <v>6274010009</v>
      </c>
      <c r="N91" s="30" t="str">
        <f ca="1">IFERROR(__xludf.DUMMYFUNCTION("""COMPUTED_VALUE"""),"VILLA VATTEONE")</f>
        <v>VILLA VATTEONE</v>
      </c>
      <c r="O91" s="30" t="str">
        <f ca="1">IFERROR(__xludf.DUMMYFUNCTION("""COMPUTED_VALUE"""),"6274")</f>
        <v>6274</v>
      </c>
      <c r="P91" s="30" t="str">
        <f ca="1">IFERROR(__xludf.DUMMYFUNCTION("""COMPUTED_VALUE"""),"FLORENCIO VARELA")</f>
        <v>FLORENCIO VARELA</v>
      </c>
      <c r="Q91" s="30" t="str">
        <f ca="1">IFERROR(__xludf.DUMMYFUNCTION("""COMPUTED_VALUE"""),"-34.816728")</f>
        <v>-34.816728</v>
      </c>
      <c r="R91" s="30" t="str">
        <f ca="1">IFERROR(__xludf.DUMMYFUNCTION("""COMPUTED_VALUE"""),"-58.272883")</f>
        <v>-58.272883</v>
      </c>
      <c r="S91" s="30" t="str">
        <f ca="1">IFERROR(__xludf.DUMMYFUNCTION("""COMPUTED_VALUE"""),"Municipal")</f>
        <v>Municipal</v>
      </c>
      <c r="T91" s="30" t="str">
        <f ca="1">IFERROR(__xludf.DUMMYFUNCTION("""COMPUTED_VALUE"""),"FLORENCIO VARELA")</f>
        <v>FLORENCIO VARELA</v>
      </c>
    </row>
    <row r="92" spans="1:20" ht="15.75" customHeight="1" x14ac:dyDescent="0.25">
      <c r="A92" s="30" t="str">
        <f ca="1">IFERROR(__xludf.DUMMYFUNCTION("""COMPUTED_VALUE"""),"50062742202787")</f>
        <v>50062742202787</v>
      </c>
      <c r="B92" s="30" t="str">
        <f ca="1">IFERROR(__xludf.DUMMYFUNCTION("""COMPUTED_VALUE"""),"UNIDAD SANITARIA SAN FRANCISCO DE FLORENCIO VARELA")</f>
        <v>UNIDAD SANITARIA SAN FRANCISCO DE FLORENCIO VARELA</v>
      </c>
      <c r="C92" s="30" t="str">
        <f ca="1">IFERROR(__xludf.DUMMYFUNCTION("""COMPUTED_VALUE"""),"Buenos Aires")</f>
        <v>Buenos Aires</v>
      </c>
      <c r="D92" s="30" t="str">
        <f ca="1">IFERROR(__xludf.DUMMYFUNCTION("""COMPUTED_VALUE"""),"6")</f>
        <v>6</v>
      </c>
      <c r="E92" s="30" t="str">
        <f ca="1">IFERROR(__xludf.DUMMYFUNCTION("""COMPUTED_VALUE"""),"")</f>
        <v/>
      </c>
      <c r="F92" s="29"/>
      <c r="G92" s="29"/>
      <c r="H92" s="30" t="str">
        <f ca="1">IFERROR(__xludf.DUMMYFUNCTION("""COMPUTED_VALUE"""),"activo")</f>
        <v>activo</v>
      </c>
      <c r="I92" s="29"/>
      <c r="J92" s="29"/>
      <c r="K92" s="29"/>
      <c r="L92" s="30" t="str">
        <f ca="1">IFERROR(__xludf.DUMMYFUNCTION("""COMPUTED_VALUE"""),"No")</f>
        <v>No</v>
      </c>
      <c r="M92" s="30" t="str">
        <f ca="1">IFERROR(__xludf.DUMMYFUNCTION("""COMPUTED_VALUE"""),"6274010003")</f>
        <v>6274010003</v>
      </c>
      <c r="N92" s="30" t="str">
        <f ca="1">IFERROR(__xludf.DUMMYFUNCTION("""COMPUTED_VALUE"""),"FLORENCIO VARELA")</f>
        <v>FLORENCIO VARELA</v>
      </c>
      <c r="O92" s="30" t="str">
        <f ca="1">IFERROR(__xludf.DUMMYFUNCTION("""COMPUTED_VALUE"""),"6274")</f>
        <v>6274</v>
      </c>
      <c r="P92" s="30" t="str">
        <f ca="1">IFERROR(__xludf.DUMMYFUNCTION("""COMPUTED_VALUE"""),"FLORENCIO VARELA")</f>
        <v>FLORENCIO VARELA</v>
      </c>
      <c r="Q92" s="30" t="str">
        <f ca="1">IFERROR(__xludf.DUMMYFUNCTION("""COMPUTED_VALUE"""),"-34.86806253")</f>
        <v>-34.86806253</v>
      </c>
      <c r="R92" s="30" t="str">
        <f ca="1">IFERROR(__xludf.DUMMYFUNCTION("""COMPUTED_VALUE"""),"-58.27301645")</f>
        <v>-58.27301645</v>
      </c>
      <c r="S92" s="30" t="str">
        <f ca="1">IFERROR(__xludf.DUMMYFUNCTION("""COMPUTED_VALUE"""),"Municipal")</f>
        <v>Municipal</v>
      </c>
      <c r="T92" s="30" t="str">
        <f ca="1">IFERROR(__xludf.DUMMYFUNCTION("""COMPUTED_VALUE"""),"FLORENCIO VARELA")</f>
        <v>FLORENCIO VARELA</v>
      </c>
    </row>
    <row r="93" spans="1:20" ht="15.75" customHeight="1" x14ac:dyDescent="0.25">
      <c r="A93" s="30" t="str">
        <f ca="1">IFERROR(__xludf.DUMMYFUNCTION("""COMPUTED_VALUE"""),"50062742202753")</f>
        <v>50062742202753</v>
      </c>
      <c r="B93" s="30" t="str">
        <f ca="1">IFERROR(__xludf.DUMMYFUNCTION("""COMPUTED_VALUE"""),"UNIDAD SANITARIA RICARDO ROJAS")</f>
        <v>UNIDAD SANITARIA RICARDO ROJAS</v>
      </c>
      <c r="C93" s="30" t="str">
        <f ca="1">IFERROR(__xludf.DUMMYFUNCTION("""COMPUTED_VALUE"""),"Buenos Aires")</f>
        <v>Buenos Aires</v>
      </c>
      <c r="D93" s="30" t="str">
        <f ca="1">IFERROR(__xludf.DUMMYFUNCTION("""COMPUTED_VALUE"""),"6")</f>
        <v>6</v>
      </c>
      <c r="E93" s="30" t="str">
        <f ca="1">IFERROR(__xludf.DUMMYFUNCTION("""COMPUTED_VALUE"""),"")</f>
        <v/>
      </c>
      <c r="F93" s="29"/>
      <c r="G93" s="29"/>
      <c r="H93" s="30" t="str">
        <f ca="1">IFERROR(__xludf.DUMMYFUNCTION("""COMPUTED_VALUE"""),"activo")</f>
        <v>activo</v>
      </c>
      <c r="I93" s="29"/>
      <c r="J93" s="29"/>
      <c r="K93" s="29"/>
      <c r="L93" s="30" t="str">
        <f ca="1">IFERROR(__xludf.DUMMYFUNCTION("""COMPUTED_VALUE"""),"No")</f>
        <v>No</v>
      </c>
      <c r="M93" s="30" t="str">
        <f ca="1">IFERROR(__xludf.DUMMYFUNCTION("""COMPUTED_VALUE"""),"6274010001")</f>
        <v>6274010001</v>
      </c>
      <c r="N93" s="30" t="str">
        <f ca="1">IFERROR(__xludf.DUMMYFUNCTION("""COMPUTED_VALUE"""),"BOSQUES")</f>
        <v>BOSQUES</v>
      </c>
      <c r="O93" s="30" t="str">
        <f ca="1">IFERROR(__xludf.DUMMYFUNCTION("""COMPUTED_VALUE"""),"6274")</f>
        <v>6274</v>
      </c>
      <c r="P93" s="30" t="str">
        <f ca="1">IFERROR(__xludf.DUMMYFUNCTION("""COMPUTED_VALUE"""),"FLORENCIO VARELA")</f>
        <v>FLORENCIO VARELA</v>
      </c>
      <c r="Q93" s="30" t="str">
        <f ca="1">IFERROR(__xludf.DUMMYFUNCTION("""COMPUTED_VALUE"""),"-34.8219587")</f>
        <v>-34.8219587</v>
      </c>
      <c r="R93" s="30" t="str">
        <f ca="1">IFERROR(__xludf.DUMMYFUNCTION("""COMPUTED_VALUE"""),"-58.23359871")</f>
        <v>-58.23359871</v>
      </c>
      <c r="S93" s="30" t="str">
        <f ca="1">IFERROR(__xludf.DUMMYFUNCTION("""COMPUTED_VALUE"""),"Municipal")</f>
        <v>Municipal</v>
      </c>
      <c r="T93" s="30" t="str">
        <f ca="1">IFERROR(__xludf.DUMMYFUNCTION("""COMPUTED_VALUE"""),"FLORENCIO VARELA")</f>
        <v>FLORENCIO VARELA</v>
      </c>
    </row>
    <row r="94" spans="1:20" ht="15.75" customHeight="1" x14ac:dyDescent="0.25">
      <c r="A94" s="30" t="str">
        <f ca="1">IFERROR(__xludf.DUMMYFUNCTION("""COMPUTED_VALUE"""),"50062742215030")</f>
        <v>50062742215030</v>
      </c>
      <c r="B94" s="30" t="str">
        <f ca="1">IFERROR(__xludf.DUMMYFUNCTION("""COMPUTED_VALUE"""),"UNIDAD SANITARIA SANTA ROSA")</f>
        <v>UNIDAD SANITARIA SANTA ROSA</v>
      </c>
      <c r="C94" s="30" t="str">
        <f ca="1">IFERROR(__xludf.DUMMYFUNCTION("""COMPUTED_VALUE"""),"Buenos Aires")</f>
        <v>Buenos Aires</v>
      </c>
      <c r="D94" s="30" t="str">
        <f ca="1">IFERROR(__xludf.DUMMYFUNCTION("""COMPUTED_VALUE"""),"6")</f>
        <v>6</v>
      </c>
      <c r="E94" s="30" t="str">
        <f ca="1">IFERROR(__xludf.DUMMYFUNCTION("""COMPUTED_VALUE"""),"")</f>
        <v/>
      </c>
      <c r="F94" s="29"/>
      <c r="G94" s="29"/>
      <c r="H94" s="30" t="str">
        <f ca="1">IFERROR(__xludf.DUMMYFUNCTION("""COMPUTED_VALUE"""),"activo")</f>
        <v>activo</v>
      </c>
      <c r="I94" s="29"/>
      <c r="J94" s="29"/>
      <c r="K94" s="29"/>
      <c r="L94" s="30" t="str">
        <f ca="1">IFERROR(__xludf.DUMMYFUNCTION("""COMPUTED_VALUE"""),"No")</f>
        <v>No</v>
      </c>
      <c r="M94" s="30" t="str">
        <f ca="1">IFERROR(__xludf.DUMMYFUNCTION("""COMPUTED_VALUE"""),"6274010003")</f>
        <v>6274010003</v>
      </c>
      <c r="N94" s="30" t="str">
        <f ca="1">IFERROR(__xludf.DUMMYFUNCTION("""COMPUTED_VALUE"""),"FLORENCIO VARELA")</f>
        <v>FLORENCIO VARELA</v>
      </c>
      <c r="O94" s="30" t="str">
        <f ca="1">IFERROR(__xludf.DUMMYFUNCTION("""COMPUTED_VALUE"""),"6274")</f>
        <v>6274</v>
      </c>
      <c r="P94" s="30" t="str">
        <f ca="1">IFERROR(__xludf.DUMMYFUNCTION("""COMPUTED_VALUE"""),"FLORENCIO VARELA")</f>
        <v>FLORENCIO VARELA</v>
      </c>
      <c r="Q94" s="30" t="str">
        <f ca="1">IFERROR(__xludf.DUMMYFUNCTION("""COMPUTED_VALUE"""),"-34.83041667")</f>
        <v>-34.83041667</v>
      </c>
      <c r="R94" s="30" t="str">
        <f ca="1">IFERROR(__xludf.DUMMYFUNCTION("""COMPUTED_VALUE"""),"-58.29159021")</f>
        <v>-58.29159021</v>
      </c>
      <c r="S94" s="30" t="str">
        <f ca="1">IFERROR(__xludf.DUMMYFUNCTION("""COMPUTED_VALUE"""),"Municipal")</f>
        <v>Municipal</v>
      </c>
      <c r="T94" s="30" t="str">
        <f ca="1">IFERROR(__xludf.DUMMYFUNCTION("""COMPUTED_VALUE"""),"FLORENCIO VARELA")</f>
        <v>FLORENCIO VARELA</v>
      </c>
    </row>
    <row r="95" spans="1:20" ht="15.75" customHeight="1" x14ac:dyDescent="0.25">
      <c r="A95" s="30" t="str">
        <f ca="1">IFERROR(__xludf.DUMMYFUNCTION("""COMPUTED_VALUE"""),"50062602201343")</f>
        <v>50062602201343</v>
      </c>
      <c r="B95" s="30" t="str">
        <f ca="1">IFERROR(__xludf.DUMMYFUNCTION("""COMPUTED_VALUE"""),"CENTRO DE SALUD RAMON CARRILLO DE ESTEBAN ECHEVERRIA")</f>
        <v>CENTRO DE SALUD RAMON CARRILLO DE ESTEBAN ECHEVERRIA</v>
      </c>
      <c r="C95" s="30" t="str">
        <f ca="1">IFERROR(__xludf.DUMMYFUNCTION("""COMPUTED_VALUE"""),"Buenos Aires")</f>
        <v>Buenos Aires</v>
      </c>
      <c r="D95" s="30" t="str">
        <f ca="1">IFERROR(__xludf.DUMMYFUNCTION("""COMPUTED_VALUE"""),"6")</f>
        <v>6</v>
      </c>
      <c r="E95" s="30" t="str">
        <f ca="1">IFERROR(__xludf.DUMMYFUNCTION("""COMPUTED_VALUE"""),"")</f>
        <v/>
      </c>
      <c r="F95" s="29"/>
      <c r="G95" s="29"/>
      <c r="H95" s="30" t="str">
        <f ca="1">IFERROR(__xludf.DUMMYFUNCTION("""COMPUTED_VALUE"""),"activo")</f>
        <v>activo</v>
      </c>
      <c r="I95" s="29"/>
      <c r="J95" s="29"/>
      <c r="K95" s="29"/>
      <c r="L95" s="30" t="str">
        <f ca="1">IFERROR(__xludf.DUMMYFUNCTION("""COMPUTED_VALUE"""),"No")</f>
        <v>No</v>
      </c>
      <c r="M95" s="30" t="str">
        <f ca="1">IFERROR(__xludf.DUMMYFUNCTION("""COMPUTED_VALUE"""),"6260010004")</f>
        <v>6260010004</v>
      </c>
      <c r="N95" s="30" t="str">
        <f ca="1">IFERROR(__xludf.DUMMYFUNCTION("""COMPUTED_VALUE"""),"MONTE GRANDE")</f>
        <v>MONTE GRANDE</v>
      </c>
      <c r="O95" s="30" t="str">
        <f ca="1">IFERROR(__xludf.DUMMYFUNCTION("""COMPUTED_VALUE"""),"6260")</f>
        <v>6260</v>
      </c>
      <c r="P95" s="30" t="str">
        <f ca="1">IFERROR(__xludf.DUMMYFUNCTION("""COMPUTED_VALUE"""),"ESTEBAN ECHEVERRÍA")</f>
        <v>ESTEBAN ECHEVERRÍA</v>
      </c>
      <c r="Q95" s="30" t="str">
        <f ca="1">IFERROR(__xludf.DUMMYFUNCTION("""COMPUTED_VALUE"""),"-34.8205268")</f>
        <v>-34.8205268</v>
      </c>
      <c r="R95" s="30" t="str">
        <f ca="1">IFERROR(__xludf.DUMMYFUNCTION("""COMPUTED_VALUE"""),"-58.4735553")</f>
        <v>-58.4735553</v>
      </c>
      <c r="S95" s="30" t="str">
        <f ca="1">IFERROR(__xludf.DUMMYFUNCTION("""COMPUTED_VALUE"""),"Municipal")</f>
        <v>Municipal</v>
      </c>
      <c r="T95" s="30" t="str">
        <f ca="1">IFERROR(__xludf.DUMMYFUNCTION("""COMPUTED_VALUE"""),"ESTEBAN ECHEVERRÍA")</f>
        <v>ESTEBAN ECHEVERRÍA</v>
      </c>
    </row>
    <row r="96" spans="1:20" ht="15.75" customHeight="1" x14ac:dyDescent="0.25">
      <c r="A96" s="30" t="str">
        <f ca="1">IFERROR(__xludf.DUMMYFUNCTION("""COMPUTED_VALUE"""),"50062602202644")</f>
        <v>50062602202644</v>
      </c>
      <c r="B96" s="30" t="str">
        <f ca="1">IFERROR(__xludf.DUMMYFUNCTION("""COMPUTED_VALUE"""),"UNIDAD SANITARIA N° 6 DE ESTEBAN ECHEVERRIA")</f>
        <v>UNIDAD SANITARIA N° 6 DE ESTEBAN ECHEVERRIA</v>
      </c>
      <c r="C96" s="30" t="str">
        <f ca="1">IFERROR(__xludf.DUMMYFUNCTION("""COMPUTED_VALUE"""),"Buenos Aires")</f>
        <v>Buenos Aires</v>
      </c>
      <c r="D96" s="30" t="str">
        <f ca="1">IFERROR(__xludf.DUMMYFUNCTION("""COMPUTED_VALUE"""),"6")</f>
        <v>6</v>
      </c>
      <c r="E96" s="30" t="str">
        <f ca="1">IFERROR(__xludf.DUMMYFUNCTION("""COMPUTED_VALUE"""),"")</f>
        <v/>
      </c>
      <c r="F96" s="29"/>
      <c r="G96" s="29"/>
      <c r="H96" s="30" t="str">
        <f ca="1">IFERROR(__xludf.DUMMYFUNCTION("""COMPUTED_VALUE"""),"activo")</f>
        <v>activo</v>
      </c>
      <c r="I96" s="29"/>
      <c r="J96" s="29"/>
      <c r="K96" s="29"/>
      <c r="L96" s="30" t="str">
        <f ca="1">IFERROR(__xludf.DUMMYFUNCTION("""COMPUTED_VALUE"""),"No")</f>
        <v>No</v>
      </c>
      <c r="M96" s="30" t="str">
        <f ca="1">IFERROR(__xludf.DUMMYFUNCTION("""COMPUTED_VALUE"""),"6260010005")</f>
        <v>6260010005</v>
      </c>
      <c r="N96" s="30" t="str">
        <f ca="1">IFERROR(__xludf.DUMMYFUNCTION("""COMPUTED_VALUE"""),"9 DE ABRIL")</f>
        <v>9 DE ABRIL</v>
      </c>
      <c r="O96" s="30" t="str">
        <f ca="1">IFERROR(__xludf.DUMMYFUNCTION("""COMPUTED_VALUE"""),"6260")</f>
        <v>6260</v>
      </c>
      <c r="P96" s="30" t="str">
        <f ca="1">IFERROR(__xludf.DUMMYFUNCTION("""COMPUTED_VALUE"""),"ESTEBAN ECHEVERRÍA")</f>
        <v>ESTEBAN ECHEVERRÍA</v>
      </c>
      <c r="Q96" s="30" t="str">
        <f ca="1">IFERROR(__xludf.DUMMYFUNCTION("""COMPUTED_VALUE"""),"-34.756858")</f>
        <v>-34.756858</v>
      </c>
      <c r="R96" s="30" t="str">
        <f ca="1">IFERROR(__xludf.DUMMYFUNCTION("""COMPUTED_VALUE"""),"-58.488082")</f>
        <v>-58.488082</v>
      </c>
      <c r="S96" s="30" t="str">
        <f ca="1">IFERROR(__xludf.DUMMYFUNCTION("""COMPUTED_VALUE"""),"Municipal")</f>
        <v>Municipal</v>
      </c>
      <c r="T96" s="30" t="str">
        <f ca="1">IFERROR(__xludf.DUMMYFUNCTION("""COMPUTED_VALUE"""),"ESTEBAN ECHEVERRÍA")</f>
        <v>ESTEBAN ECHEVERRÍA</v>
      </c>
    </row>
    <row r="97" spans="1:20" ht="15.75" customHeight="1" x14ac:dyDescent="0.25">
      <c r="A97" s="30" t="str">
        <f ca="1">IFERROR(__xludf.DUMMYFUNCTION("""COMPUTED_VALUE"""),"50062602202624")</f>
        <v>50062602202624</v>
      </c>
      <c r="B97" s="30" t="str">
        <f ca="1">IFERROR(__xludf.DUMMYFUNCTION("""COMPUTED_VALUE"""),"UNIDAD SANITARIA N° 4 SAN PEDRITO DE ESTEBAN ECHEVERRIA")</f>
        <v>UNIDAD SANITARIA N° 4 SAN PEDRITO DE ESTEBAN ECHEVERRIA</v>
      </c>
      <c r="C97" s="30" t="str">
        <f ca="1">IFERROR(__xludf.DUMMYFUNCTION("""COMPUTED_VALUE"""),"Buenos Aires")</f>
        <v>Buenos Aires</v>
      </c>
      <c r="D97" s="30" t="str">
        <f ca="1">IFERROR(__xludf.DUMMYFUNCTION("""COMPUTED_VALUE"""),"6")</f>
        <v>6</v>
      </c>
      <c r="E97" s="30" t="str">
        <f ca="1">IFERROR(__xludf.DUMMYFUNCTION("""COMPUTED_VALUE"""),"")</f>
        <v/>
      </c>
      <c r="F97" s="29"/>
      <c r="G97" s="29"/>
      <c r="H97" s="30" t="str">
        <f ca="1">IFERROR(__xludf.DUMMYFUNCTION("""COMPUTED_VALUE"""),"activo")</f>
        <v>activo</v>
      </c>
      <c r="I97" s="29"/>
      <c r="J97" s="29"/>
      <c r="K97" s="29"/>
      <c r="L97" s="30" t="str">
        <f ca="1">IFERROR(__xludf.DUMMYFUNCTION("""COMPUTED_VALUE"""),"No")</f>
        <v>No</v>
      </c>
      <c r="M97" s="30" t="str">
        <f ca="1">IFERROR(__xludf.DUMMYFUNCTION("""COMPUTED_VALUE"""),"6260010004")</f>
        <v>6260010004</v>
      </c>
      <c r="N97" s="30" t="str">
        <f ca="1">IFERROR(__xludf.DUMMYFUNCTION("""COMPUTED_VALUE"""),"MONTE GRANDE")</f>
        <v>MONTE GRANDE</v>
      </c>
      <c r="O97" s="30" t="str">
        <f ca="1">IFERROR(__xludf.DUMMYFUNCTION("""COMPUTED_VALUE"""),"6260")</f>
        <v>6260</v>
      </c>
      <c r="P97" s="30" t="str">
        <f ca="1">IFERROR(__xludf.DUMMYFUNCTION("""COMPUTED_VALUE"""),"ESTEBAN ECHEVERRÍA")</f>
        <v>ESTEBAN ECHEVERRÍA</v>
      </c>
      <c r="Q97" s="30" t="str">
        <f ca="1">IFERROR(__xludf.DUMMYFUNCTION("""COMPUTED_VALUE"""),"-34.8426467")</f>
        <v>-34.8426467</v>
      </c>
      <c r="R97" s="30" t="str">
        <f ca="1">IFERROR(__xludf.DUMMYFUNCTION("""COMPUTED_VALUE"""),"-58.4557099")</f>
        <v>-58.4557099</v>
      </c>
      <c r="S97" s="30" t="str">
        <f ca="1">IFERROR(__xludf.DUMMYFUNCTION("""COMPUTED_VALUE"""),"Municipal")</f>
        <v>Municipal</v>
      </c>
      <c r="T97" s="30" t="str">
        <f ca="1">IFERROR(__xludf.DUMMYFUNCTION("""COMPUTED_VALUE"""),"ESTEBAN ECHEVERRÍA")</f>
        <v>ESTEBAN ECHEVERRÍA</v>
      </c>
    </row>
    <row r="98" spans="1:20" ht="15.75" customHeight="1" x14ac:dyDescent="0.25">
      <c r="A98" s="30" t="str">
        <f ca="1">IFERROR(__xludf.DUMMYFUNCTION("""COMPUTED_VALUE"""),"50062602201076")</f>
        <v>50062602201076</v>
      </c>
      <c r="B98" s="30" t="str">
        <f ca="1">IFERROR(__xludf.DUMMYFUNCTION("""COMPUTED_VALUE"""),"CAPS N° 24 BARRIO SIGLO XX DE ESTEBAN ECHEVERRIA")</f>
        <v>CAPS N° 24 BARRIO SIGLO XX DE ESTEBAN ECHEVERRIA</v>
      </c>
      <c r="C98" s="30" t="str">
        <f ca="1">IFERROR(__xludf.DUMMYFUNCTION("""COMPUTED_VALUE"""),"Buenos Aires")</f>
        <v>Buenos Aires</v>
      </c>
      <c r="D98" s="30" t="str">
        <f ca="1">IFERROR(__xludf.DUMMYFUNCTION("""COMPUTED_VALUE"""),"6")</f>
        <v>6</v>
      </c>
      <c r="E98" s="30" t="str">
        <f ca="1">IFERROR(__xludf.DUMMYFUNCTION("""COMPUTED_VALUE"""),"")</f>
        <v/>
      </c>
      <c r="F98" s="29"/>
      <c r="G98" s="29"/>
      <c r="H98" s="30" t="str">
        <f ca="1">IFERROR(__xludf.DUMMYFUNCTION("""COMPUTED_VALUE"""),"activo")</f>
        <v>activo</v>
      </c>
      <c r="I98" s="29"/>
      <c r="J98" s="29"/>
      <c r="K98" s="29"/>
      <c r="L98" s="30" t="str">
        <f ca="1">IFERROR(__xludf.DUMMYFUNCTION("""COMPUTED_VALUE"""),"No")</f>
        <v>No</v>
      </c>
      <c r="M98" s="30" t="str">
        <f ca="1">IFERROR(__xludf.DUMMYFUNCTION("""COMPUTED_VALUE"""),"6260010002")</f>
        <v>6260010002</v>
      </c>
      <c r="N98" s="30" t="str">
        <f ca="1">IFERROR(__xludf.DUMMYFUNCTION("""COMPUTED_VALUE"""),"EL JAGÜEL")</f>
        <v>EL JAGÜEL</v>
      </c>
      <c r="O98" s="30" t="str">
        <f ca="1">IFERROR(__xludf.DUMMYFUNCTION("""COMPUTED_VALUE"""),"6260")</f>
        <v>6260</v>
      </c>
      <c r="P98" s="30" t="str">
        <f ca="1">IFERROR(__xludf.DUMMYFUNCTION("""COMPUTED_VALUE"""),"ESTEBAN ECHEVERRÍA")</f>
        <v>ESTEBAN ECHEVERRÍA</v>
      </c>
      <c r="Q98" s="30" t="str">
        <f ca="1">IFERROR(__xludf.DUMMYFUNCTION("""COMPUTED_VALUE"""),"-34.88649419")</f>
        <v>-34.88649419</v>
      </c>
      <c r="R98" s="30" t="str">
        <f ca="1">IFERROR(__xludf.DUMMYFUNCTION("""COMPUTED_VALUE"""),"-58.45825195")</f>
        <v>-58.45825195</v>
      </c>
      <c r="S98" s="30" t="str">
        <f ca="1">IFERROR(__xludf.DUMMYFUNCTION("""COMPUTED_VALUE"""),"Municipal")</f>
        <v>Municipal</v>
      </c>
      <c r="T98" s="30" t="str">
        <f ca="1">IFERROR(__xludf.DUMMYFUNCTION("""COMPUTED_VALUE"""),"ESTEBAN ECHEVERRÍA")</f>
        <v>ESTEBAN ECHEVERRÍA</v>
      </c>
    </row>
    <row r="99" spans="1:20" ht="15.75" customHeight="1" x14ac:dyDescent="0.25">
      <c r="A99" s="30" t="str">
        <f ca="1">IFERROR(__xludf.DUMMYFUNCTION("""COMPUTED_VALUE"""),"50060582201095")</f>
        <v>50060582201095</v>
      </c>
      <c r="B99" s="30" t="str">
        <f ca="1">IFERROR(__xludf.DUMMYFUNCTION("""COMPUTED_VALUE"""),"CENTRO ASISTENCIAL MUNICIPAL DON BOSCO")</f>
        <v>CENTRO ASISTENCIAL MUNICIPAL DON BOSCO</v>
      </c>
      <c r="C99" s="30" t="str">
        <f ca="1">IFERROR(__xludf.DUMMYFUNCTION("""COMPUTED_VALUE"""),"Buenos Aires")</f>
        <v>Buenos Aires</v>
      </c>
      <c r="D99" s="30" t="str">
        <f ca="1">IFERROR(__xludf.DUMMYFUNCTION("""COMPUTED_VALUE"""),"6")</f>
        <v>6</v>
      </c>
      <c r="E99" s="30" t="str">
        <f ca="1">IFERROR(__xludf.DUMMYFUNCTION("""COMPUTED_VALUE"""),"")</f>
        <v/>
      </c>
      <c r="F99" s="29"/>
      <c r="G99" s="29"/>
      <c r="H99" s="30" t="str">
        <f ca="1">IFERROR(__xludf.DUMMYFUNCTION("""COMPUTED_VALUE"""),"activo")</f>
        <v>activo</v>
      </c>
      <c r="I99" s="29"/>
      <c r="J99" s="29"/>
      <c r="K99" s="29"/>
      <c r="L99" s="30" t="str">
        <f ca="1">IFERROR(__xludf.DUMMYFUNCTION("""COMPUTED_VALUE"""),"No")</f>
        <v>No</v>
      </c>
      <c r="M99" s="30" t="str">
        <f ca="1">IFERROR(__xludf.DUMMYFUNCTION("""COMPUTED_VALUE"""),"6658010003")</f>
        <v>6658010003</v>
      </c>
      <c r="N99" s="30" t="str">
        <f ca="1">IFERROR(__xludf.DUMMYFUNCTION("""COMPUTED_VALUE"""),"DON BOSCO")</f>
        <v>DON BOSCO</v>
      </c>
      <c r="O99" s="30" t="str">
        <f ca="1">IFERROR(__xludf.DUMMYFUNCTION("""COMPUTED_VALUE"""),"658")</f>
        <v>658</v>
      </c>
      <c r="P99" s="30" t="str">
        <f ca="1">IFERROR(__xludf.DUMMYFUNCTION("""COMPUTED_VALUE"""),"QUILMES")</f>
        <v>QUILMES</v>
      </c>
      <c r="Q99" s="30" t="str">
        <f ca="1">IFERROR(__xludf.DUMMYFUNCTION("""COMPUTED_VALUE"""),"-34.7053671")</f>
        <v>-34.7053671</v>
      </c>
      <c r="R99" s="30" t="str">
        <f ca="1">IFERROR(__xludf.DUMMYFUNCTION("""COMPUTED_VALUE"""),"-58.2937561")</f>
        <v>-58.2937561</v>
      </c>
      <c r="S99" s="30" t="str">
        <f ca="1">IFERROR(__xludf.DUMMYFUNCTION("""COMPUTED_VALUE"""),"Municipal")</f>
        <v>Municipal</v>
      </c>
      <c r="T99" s="30" t="str">
        <f ca="1">IFERROR(__xludf.DUMMYFUNCTION("""COMPUTED_VALUE"""),"QUILMES")</f>
        <v>QUILMES</v>
      </c>
    </row>
    <row r="100" spans="1:20" ht="15.75" customHeight="1" x14ac:dyDescent="0.25">
      <c r="A100" s="30" t="str">
        <f ca="1">IFERROR(__xludf.DUMMYFUNCTION("""COMPUTED_VALUE"""),"50060582202063")</f>
        <v>50060582202063</v>
      </c>
      <c r="B100" s="30" t="str">
        <f ca="1">IFERROR(__xludf.DUMMYFUNCTION("""COMPUTED_VALUE"""),"UNIDAD SANITARIA ARTURO ILLIA")</f>
        <v>UNIDAD SANITARIA ARTURO ILLIA</v>
      </c>
      <c r="C100" s="30" t="str">
        <f ca="1">IFERROR(__xludf.DUMMYFUNCTION("""COMPUTED_VALUE"""),"Buenos Aires")</f>
        <v>Buenos Aires</v>
      </c>
      <c r="D100" s="30" t="str">
        <f ca="1">IFERROR(__xludf.DUMMYFUNCTION("""COMPUTED_VALUE"""),"6")</f>
        <v>6</v>
      </c>
      <c r="E100" s="30" t="str">
        <f ca="1">IFERROR(__xludf.DUMMYFUNCTION("""COMPUTED_VALUE"""),"")</f>
        <v/>
      </c>
      <c r="F100" s="29"/>
      <c r="G100" s="29"/>
      <c r="H100" s="30" t="str">
        <f ca="1">IFERROR(__xludf.DUMMYFUNCTION("""COMPUTED_VALUE"""),"activo")</f>
        <v>activo</v>
      </c>
      <c r="I100" s="29"/>
      <c r="J100" s="29"/>
      <c r="K100" s="29"/>
      <c r="L100" s="30" t="str">
        <f ca="1">IFERROR(__xludf.DUMMYFUNCTION("""COMPUTED_VALUE"""),"No")</f>
        <v>No</v>
      </c>
      <c r="M100" s="30" t="str">
        <f ca="1">IFERROR(__xludf.DUMMYFUNCTION("""COMPUTED_VALUE"""),"6058030")</f>
        <v>6058030</v>
      </c>
      <c r="N100" s="30" t="str">
        <f ca="1">IFERROR(__xludf.DUMMYFUNCTION("""COMPUTED_VALUE"""),"EZPELETA")</f>
        <v>EZPELETA</v>
      </c>
      <c r="O100" s="30" t="str">
        <f ca="1">IFERROR(__xludf.DUMMYFUNCTION("""COMPUTED_VALUE"""),"658")</f>
        <v>658</v>
      </c>
      <c r="P100" s="30" t="str">
        <f ca="1">IFERROR(__xludf.DUMMYFUNCTION("""COMPUTED_VALUE"""),"QUILMES")</f>
        <v>QUILMES</v>
      </c>
      <c r="Q100" s="30" t="str">
        <f ca="1">IFERROR(__xludf.DUMMYFUNCTION("""COMPUTED_VALUE"""),"-34.7566507")</f>
        <v>-34.7566507</v>
      </c>
      <c r="R100" s="30" t="str">
        <f ca="1">IFERROR(__xludf.DUMMYFUNCTION("""COMPUTED_VALUE"""),"-58.25019622")</f>
        <v>-58.25019622</v>
      </c>
      <c r="S100" s="30" t="str">
        <f ca="1">IFERROR(__xludf.DUMMYFUNCTION("""COMPUTED_VALUE"""),"Municipal")</f>
        <v>Municipal</v>
      </c>
      <c r="T100" s="30" t="str">
        <f ca="1">IFERROR(__xludf.DUMMYFUNCTION("""COMPUTED_VALUE"""),"QUILMES")</f>
        <v>QUILMES</v>
      </c>
    </row>
    <row r="101" spans="1:20" ht="15.75" customHeight="1" x14ac:dyDescent="0.25">
      <c r="A101" s="30" t="str">
        <f ca="1">IFERROR(__xludf.DUMMYFUNCTION("""COMPUTED_VALUE"""),"50060582202421")</f>
        <v>50060582202421</v>
      </c>
      <c r="B101" s="30" t="str">
        <f ca="1">IFERROR(__xludf.DUMMYFUNCTION("""COMPUTED_VALUE"""),"UNIDAD SANITARIA LOS EUCALIPTOS")</f>
        <v>UNIDAD SANITARIA LOS EUCALIPTOS</v>
      </c>
      <c r="C101" s="30" t="str">
        <f ca="1">IFERROR(__xludf.DUMMYFUNCTION("""COMPUTED_VALUE"""),"Buenos Aires")</f>
        <v>Buenos Aires</v>
      </c>
      <c r="D101" s="30" t="str">
        <f ca="1">IFERROR(__xludf.DUMMYFUNCTION("""COMPUTED_VALUE"""),"6")</f>
        <v>6</v>
      </c>
      <c r="E101" s="30" t="str">
        <f ca="1">IFERROR(__xludf.DUMMYFUNCTION("""COMPUTED_VALUE"""),"")</f>
        <v/>
      </c>
      <c r="F101" s="29"/>
      <c r="G101" s="29"/>
      <c r="H101" s="30" t="str">
        <f ca="1">IFERROR(__xludf.DUMMYFUNCTION("""COMPUTED_VALUE"""),"activo")</f>
        <v>activo</v>
      </c>
      <c r="I101" s="29"/>
      <c r="J101" s="29"/>
      <c r="K101" s="29"/>
      <c r="L101" s="30" t="str">
        <f ca="1">IFERROR(__xludf.DUMMYFUNCTION("""COMPUTED_VALUE"""),"No")</f>
        <v>No</v>
      </c>
      <c r="M101" s="30" t="str">
        <f ca="1">IFERROR(__xludf.DUMMYFUNCTION("""COMPUTED_VALUE"""),"6658010008")</f>
        <v>6658010008</v>
      </c>
      <c r="N101" s="30" t="str">
        <f ca="1">IFERROR(__xludf.DUMMYFUNCTION("""COMPUTED_VALUE"""),"SAN FRANCISCO SOLANO")</f>
        <v>SAN FRANCISCO SOLANO</v>
      </c>
      <c r="O101" s="30" t="str">
        <f ca="1">IFERROR(__xludf.DUMMYFUNCTION("""COMPUTED_VALUE"""),"658")</f>
        <v>658</v>
      </c>
      <c r="P101" s="30" t="str">
        <f ca="1">IFERROR(__xludf.DUMMYFUNCTION("""COMPUTED_VALUE"""),"QUILMES")</f>
        <v>QUILMES</v>
      </c>
      <c r="Q101" s="30" t="str">
        <f ca="1">IFERROR(__xludf.DUMMYFUNCTION("""COMPUTED_VALUE"""),"-34.79417388")</f>
        <v>-34.79417388</v>
      </c>
      <c r="R101" s="30" t="str">
        <f ca="1">IFERROR(__xludf.DUMMYFUNCTION("""COMPUTED_VALUE"""),"-58.30617714")</f>
        <v>-58.30617714</v>
      </c>
      <c r="S101" s="30" t="str">
        <f ca="1">IFERROR(__xludf.DUMMYFUNCTION("""COMPUTED_VALUE"""),"Municipal")</f>
        <v>Municipal</v>
      </c>
      <c r="T101" s="30" t="str">
        <f ca="1">IFERROR(__xludf.DUMMYFUNCTION("""COMPUTED_VALUE"""),"QUILMES")</f>
        <v>QUILMES</v>
      </c>
    </row>
    <row r="102" spans="1:20" ht="15.75" customHeight="1" x14ac:dyDescent="0.25">
      <c r="A102" s="30" t="str">
        <f ca="1">IFERROR(__xludf.DUMMYFUNCTION("""COMPUTED_VALUE"""),"50060582201651")</f>
        <v>50060582201651</v>
      </c>
      <c r="B102" s="30" t="str">
        <f ca="1">IFERROR(__xludf.DUMMYFUNCTION("""COMPUTED_VALUE"""),"INSTITUTO MUNICIPAL DE SALUD PUBLICA SAN FRANCISCO SOLANO")</f>
        <v>INSTITUTO MUNICIPAL DE SALUD PUBLICA SAN FRANCISCO SOLANO</v>
      </c>
      <c r="C102" s="30" t="str">
        <f ca="1">IFERROR(__xludf.DUMMYFUNCTION("""COMPUTED_VALUE"""),"Buenos Aires")</f>
        <v>Buenos Aires</v>
      </c>
      <c r="D102" s="30" t="str">
        <f ca="1">IFERROR(__xludf.DUMMYFUNCTION("""COMPUTED_VALUE"""),"6")</f>
        <v>6</v>
      </c>
      <c r="E102" s="30" t="str">
        <f ca="1">IFERROR(__xludf.DUMMYFUNCTION("""COMPUTED_VALUE"""),"")</f>
        <v/>
      </c>
      <c r="F102" s="29"/>
      <c r="G102" s="29"/>
      <c r="H102" s="30" t="str">
        <f ca="1">IFERROR(__xludf.DUMMYFUNCTION("""COMPUTED_VALUE"""),"activo")</f>
        <v>activo</v>
      </c>
      <c r="I102" s="29"/>
      <c r="J102" s="29"/>
      <c r="K102" s="29"/>
      <c r="L102" s="30" t="str">
        <f ca="1">IFERROR(__xludf.DUMMYFUNCTION("""COMPUTED_VALUE"""),"No")</f>
        <v>No</v>
      </c>
      <c r="M102" s="30" t="str">
        <f ca="1">IFERROR(__xludf.DUMMYFUNCTION("""COMPUTED_VALUE"""),"6658010008")</f>
        <v>6658010008</v>
      </c>
      <c r="N102" s="30" t="str">
        <f ca="1">IFERROR(__xludf.DUMMYFUNCTION("""COMPUTED_VALUE"""),"SAN FRANCISCO SOLANO")</f>
        <v>SAN FRANCISCO SOLANO</v>
      </c>
      <c r="O102" s="30" t="str">
        <f ca="1">IFERROR(__xludf.DUMMYFUNCTION("""COMPUTED_VALUE"""),"658")</f>
        <v>658</v>
      </c>
      <c r="P102" s="30" t="str">
        <f ca="1">IFERROR(__xludf.DUMMYFUNCTION("""COMPUTED_VALUE"""),"QUILMES")</f>
        <v>QUILMES</v>
      </c>
      <c r="Q102" s="30" t="str">
        <f ca="1">IFERROR(__xludf.DUMMYFUNCTION("""COMPUTED_VALUE"""),"-34.7783544")</f>
        <v>-34.7783544</v>
      </c>
      <c r="R102" s="30" t="str">
        <f ca="1">IFERROR(__xludf.DUMMYFUNCTION("""COMPUTED_VALUE"""),"-58.30897093")</f>
        <v>-58.30897093</v>
      </c>
      <c r="S102" s="30" t="str">
        <f ca="1">IFERROR(__xludf.DUMMYFUNCTION("""COMPUTED_VALUE"""),"Municipal")</f>
        <v>Municipal</v>
      </c>
      <c r="T102" s="30" t="str">
        <f ca="1">IFERROR(__xludf.DUMMYFUNCTION("""COMPUTED_VALUE"""),"QUILMES")</f>
        <v>QUILMES</v>
      </c>
    </row>
    <row r="103" spans="1:20" ht="15.75" customHeight="1" x14ac:dyDescent="0.25">
      <c r="A103" s="30" t="str">
        <f ca="1">IFERROR(__xludf.DUMMYFUNCTION("""COMPUTED_VALUE"""),"50064902201225")</f>
        <v>50064902201225</v>
      </c>
      <c r="B103" s="30" t="str">
        <f ca="1">IFERROR(__xludf.DUMMYFUNCTION("""COMPUTED_VALUE"""),"CENTRO DE SALUD DR. E. FINOCHIETTO")</f>
        <v>CENTRO DE SALUD DR. E. FINOCHIETTO</v>
      </c>
      <c r="C103" s="30" t="str">
        <f ca="1">IFERROR(__xludf.DUMMYFUNCTION("""COMPUTED_VALUE"""),"Buenos Aires")</f>
        <v>Buenos Aires</v>
      </c>
      <c r="D103" s="30" t="str">
        <f ca="1">IFERROR(__xludf.DUMMYFUNCTION("""COMPUTED_VALUE"""),"6")</f>
        <v>6</v>
      </c>
      <c r="E103" s="30" t="str">
        <f ca="1">IFERROR(__xludf.DUMMYFUNCTION("""COMPUTED_VALUE"""),"si")</f>
        <v>si</v>
      </c>
      <c r="F103" s="29"/>
      <c r="G103" s="29"/>
      <c r="H103" s="30" t="str">
        <f ca="1">IFERROR(__xludf.DUMMYFUNCTION("""COMPUTED_VALUE"""),"activo")</f>
        <v>activo</v>
      </c>
      <c r="I103" s="29"/>
      <c r="J103" s="29"/>
      <c r="K103" s="29"/>
      <c r="L103" s="30" t="str">
        <f ca="1">IFERROR(__xludf.DUMMYFUNCTION("""COMPUTED_VALUE"""),"No")</f>
        <v>No</v>
      </c>
      <c r="M103" s="30" t="str">
        <f ca="1">IFERROR(__xludf.DUMMYFUNCTION("""COMPUTED_VALUE"""),"6490010001")</f>
        <v>6490010001</v>
      </c>
      <c r="N103" s="30" t="str">
        <f ca="1">IFERROR(__xludf.DUMMYFUNCTION("""COMPUTED_VALUE"""),"BANFIELD")</f>
        <v>BANFIELD</v>
      </c>
      <c r="O103" s="30" t="str">
        <f ca="1">IFERROR(__xludf.DUMMYFUNCTION("""COMPUTED_VALUE"""),"6490")</f>
        <v>6490</v>
      </c>
      <c r="P103" s="30" t="str">
        <f ca="1">IFERROR(__xludf.DUMMYFUNCTION("""COMPUTED_VALUE"""),"LOMAS DE ZAMORA")</f>
        <v>LOMAS DE ZAMORA</v>
      </c>
      <c r="Q103" s="30" t="str">
        <f ca="1">IFERROR(__xludf.DUMMYFUNCTION("""COMPUTED_VALUE"""),"-34.72522066")</f>
        <v>-34.72522066</v>
      </c>
      <c r="R103" s="30" t="str">
        <f ca="1">IFERROR(__xludf.DUMMYFUNCTION("""COMPUTED_VALUE"""),"-58.44693089")</f>
        <v>-58.44693089</v>
      </c>
      <c r="S103" s="30" t="str">
        <f ca="1">IFERROR(__xludf.DUMMYFUNCTION("""COMPUTED_VALUE"""),"Municipal")</f>
        <v>Municipal</v>
      </c>
      <c r="T103" s="30" t="str">
        <f ca="1">IFERROR(__xludf.DUMMYFUNCTION("""COMPUTED_VALUE"""),"LOMAS DE ZAMORA")</f>
        <v>LOMAS DE ZAMORA</v>
      </c>
    </row>
    <row r="104" spans="1:20" ht="15.75" customHeight="1" x14ac:dyDescent="0.25">
      <c r="A104" s="30" t="str">
        <f ca="1">IFERROR(__xludf.DUMMYFUNCTION("""COMPUTED_VALUE"""),"50064902202298")</f>
        <v>50064902202298</v>
      </c>
      <c r="B104" s="30" t="str">
        <f ca="1">IFERROR(__xludf.DUMMYFUNCTION("""COMPUTED_VALUE"""),"UNIDAD SANITARIA FONROUGE")</f>
        <v>UNIDAD SANITARIA FONROUGE</v>
      </c>
      <c r="C104" s="30" t="str">
        <f ca="1">IFERROR(__xludf.DUMMYFUNCTION("""COMPUTED_VALUE"""),"Buenos Aires")</f>
        <v>Buenos Aires</v>
      </c>
      <c r="D104" s="30" t="str">
        <f ca="1">IFERROR(__xludf.DUMMYFUNCTION("""COMPUTED_VALUE"""),"6")</f>
        <v>6</v>
      </c>
      <c r="E104" s="30" t="str">
        <f ca="1">IFERROR(__xludf.DUMMYFUNCTION("""COMPUTED_VALUE"""),"")</f>
        <v/>
      </c>
      <c r="F104" s="29"/>
      <c r="G104" s="29"/>
      <c r="H104" s="30" t="str">
        <f ca="1">IFERROR(__xludf.DUMMYFUNCTION("""COMPUTED_VALUE"""),"activo")</f>
        <v>activo</v>
      </c>
      <c r="I104" s="29"/>
      <c r="J104" s="29"/>
      <c r="K104" s="29"/>
      <c r="L104" s="30" t="str">
        <f ca="1">IFERROR(__xludf.DUMMYFUNCTION("""COMPUTED_VALUE"""),"No")</f>
        <v>No</v>
      </c>
      <c r="M104" s="30" t="str">
        <f ca="1">IFERROR(__xludf.DUMMYFUNCTION("""COMPUTED_VALUE"""),"6490010006")</f>
        <v>6490010006</v>
      </c>
      <c r="N104" s="30" t="str">
        <f ca="1">IFERROR(__xludf.DUMMYFUNCTION("""COMPUTED_VALUE"""),"VILLA CENTENARIO")</f>
        <v>VILLA CENTENARIO</v>
      </c>
      <c r="O104" s="30" t="str">
        <f ca="1">IFERROR(__xludf.DUMMYFUNCTION("""COMPUTED_VALUE"""),"6490")</f>
        <v>6490</v>
      </c>
      <c r="P104" s="30" t="str">
        <f ca="1">IFERROR(__xludf.DUMMYFUNCTION("""COMPUTED_VALUE"""),"LOMAS DE ZAMORA")</f>
        <v>LOMAS DE ZAMORA</v>
      </c>
      <c r="Q104" s="30" t="str">
        <f ca="1">IFERROR(__xludf.DUMMYFUNCTION("""COMPUTED_VALUE"""),"-34.73317385")</f>
        <v>-34.73317385</v>
      </c>
      <c r="R104" s="30" t="str">
        <f ca="1">IFERROR(__xludf.DUMMYFUNCTION("""COMPUTED_VALUE"""),"-58.42647314")</f>
        <v>-58.42647314</v>
      </c>
      <c r="S104" s="30" t="str">
        <f ca="1">IFERROR(__xludf.DUMMYFUNCTION("""COMPUTED_VALUE"""),"Municipal")</f>
        <v>Municipal</v>
      </c>
      <c r="T104" s="30" t="str">
        <f ca="1">IFERROR(__xludf.DUMMYFUNCTION("""COMPUTED_VALUE"""),"LOMAS DE ZAMORA")</f>
        <v>LOMAS DE ZAMORA</v>
      </c>
    </row>
    <row r="105" spans="1:20" ht="15.75" customHeight="1" x14ac:dyDescent="0.25">
      <c r="A105" s="30" t="str">
        <f ca="1">IFERROR(__xludf.DUMMYFUNCTION("""COMPUTED_VALUE"""),"50064902202308")</f>
        <v>50064902202308</v>
      </c>
      <c r="B105" s="30" t="str">
        <f ca="1">IFERROR(__xludf.DUMMYFUNCTION("""COMPUTED_VALUE"""),"UNIDAD SANITARIA GENERAL LAMADRID")</f>
        <v>UNIDAD SANITARIA GENERAL LAMADRID</v>
      </c>
      <c r="C105" s="30" t="str">
        <f ca="1">IFERROR(__xludf.DUMMYFUNCTION("""COMPUTED_VALUE"""),"Buenos Aires")</f>
        <v>Buenos Aires</v>
      </c>
      <c r="D105" s="30" t="str">
        <f ca="1">IFERROR(__xludf.DUMMYFUNCTION("""COMPUTED_VALUE"""),"6")</f>
        <v>6</v>
      </c>
      <c r="E105" s="30" t="str">
        <f ca="1">IFERROR(__xludf.DUMMYFUNCTION("""COMPUTED_VALUE"""),"")</f>
        <v/>
      </c>
      <c r="F105" s="29"/>
      <c r="G105" s="29"/>
      <c r="H105" s="30" t="str">
        <f ca="1">IFERROR(__xludf.DUMMYFUNCTION("""COMPUTED_VALUE"""),"activo")</f>
        <v>activo</v>
      </c>
      <c r="I105" s="29"/>
      <c r="J105" s="29"/>
      <c r="K105" s="29"/>
      <c r="L105" s="30" t="str">
        <f ca="1">IFERROR(__xludf.DUMMYFUNCTION("""COMPUTED_VALUE"""),"No")</f>
        <v>No</v>
      </c>
      <c r="M105" s="30" t="str">
        <f ca="1">IFERROR(__xludf.DUMMYFUNCTION("""COMPUTED_VALUE"""),"6490010003")</f>
        <v>6490010003</v>
      </c>
      <c r="N105" s="30" t="str">
        <f ca="1">IFERROR(__xludf.DUMMYFUNCTION("""COMPUTED_VALUE"""),"LOMAS DE ZAMORA")</f>
        <v>LOMAS DE ZAMORA</v>
      </c>
      <c r="O105" s="30" t="str">
        <f ca="1">IFERROR(__xludf.DUMMYFUNCTION("""COMPUTED_VALUE"""),"6490")</f>
        <v>6490</v>
      </c>
      <c r="P105" s="30" t="str">
        <f ca="1">IFERROR(__xludf.DUMMYFUNCTION("""COMPUTED_VALUE"""),"LOMAS DE ZAMORA")</f>
        <v>LOMAS DE ZAMORA</v>
      </c>
      <c r="Q105" s="30" t="str">
        <f ca="1">IFERROR(__xludf.DUMMYFUNCTION("""COMPUTED_VALUE"""),"-34.7269613")</f>
        <v>-34.7269613</v>
      </c>
      <c r="R105" s="30" t="str">
        <f ca="1">IFERROR(__xludf.DUMMYFUNCTION("""COMPUTED_VALUE"""),"-58.47279239")</f>
        <v>-58.47279239</v>
      </c>
      <c r="S105" s="30" t="str">
        <f ca="1">IFERROR(__xludf.DUMMYFUNCTION("""COMPUTED_VALUE"""),"Municipal")</f>
        <v>Municipal</v>
      </c>
      <c r="T105" s="30" t="str">
        <f ca="1">IFERROR(__xludf.DUMMYFUNCTION("""COMPUTED_VALUE"""),"LOMAS DE ZAMORA")</f>
        <v>LOMAS DE ZAMORA</v>
      </c>
    </row>
    <row r="106" spans="1:20" ht="15.75" customHeight="1" x14ac:dyDescent="0.25">
      <c r="A106" s="30" t="str">
        <f ca="1">IFERROR(__xludf.DUMMYFUNCTION("""COMPUTED_VALUE"""),"50064902202232")</f>
        <v>50064902202232</v>
      </c>
      <c r="B106" s="30" t="str">
        <f ca="1">IFERROR(__xludf.DUMMYFUNCTION("""COMPUTED_VALUE"""),"UNIDAD SANITARIA DR. GREGORIO A. ALFARO")</f>
        <v>UNIDAD SANITARIA DR. GREGORIO A. ALFARO</v>
      </c>
      <c r="C106" s="30" t="str">
        <f ca="1">IFERROR(__xludf.DUMMYFUNCTION("""COMPUTED_VALUE"""),"Buenos Aires")</f>
        <v>Buenos Aires</v>
      </c>
      <c r="D106" s="30" t="str">
        <f ca="1">IFERROR(__xludf.DUMMYFUNCTION("""COMPUTED_VALUE"""),"6")</f>
        <v>6</v>
      </c>
      <c r="E106" s="30" t="str">
        <f ca="1">IFERROR(__xludf.DUMMYFUNCTION("""COMPUTED_VALUE"""),"")</f>
        <v/>
      </c>
      <c r="F106" s="29"/>
      <c r="G106" s="29"/>
      <c r="H106" s="30" t="str">
        <f ca="1">IFERROR(__xludf.DUMMYFUNCTION("""COMPUTED_VALUE"""),"activo")</f>
        <v>activo</v>
      </c>
      <c r="I106" s="29"/>
      <c r="J106" s="29"/>
      <c r="K106" s="29"/>
      <c r="L106" s="30" t="str">
        <f ca="1">IFERROR(__xludf.DUMMYFUNCTION("""COMPUTED_VALUE"""),"No")</f>
        <v>No</v>
      </c>
      <c r="M106" s="30" t="str">
        <f ca="1">IFERROR(__xludf.DUMMYFUNCTION("""COMPUTED_VALUE"""),"6490010004")</f>
        <v>6490010004</v>
      </c>
      <c r="N106" s="30" t="str">
        <f ca="1">IFERROR(__xludf.DUMMYFUNCTION("""COMPUTED_VALUE"""),"TEMPERLEY")</f>
        <v>TEMPERLEY</v>
      </c>
      <c r="O106" s="30" t="str">
        <f ca="1">IFERROR(__xludf.DUMMYFUNCTION("""COMPUTED_VALUE"""),"6490")</f>
        <v>6490</v>
      </c>
      <c r="P106" s="30" t="str">
        <f ca="1">IFERROR(__xludf.DUMMYFUNCTION("""COMPUTED_VALUE"""),"LOMAS DE ZAMORA")</f>
        <v>LOMAS DE ZAMORA</v>
      </c>
      <c r="Q106" s="30" t="str">
        <f ca="1">IFERROR(__xludf.DUMMYFUNCTION("""COMPUTED_VALUE"""),"-34.77318998")</f>
        <v>-34.77318998</v>
      </c>
      <c r="R106" s="30" t="str">
        <f ca="1">IFERROR(__xludf.DUMMYFUNCTION("""COMPUTED_VALUE"""),"-58.40526894")</f>
        <v>-58.40526894</v>
      </c>
      <c r="S106" s="30" t="str">
        <f ca="1">IFERROR(__xludf.DUMMYFUNCTION("""COMPUTED_VALUE"""),"Municipal")</f>
        <v>Municipal</v>
      </c>
      <c r="T106" s="30" t="str">
        <f ca="1">IFERROR(__xludf.DUMMYFUNCTION("""COMPUTED_VALUE"""),"LOMAS DE ZAMORA")</f>
        <v>LOMAS DE ZAMORA</v>
      </c>
    </row>
    <row r="107" spans="1:20" ht="15.75" customHeight="1" x14ac:dyDescent="0.25">
      <c r="A107" s="30" t="str">
        <f ca="1">IFERROR(__xludf.DUMMYFUNCTION("""COMPUTED_VALUE"""),"50062702202616")</f>
        <v>50062702202616</v>
      </c>
      <c r="B107" s="30" t="str">
        <f ca="1">IFERROR(__xludf.DUMMYFUNCTION("""COMPUTED_VALUE"""),"CENTRO DE SALUD N° 4")</f>
        <v>CENTRO DE SALUD N° 4</v>
      </c>
      <c r="C107" s="30" t="str">
        <f ca="1">IFERROR(__xludf.DUMMYFUNCTION("""COMPUTED_VALUE"""),"Buenos Aires")</f>
        <v>Buenos Aires</v>
      </c>
      <c r="D107" s="30" t="str">
        <f ca="1">IFERROR(__xludf.DUMMYFUNCTION("""COMPUTED_VALUE"""),"6")</f>
        <v>6</v>
      </c>
      <c r="E107" s="30" t="str">
        <f ca="1">IFERROR(__xludf.DUMMYFUNCTION("""COMPUTED_VALUE"""),"")</f>
        <v/>
      </c>
      <c r="F107" s="29"/>
      <c r="G107" s="29"/>
      <c r="H107" s="30" t="str">
        <f ca="1">IFERROR(__xludf.DUMMYFUNCTION("""COMPUTED_VALUE"""),"activo")</f>
        <v>activo</v>
      </c>
      <c r="I107" s="29"/>
      <c r="J107" s="29"/>
      <c r="K107" s="29"/>
      <c r="L107" s="30" t="str">
        <f ca="1">IFERROR(__xludf.DUMMYFUNCTION("""COMPUTED_VALUE"""),"No")</f>
        <v>No</v>
      </c>
      <c r="M107" s="30" t="str">
        <f ca="1">IFERROR(__xludf.DUMMYFUNCTION("""COMPUTED_VALUE"""),"6270010002")</f>
        <v>6270010002</v>
      </c>
      <c r="N107" s="30" t="str">
        <f ca="1">IFERROR(__xludf.DUMMYFUNCTION("""COMPUTED_VALUE"""),"CANNING")</f>
        <v>CANNING</v>
      </c>
      <c r="O107" s="30" t="str">
        <f ca="1">IFERROR(__xludf.DUMMYFUNCTION("""COMPUTED_VALUE"""),"6270")</f>
        <v>6270</v>
      </c>
      <c r="P107" s="30" t="str">
        <f ca="1">IFERROR(__xludf.DUMMYFUNCTION("""COMPUTED_VALUE"""),"EZEIZA")</f>
        <v>EZEIZA</v>
      </c>
      <c r="Q107" s="30" t="str">
        <f ca="1">IFERROR(__xludf.DUMMYFUNCTION("""COMPUTED_VALUE"""),"-34.87046152")</f>
        <v>-34.87046152</v>
      </c>
      <c r="R107" s="30" t="str">
        <f ca="1">IFERROR(__xludf.DUMMYFUNCTION("""COMPUTED_VALUE"""),"-58.51551461")</f>
        <v>-58.51551461</v>
      </c>
      <c r="S107" s="30" t="str">
        <f ca="1">IFERROR(__xludf.DUMMYFUNCTION("""COMPUTED_VALUE"""),"Municipal")</f>
        <v>Municipal</v>
      </c>
      <c r="T107" s="30" t="str">
        <f ca="1">IFERROR(__xludf.DUMMYFUNCTION("""COMPUTED_VALUE"""),"EZEIZA")</f>
        <v>EZEIZA</v>
      </c>
    </row>
    <row r="108" spans="1:20" ht="15.75" customHeight="1" x14ac:dyDescent="0.25">
      <c r="A108" s="30" t="str">
        <f ca="1">IFERROR(__xludf.DUMMYFUNCTION("""COMPUTED_VALUE"""),"50062702202506")</f>
        <v>50062702202506</v>
      </c>
      <c r="B108" s="30" t="str">
        <f ca="1">IFERROR(__xludf.DUMMYFUNCTION("""COMPUTED_VALUE"""),"CENTRO DE SALUD N° 14")</f>
        <v>CENTRO DE SALUD N° 14</v>
      </c>
      <c r="C108" s="30" t="str">
        <f ca="1">IFERROR(__xludf.DUMMYFUNCTION("""COMPUTED_VALUE"""),"Buenos Aires")</f>
        <v>Buenos Aires</v>
      </c>
      <c r="D108" s="30" t="str">
        <f ca="1">IFERROR(__xludf.DUMMYFUNCTION("""COMPUTED_VALUE"""),"6")</f>
        <v>6</v>
      </c>
      <c r="E108" s="30" t="str">
        <f ca="1">IFERROR(__xludf.DUMMYFUNCTION("""COMPUTED_VALUE"""),"")</f>
        <v/>
      </c>
      <c r="F108" s="29"/>
      <c r="G108" s="29"/>
      <c r="H108" s="30" t="str">
        <f ca="1">IFERROR(__xludf.DUMMYFUNCTION("""COMPUTED_VALUE"""),"activo")</f>
        <v>activo</v>
      </c>
      <c r="I108" s="29"/>
      <c r="J108" s="29"/>
      <c r="K108" s="29"/>
      <c r="L108" s="30" t="str">
        <f ca="1">IFERROR(__xludf.DUMMYFUNCTION("""COMPUTED_VALUE"""),"No")</f>
        <v>No</v>
      </c>
      <c r="M108" s="30" t="str">
        <f ca="1">IFERROR(__xludf.DUMMYFUNCTION("""COMPUTED_VALUE"""),"6270010005")</f>
        <v>6270010005</v>
      </c>
      <c r="N108" s="30" t="str">
        <f ca="1">IFERROR(__xludf.DUMMYFUNCTION("""COMPUTED_VALUE"""),"LA UNION")</f>
        <v>LA UNION</v>
      </c>
      <c r="O108" s="30" t="str">
        <f ca="1">IFERROR(__xludf.DUMMYFUNCTION("""COMPUTED_VALUE"""),"6270")</f>
        <v>6270</v>
      </c>
      <c r="P108" s="30" t="str">
        <f ca="1">IFERROR(__xludf.DUMMYFUNCTION("""COMPUTED_VALUE"""),"EZEIZA")</f>
        <v>EZEIZA</v>
      </c>
      <c r="Q108" s="30" t="str">
        <f ca="1">IFERROR(__xludf.DUMMYFUNCTION("""COMPUTED_VALUE"""),"-34.894121")</f>
        <v>-34.894121</v>
      </c>
      <c r="R108" s="30" t="str">
        <f ca="1">IFERROR(__xludf.DUMMYFUNCTION("""COMPUTED_VALUE"""),"-58.532401")</f>
        <v>-58.532401</v>
      </c>
      <c r="S108" s="30" t="str">
        <f ca="1">IFERROR(__xludf.DUMMYFUNCTION("""COMPUTED_VALUE"""),"Municipal")</f>
        <v>Municipal</v>
      </c>
      <c r="T108" s="30" t="str">
        <f ca="1">IFERROR(__xludf.DUMMYFUNCTION("""COMPUTED_VALUE"""),"EZEIZA")</f>
        <v>EZEIZA</v>
      </c>
    </row>
    <row r="109" spans="1:20" ht="15.75" customHeight="1" x14ac:dyDescent="0.25">
      <c r="A109" s="30" t="str">
        <f ca="1">IFERROR(__xludf.DUMMYFUNCTION("""COMPUTED_VALUE"""),"50062702202538")</f>
        <v>50062702202538</v>
      </c>
      <c r="B109" s="30" t="str">
        <f ca="1">IFERROR(__xludf.DUMMYFUNCTION("""COMPUTED_VALUE"""),"CENTRO DE SALUD N° 18")</f>
        <v>CENTRO DE SALUD N° 18</v>
      </c>
      <c r="C109" s="30" t="str">
        <f ca="1">IFERROR(__xludf.DUMMYFUNCTION("""COMPUTED_VALUE"""),"Buenos Aires")</f>
        <v>Buenos Aires</v>
      </c>
      <c r="D109" s="30" t="str">
        <f ca="1">IFERROR(__xludf.DUMMYFUNCTION("""COMPUTED_VALUE"""),"6")</f>
        <v>6</v>
      </c>
      <c r="E109" s="30" t="str">
        <f ca="1">IFERROR(__xludf.DUMMYFUNCTION("""COMPUTED_VALUE"""),"")</f>
        <v/>
      </c>
      <c r="F109" s="29"/>
      <c r="G109" s="29"/>
      <c r="H109" s="30" t="str">
        <f ca="1">IFERROR(__xludf.DUMMYFUNCTION("""COMPUTED_VALUE"""),"activo")</f>
        <v>activo</v>
      </c>
      <c r="I109" s="29"/>
      <c r="J109" s="29"/>
      <c r="K109" s="29"/>
      <c r="L109" s="30" t="str">
        <f ca="1">IFERROR(__xludf.DUMMYFUNCTION("""COMPUTED_VALUE"""),"No")</f>
        <v>No</v>
      </c>
      <c r="M109" s="30" t="str">
        <f ca="1">IFERROR(__xludf.DUMMYFUNCTION("""COMPUTED_VALUE"""),"6270010006")</f>
        <v>6270010006</v>
      </c>
      <c r="N109" s="30" t="str">
        <f ca="1">IFERROR(__xludf.DUMMYFUNCTION("""COMPUTED_VALUE"""),"TRISTAN SUAREZ")</f>
        <v>TRISTAN SUAREZ</v>
      </c>
      <c r="O109" s="30" t="str">
        <f ca="1">IFERROR(__xludf.DUMMYFUNCTION("""COMPUTED_VALUE"""),"6270")</f>
        <v>6270</v>
      </c>
      <c r="P109" s="30" t="str">
        <f ca="1">IFERROR(__xludf.DUMMYFUNCTION("""COMPUTED_VALUE"""),"EZEIZA")</f>
        <v>EZEIZA</v>
      </c>
      <c r="Q109" s="30" t="str">
        <f ca="1">IFERROR(__xludf.DUMMYFUNCTION("""COMPUTED_VALUE"""),"-34.8501403")</f>
        <v>-34.8501403</v>
      </c>
      <c r="R109" s="30" t="str">
        <f ca="1">IFERROR(__xludf.DUMMYFUNCTION("""COMPUTED_VALUE"""),"-58.5367605")</f>
        <v>-58.5367605</v>
      </c>
      <c r="S109" s="30" t="str">
        <f ca="1">IFERROR(__xludf.DUMMYFUNCTION("""COMPUTED_VALUE"""),"Municipal")</f>
        <v>Municipal</v>
      </c>
      <c r="T109" s="30" t="str">
        <f ca="1">IFERROR(__xludf.DUMMYFUNCTION("""COMPUTED_VALUE"""),"EZEIZA")</f>
        <v>EZEIZA</v>
      </c>
    </row>
    <row r="110" spans="1:20" ht="15.75" customHeight="1" x14ac:dyDescent="0.25">
      <c r="A110" s="30" t="str">
        <f ca="1">IFERROR(__xludf.DUMMYFUNCTION("""COMPUTED_VALUE"""),"50062702202462")</f>
        <v>50062702202462</v>
      </c>
      <c r="B110" s="30" t="str">
        <f ca="1">IFERROR(__xludf.DUMMYFUNCTION("""COMPUTED_VALUE"""),"CENTRO DE SALUD N° 1")</f>
        <v>CENTRO DE SALUD N° 1</v>
      </c>
      <c r="C110" s="30" t="str">
        <f ca="1">IFERROR(__xludf.DUMMYFUNCTION("""COMPUTED_VALUE"""),"Buenos Aires")</f>
        <v>Buenos Aires</v>
      </c>
      <c r="D110" s="30" t="str">
        <f ca="1">IFERROR(__xludf.DUMMYFUNCTION("""COMPUTED_VALUE"""),"6")</f>
        <v>6</v>
      </c>
      <c r="E110" s="30" t="str">
        <f ca="1">IFERROR(__xludf.DUMMYFUNCTION("""COMPUTED_VALUE"""),"")</f>
        <v/>
      </c>
      <c r="F110" s="29"/>
      <c r="G110" s="29"/>
      <c r="H110" s="30" t="str">
        <f ca="1">IFERROR(__xludf.DUMMYFUNCTION("""COMPUTED_VALUE"""),"activo")</f>
        <v>activo</v>
      </c>
      <c r="I110" s="29"/>
      <c r="J110" s="29"/>
      <c r="K110" s="29"/>
      <c r="L110" s="30" t="str">
        <f ca="1">IFERROR(__xludf.DUMMYFUNCTION("""COMPUTED_VALUE"""),"No")</f>
        <v>No</v>
      </c>
      <c r="M110" s="30" t="str">
        <f ca="1">IFERROR(__xludf.DUMMYFUNCTION("""COMPUTED_VALUE"""),"6270010004")</f>
        <v>6270010004</v>
      </c>
      <c r="N110" s="30" t="str">
        <f ca="1">IFERROR(__xludf.DUMMYFUNCTION("""COMPUTED_VALUE"""),"JOSE MARIA EZEIZA")</f>
        <v>JOSE MARIA EZEIZA</v>
      </c>
      <c r="O110" s="30" t="str">
        <f ca="1">IFERROR(__xludf.DUMMYFUNCTION("""COMPUTED_VALUE"""),"6270")</f>
        <v>6270</v>
      </c>
      <c r="P110" s="30" t="str">
        <f ca="1">IFERROR(__xludf.DUMMYFUNCTION("""COMPUTED_VALUE"""),"EZEIZA")</f>
        <v>EZEIZA</v>
      </c>
      <c r="Q110" s="30" t="str">
        <f ca="1">IFERROR(__xludf.DUMMYFUNCTION("""COMPUTED_VALUE"""),"-34.852951")</f>
        <v>-34.852951</v>
      </c>
      <c r="R110" s="30" t="str">
        <f ca="1">IFERROR(__xludf.DUMMYFUNCTION("""COMPUTED_VALUE"""),"-58.535761")</f>
        <v>-58.535761</v>
      </c>
      <c r="S110" s="30" t="str">
        <f ca="1">IFERROR(__xludf.DUMMYFUNCTION("""COMPUTED_VALUE"""),"Municipal")</f>
        <v>Municipal</v>
      </c>
      <c r="T110" s="30" t="str">
        <f ca="1">IFERROR(__xludf.DUMMYFUNCTION("""COMPUTED_VALUE"""),"EZEIZA")</f>
        <v>EZEIZA</v>
      </c>
    </row>
    <row r="111" spans="1:20" ht="15.75" customHeight="1" x14ac:dyDescent="0.25">
      <c r="A111" s="30" t="str">
        <f ca="1">IFERROR(__xludf.DUMMYFUNCTION("""COMPUTED_VALUE"""),"50060352202613")</f>
        <v>50060352202613</v>
      </c>
      <c r="B111" s="30" t="str">
        <f ca="1">IFERROR(__xludf.DUMMYFUNCTION("""COMPUTED_VALUE"""),"UNIDAD SANITARIA N° 4 DE AVELLANEDA")</f>
        <v>UNIDAD SANITARIA N° 4 DE AVELLANEDA</v>
      </c>
      <c r="C111" s="30" t="str">
        <f ca="1">IFERROR(__xludf.DUMMYFUNCTION("""COMPUTED_VALUE"""),"Buenos Aires")</f>
        <v>Buenos Aires</v>
      </c>
      <c r="D111" s="30" t="str">
        <f ca="1">IFERROR(__xludf.DUMMYFUNCTION("""COMPUTED_VALUE"""),"6")</f>
        <v>6</v>
      </c>
      <c r="E111" s="30" t="str">
        <f ca="1">IFERROR(__xludf.DUMMYFUNCTION("""COMPUTED_VALUE"""),"")</f>
        <v/>
      </c>
      <c r="F111" s="29"/>
      <c r="G111" s="29"/>
      <c r="H111" s="30" t="str">
        <f ca="1">IFERROR(__xludf.DUMMYFUNCTION("""COMPUTED_VALUE"""),"activo")</f>
        <v>activo</v>
      </c>
      <c r="I111" s="29"/>
      <c r="J111" s="29"/>
      <c r="K111" s="29"/>
      <c r="L111" s="30" t="str">
        <f ca="1">IFERROR(__xludf.DUMMYFUNCTION("""COMPUTED_VALUE"""),"No")</f>
        <v>No</v>
      </c>
      <c r="M111" s="30" t="str">
        <f ca="1">IFERROR(__xludf.DUMMYFUNCTION("""COMPUTED_VALUE"""),"6035010002")</f>
        <v>6035010002</v>
      </c>
      <c r="N111" s="30" t="str">
        <f ca="1">IFERROR(__xludf.DUMMYFUNCTION("""COMPUTED_VALUE"""),"AVELLANEDA")</f>
        <v>AVELLANEDA</v>
      </c>
      <c r="O111" s="30" t="str">
        <f ca="1">IFERROR(__xludf.DUMMYFUNCTION("""COMPUTED_VALUE"""),"635")</f>
        <v>635</v>
      </c>
      <c r="P111" s="30" t="str">
        <f ca="1">IFERROR(__xludf.DUMMYFUNCTION("""COMPUTED_VALUE"""),"AVELLANEDA")</f>
        <v>AVELLANEDA</v>
      </c>
      <c r="Q111" s="30" t="str">
        <f ca="1">IFERROR(__xludf.DUMMYFUNCTION("""COMPUTED_VALUE"""),"-34.65279352")</f>
        <v>-34.65279352</v>
      </c>
      <c r="R111" s="30" t="str">
        <f ca="1">IFERROR(__xludf.DUMMYFUNCTION("""COMPUTED_VALUE"""),"-58.36281681")</f>
        <v>-58.36281681</v>
      </c>
      <c r="S111" s="30" t="str">
        <f ca="1">IFERROR(__xludf.DUMMYFUNCTION("""COMPUTED_VALUE"""),"Municipal")</f>
        <v>Municipal</v>
      </c>
      <c r="T111" s="30" t="str">
        <f ca="1">IFERROR(__xludf.DUMMYFUNCTION("""COMPUTED_VALUE"""),"AVELLANEDA")</f>
        <v>AVELLANEDA</v>
      </c>
    </row>
    <row r="112" spans="1:20" ht="15.75" customHeight="1" x14ac:dyDescent="0.25">
      <c r="A112" s="30" t="str">
        <f ca="1">IFERROR(__xludf.DUMMYFUNCTION("""COMPUTED_VALUE"""),"50060352202674")</f>
        <v>50060352202674</v>
      </c>
      <c r="B112" s="30" t="str">
        <f ca="1">IFERROR(__xludf.DUMMYFUNCTION("""COMPUTED_VALUE"""),"UNIDAD SANITARIA N° 9 DE AVELLANEDA")</f>
        <v>UNIDAD SANITARIA N° 9 DE AVELLANEDA</v>
      </c>
      <c r="C112" s="30" t="str">
        <f ca="1">IFERROR(__xludf.DUMMYFUNCTION("""COMPUTED_VALUE"""),"Buenos Aires")</f>
        <v>Buenos Aires</v>
      </c>
      <c r="D112" s="30" t="str">
        <f ca="1">IFERROR(__xludf.DUMMYFUNCTION("""COMPUTED_VALUE"""),"6")</f>
        <v>6</v>
      </c>
      <c r="E112" s="30" t="str">
        <f ca="1">IFERROR(__xludf.DUMMYFUNCTION("""COMPUTED_VALUE"""),"")</f>
        <v/>
      </c>
      <c r="F112" s="29"/>
      <c r="G112" s="29"/>
      <c r="H112" s="30" t="str">
        <f ca="1">IFERROR(__xludf.DUMMYFUNCTION("""COMPUTED_VALUE"""),"activo")</f>
        <v>activo</v>
      </c>
      <c r="I112" s="29"/>
      <c r="J112" s="29"/>
      <c r="K112" s="29"/>
      <c r="L112" s="30" t="str">
        <f ca="1">IFERROR(__xludf.DUMMYFUNCTION("""COMPUTED_VALUE"""),"No")</f>
        <v>No</v>
      </c>
      <c r="M112" s="30" t="str">
        <f ca="1">IFERROR(__xludf.DUMMYFUNCTION("""COMPUTED_VALUE"""),"6035010002")</f>
        <v>6035010002</v>
      </c>
      <c r="N112" s="30" t="str">
        <f ca="1">IFERROR(__xludf.DUMMYFUNCTION("""COMPUTED_VALUE"""),"AVELLANEDA")</f>
        <v>AVELLANEDA</v>
      </c>
      <c r="O112" s="30" t="str">
        <f ca="1">IFERROR(__xludf.DUMMYFUNCTION("""COMPUTED_VALUE"""),"635")</f>
        <v>635</v>
      </c>
      <c r="P112" s="30" t="str">
        <f ca="1">IFERROR(__xludf.DUMMYFUNCTION("""COMPUTED_VALUE"""),"AVELLANEDA")</f>
        <v>AVELLANEDA</v>
      </c>
      <c r="Q112" s="30" t="str">
        <f ca="1">IFERROR(__xludf.DUMMYFUNCTION("""COMPUTED_VALUE"""),"-34.64004032")</f>
        <v>-34.64004032</v>
      </c>
      <c r="R112" s="30" t="str">
        <f ca="1">IFERROR(__xludf.DUMMYFUNCTION("""COMPUTED_VALUE"""),"-58.35434318")</f>
        <v>-58.35434318</v>
      </c>
      <c r="S112" s="30" t="str">
        <f ca="1">IFERROR(__xludf.DUMMYFUNCTION("""COMPUTED_VALUE"""),"Municipal")</f>
        <v>Municipal</v>
      </c>
      <c r="T112" s="30" t="str">
        <f ca="1">IFERROR(__xludf.DUMMYFUNCTION("""COMPUTED_VALUE"""),"AVELLANEDA")</f>
        <v>AVELLANEDA</v>
      </c>
    </row>
    <row r="113" spans="1:20" ht="15.75" customHeight="1" x14ac:dyDescent="0.25">
      <c r="A113" s="30" t="str">
        <f ca="1">IFERROR(__xludf.DUMMYFUNCTION("""COMPUTED_VALUE"""),"50060352201277")</f>
        <v>50060352201277</v>
      </c>
      <c r="B113" s="30" t="str">
        <f ca="1">IFERROR(__xludf.DUMMYFUNCTION("""COMPUTED_VALUE"""),"CENTRO DE SALUD N° 11 DE AVELLANEDA")</f>
        <v>CENTRO DE SALUD N° 11 DE AVELLANEDA</v>
      </c>
      <c r="C113" s="30" t="str">
        <f ca="1">IFERROR(__xludf.DUMMYFUNCTION("""COMPUTED_VALUE"""),"Buenos Aires")</f>
        <v>Buenos Aires</v>
      </c>
      <c r="D113" s="30" t="str">
        <f ca="1">IFERROR(__xludf.DUMMYFUNCTION("""COMPUTED_VALUE"""),"6")</f>
        <v>6</v>
      </c>
      <c r="E113" s="30" t="str">
        <f ca="1">IFERROR(__xludf.DUMMYFUNCTION("""COMPUTED_VALUE"""),"")</f>
        <v/>
      </c>
      <c r="F113" s="29"/>
      <c r="G113" s="29"/>
      <c r="H113" s="30" t="str">
        <f ca="1">IFERROR(__xludf.DUMMYFUNCTION("""COMPUTED_VALUE"""),"activo")</f>
        <v>activo</v>
      </c>
      <c r="I113" s="29"/>
      <c r="J113" s="29"/>
      <c r="K113" s="29"/>
      <c r="L113" s="30" t="str">
        <f ca="1">IFERROR(__xludf.DUMMYFUNCTION("""COMPUTED_VALUE"""),"No")</f>
        <v>No</v>
      </c>
      <c r="M113" s="30" t="str">
        <f ca="1">IFERROR(__xludf.DUMMYFUNCTION("""COMPUTED_VALUE"""),"6035010004")</f>
        <v>6035010004</v>
      </c>
      <c r="N113" s="30" t="str">
        <f ca="1">IFERROR(__xludf.DUMMYFUNCTION("""COMPUTED_VALUE"""),"DOCK SUD")</f>
        <v>DOCK SUD</v>
      </c>
      <c r="O113" s="30" t="str">
        <f ca="1">IFERROR(__xludf.DUMMYFUNCTION("""COMPUTED_VALUE"""),"635")</f>
        <v>635</v>
      </c>
      <c r="P113" s="30" t="str">
        <f ca="1">IFERROR(__xludf.DUMMYFUNCTION("""COMPUTED_VALUE"""),"AVELLANEDA")</f>
        <v>AVELLANEDA</v>
      </c>
      <c r="Q113" s="30" t="str">
        <f ca="1">IFERROR(__xludf.DUMMYFUNCTION("""COMPUTED_VALUE"""),"-34.695327")</f>
        <v>-34.695327</v>
      </c>
      <c r="R113" s="30" t="str">
        <f ca="1">IFERROR(__xludf.DUMMYFUNCTION("""COMPUTED_VALUE"""),"-58.350946")</f>
        <v>-58.350946</v>
      </c>
      <c r="S113" s="30" t="str">
        <f ca="1">IFERROR(__xludf.DUMMYFUNCTION("""COMPUTED_VALUE"""),"Municipal")</f>
        <v>Municipal</v>
      </c>
      <c r="T113" s="30" t="str">
        <f ca="1">IFERROR(__xludf.DUMMYFUNCTION("""COMPUTED_VALUE"""),"AVELLANEDA")</f>
        <v>AVELLANEDA</v>
      </c>
    </row>
    <row r="114" spans="1:20" ht="15.75" customHeight="1" x14ac:dyDescent="0.25">
      <c r="A114" s="30" t="str">
        <f ca="1">IFERROR(__xludf.DUMMYFUNCTION("""COMPUTED_VALUE"""),"50060352202073")</f>
        <v>50060352202073</v>
      </c>
      <c r="B114" s="30" t="str">
        <f ca="1">IFERROR(__xludf.DUMMYFUNCTION("""COMPUTED_VALUE"""),"UNIDAD SANITARIA BARRIO AGUERO DE AVELLANEDA")</f>
        <v>UNIDAD SANITARIA BARRIO AGUERO DE AVELLANEDA</v>
      </c>
      <c r="C114" s="30" t="str">
        <f ca="1">IFERROR(__xludf.DUMMYFUNCTION("""COMPUTED_VALUE"""),"Buenos Aires")</f>
        <v>Buenos Aires</v>
      </c>
      <c r="D114" s="30" t="str">
        <f ca="1">IFERROR(__xludf.DUMMYFUNCTION("""COMPUTED_VALUE"""),"6")</f>
        <v>6</v>
      </c>
      <c r="E114" s="30" t="str">
        <f ca="1">IFERROR(__xludf.DUMMYFUNCTION("""COMPUTED_VALUE"""),"")</f>
        <v/>
      </c>
      <c r="F114" s="29"/>
      <c r="G114" s="29"/>
      <c r="H114" s="30" t="str">
        <f ca="1">IFERROR(__xludf.DUMMYFUNCTION("""COMPUTED_VALUE"""),"activo")</f>
        <v>activo</v>
      </c>
      <c r="I114" s="29"/>
      <c r="J114" s="29"/>
      <c r="K114" s="29"/>
      <c r="L114" s="30" t="str">
        <f ca="1">IFERROR(__xludf.DUMMYFUNCTION("""COMPUTED_VALUE"""),"No")</f>
        <v>No</v>
      </c>
      <c r="M114" s="30" t="str">
        <f ca="1">IFERROR(__xludf.DUMMYFUNCTION("""COMPUTED_VALUE"""),"6035010002")</f>
        <v>6035010002</v>
      </c>
      <c r="N114" s="30" t="str">
        <f ca="1">IFERROR(__xludf.DUMMYFUNCTION("""COMPUTED_VALUE"""),"AVELLANEDA")</f>
        <v>AVELLANEDA</v>
      </c>
      <c r="O114" s="30" t="str">
        <f ca="1">IFERROR(__xludf.DUMMYFUNCTION("""COMPUTED_VALUE"""),"635")</f>
        <v>635</v>
      </c>
      <c r="P114" s="30" t="str">
        <f ca="1">IFERROR(__xludf.DUMMYFUNCTION("""COMPUTED_VALUE"""),"AVELLANEDA")</f>
        <v>AVELLANEDA</v>
      </c>
      <c r="Q114" s="30" t="str">
        <f ca="1">IFERROR(__xludf.DUMMYFUNCTION("""COMPUTED_VALUE"""),"-34.67530477")</f>
        <v>-34.67530477</v>
      </c>
      <c r="R114" s="30" t="str">
        <f ca="1">IFERROR(__xludf.DUMMYFUNCTION("""COMPUTED_VALUE"""),"-58.37350273")</f>
        <v>-58.37350273</v>
      </c>
      <c r="S114" s="30" t="str">
        <f ca="1">IFERROR(__xludf.DUMMYFUNCTION("""COMPUTED_VALUE"""),"Municipal")</f>
        <v>Municipal</v>
      </c>
      <c r="T114" s="30" t="str">
        <f ca="1">IFERROR(__xludf.DUMMYFUNCTION("""COMPUTED_VALUE"""),"AVELLANEDA")</f>
        <v>AVELLANEDA</v>
      </c>
    </row>
    <row r="115" spans="1:20" ht="15.75" customHeight="1" x14ac:dyDescent="0.25">
      <c r="A115" s="30" t="str">
        <f ca="1">IFERROR(__xludf.DUMMYFUNCTION("""COMPUTED_VALUE"""),"50065602202295")</f>
        <v>50065602202295</v>
      </c>
      <c r="B115" s="30" t="str">
        <f ca="1">IFERROR(__xludf.DUMMYFUNCTION("""COMPUTED_VALUE"""),"UNIDAD SANITARIA FLORENCIO MOLINA CAMPOS")</f>
        <v>UNIDAD SANITARIA FLORENCIO MOLINA CAMPOS</v>
      </c>
      <c r="C115" s="30" t="str">
        <f ca="1">IFERROR(__xludf.DUMMYFUNCTION("""COMPUTED_VALUE"""),"Buenos Aires")</f>
        <v>Buenos Aires</v>
      </c>
      <c r="D115" s="30" t="str">
        <f ca="1">IFERROR(__xludf.DUMMYFUNCTION("""COMPUTED_VALUE"""),"6")</f>
        <v>6</v>
      </c>
      <c r="E115" s="30" t="str">
        <f ca="1">IFERROR(__xludf.DUMMYFUNCTION("""COMPUTED_VALUE"""),"")</f>
        <v/>
      </c>
      <c r="F115" s="29"/>
      <c r="G115" s="29"/>
      <c r="H115" s="30" t="str">
        <f ca="1">IFERROR(__xludf.DUMMYFUNCTION("""COMPUTED_VALUE"""),"activo")</f>
        <v>activo</v>
      </c>
      <c r="I115" s="29"/>
      <c r="J115" s="29"/>
      <c r="K115" s="29"/>
      <c r="L115" s="30" t="str">
        <f ca="1">IFERROR(__xludf.DUMMYFUNCTION("""COMPUTED_VALUE"""),"No")</f>
        <v>No</v>
      </c>
      <c r="M115" s="30" t="str">
        <f ca="1">IFERROR(__xludf.DUMMYFUNCTION("""COMPUTED_VALUE"""),"6560010004")</f>
        <v>6560010004</v>
      </c>
      <c r="N115" s="30" t="str">
        <f ca="1">IFERROR(__xludf.DUMMYFUNCTION("""COMPUTED_VALUE"""),"MORENO")</f>
        <v>MORENO</v>
      </c>
      <c r="O115" s="30" t="str">
        <f ca="1">IFERROR(__xludf.DUMMYFUNCTION("""COMPUTED_VALUE"""),"6560")</f>
        <v>6560</v>
      </c>
      <c r="P115" s="30" t="str">
        <f ca="1">IFERROR(__xludf.DUMMYFUNCTION("""COMPUTED_VALUE"""),"MORENO")</f>
        <v>MORENO</v>
      </c>
      <c r="Q115" s="30" t="str">
        <f ca="1">IFERROR(__xludf.DUMMYFUNCTION("""COMPUTED_VALUE"""),"-34.5479777")</f>
        <v>-34.5479777</v>
      </c>
      <c r="R115" s="30" t="str">
        <f ca="1">IFERROR(__xludf.DUMMYFUNCTION("""COMPUTED_VALUE"""),"-58.8108077")</f>
        <v>-58.8108077</v>
      </c>
      <c r="S115" s="30" t="str">
        <f ca="1">IFERROR(__xludf.DUMMYFUNCTION("""COMPUTED_VALUE"""),"Municipal")</f>
        <v>Municipal</v>
      </c>
      <c r="T115" s="30" t="str">
        <f ca="1">IFERROR(__xludf.DUMMYFUNCTION("""COMPUTED_VALUE"""),"MORENO")</f>
        <v>MORENO</v>
      </c>
    </row>
    <row r="116" spans="1:20" ht="15.75" customHeight="1" x14ac:dyDescent="0.25">
      <c r="A116" s="30" t="str">
        <f ca="1">IFERROR(__xludf.DUMMYFUNCTION("""COMPUTED_VALUE"""),"50065602207544")</f>
        <v>50065602207544</v>
      </c>
      <c r="B116" s="30" t="str">
        <f ca="1">IFERROR(__xludf.DUMMYFUNCTION("""COMPUTED_VALUE"""),"CAPS CENTRO INTEGRADOR COMUNITARIO LA BIBIANA")</f>
        <v>CAPS CENTRO INTEGRADOR COMUNITARIO LA BIBIANA</v>
      </c>
      <c r="C116" s="30" t="str">
        <f ca="1">IFERROR(__xludf.DUMMYFUNCTION("""COMPUTED_VALUE"""),"Buenos Aires")</f>
        <v>Buenos Aires</v>
      </c>
      <c r="D116" s="30" t="str">
        <f ca="1">IFERROR(__xludf.DUMMYFUNCTION("""COMPUTED_VALUE"""),"6")</f>
        <v>6</v>
      </c>
      <c r="E116" s="30" t="str">
        <f ca="1">IFERROR(__xludf.DUMMYFUNCTION("""COMPUTED_VALUE"""),"")</f>
        <v/>
      </c>
      <c r="F116" s="29"/>
      <c r="G116" s="29"/>
      <c r="H116" s="30" t="str">
        <f ca="1">IFERROR(__xludf.DUMMYFUNCTION("""COMPUTED_VALUE"""),"activo")</f>
        <v>activo</v>
      </c>
      <c r="I116" s="29"/>
      <c r="J116" s="29"/>
      <c r="K116" s="29"/>
      <c r="L116" s="30" t="str">
        <f ca="1">IFERROR(__xludf.DUMMYFUNCTION("""COMPUTED_VALUE"""),"No")</f>
        <v>No</v>
      </c>
      <c r="M116" s="30" t="str">
        <f ca="1">IFERROR(__xludf.DUMMYFUNCTION("""COMPUTED_VALUE"""),"6560010004")</f>
        <v>6560010004</v>
      </c>
      <c r="N116" s="30" t="str">
        <f ca="1">IFERROR(__xludf.DUMMYFUNCTION("""COMPUTED_VALUE"""),"MORENO")</f>
        <v>MORENO</v>
      </c>
      <c r="O116" s="30" t="str">
        <f ca="1">IFERROR(__xludf.DUMMYFUNCTION("""COMPUTED_VALUE"""),"6560")</f>
        <v>6560</v>
      </c>
      <c r="P116" s="30" t="str">
        <f ca="1">IFERROR(__xludf.DUMMYFUNCTION("""COMPUTED_VALUE"""),"MORENO")</f>
        <v>MORENO</v>
      </c>
      <c r="Q116" s="30" t="str">
        <f ca="1">IFERROR(__xludf.DUMMYFUNCTION("""COMPUTED_VALUE"""),"-34.6134402")</f>
        <v>-34.6134402</v>
      </c>
      <c r="R116" s="30" t="str">
        <f ca="1">IFERROR(__xludf.DUMMYFUNCTION("""COMPUTED_VALUE"""),"-58.76955986")</f>
        <v>-58.76955986</v>
      </c>
      <c r="S116" s="30" t="str">
        <f ca="1">IFERROR(__xludf.DUMMYFUNCTION("""COMPUTED_VALUE"""),"Municipal")</f>
        <v>Municipal</v>
      </c>
      <c r="T116" s="30" t="str">
        <f ca="1">IFERROR(__xludf.DUMMYFUNCTION("""COMPUTED_VALUE"""),"MORENO")</f>
        <v>MORENO</v>
      </c>
    </row>
    <row r="117" spans="1:20" ht="15.75" customHeight="1" x14ac:dyDescent="0.25">
      <c r="A117" s="30" t="str">
        <f ca="1">IFERROR(__xludf.DUMMYFUNCTION("""COMPUTED_VALUE"""),"50065602202622")</f>
        <v>50065602202622</v>
      </c>
      <c r="B117" s="30" t="str">
        <f ca="1">IFERROR(__xludf.DUMMYFUNCTION("""COMPUTED_VALUE"""),"UNIDAD SANITARIA N° 4 LA FORTUNA DE MORENO")</f>
        <v>UNIDAD SANITARIA N° 4 LA FORTUNA DE MORENO</v>
      </c>
      <c r="C117" s="30" t="str">
        <f ca="1">IFERROR(__xludf.DUMMYFUNCTION("""COMPUTED_VALUE"""),"Buenos Aires")</f>
        <v>Buenos Aires</v>
      </c>
      <c r="D117" s="30" t="str">
        <f ca="1">IFERROR(__xludf.DUMMYFUNCTION("""COMPUTED_VALUE"""),"6")</f>
        <v>6</v>
      </c>
      <c r="E117" s="30" t="str">
        <f ca="1">IFERROR(__xludf.DUMMYFUNCTION("""COMPUTED_VALUE"""),"")</f>
        <v/>
      </c>
      <c r="F117" s="29"/>
      <c r="G117" s="29"/>
      <c r="H117" s="30" t="str">
        <f ca="1">IFERROR(__xludf.DUMMYFUNCTION("""COMPUTED_VALUE"""),"activo")</f>
        <v>activo</v>
      </c>
      <c r="I117" s="29"/>
      <c r="J117" s="29"/>
      <c r="K117" s="29"/>
      <c r="L117" s="30" t="str">
        <f ca="1">IFERROR(__xludf.DUMMYFUNCTION("""COMPUTED_VALUE"""),"No")</f>
        <v>No</v>
      </c>
      <c r="M117" s="30" t="str">
        <f ca="1">IFERROR(__xludf.DUMMYFUNCTION("""COMPUTED_VALUE"""),"6560010006")</f>
        <v>6560010006</v>
      </c>
      <c r="N117" s="30" t="str">
        <f ca="1">IFERROR(__xludf.DUMMYFUNCTION("""COMPUTED_VALUE"""),"TRUJUI")</f>
        <v>TRUJUI</v>
      </c>
      <c r="O117" s="30" t="str">
        <f ca="1">IFERROR(__xludf.DUMMYFUNCTION("""COMPUTED_VALUE"""),"6560")</f>
        <v>6560</v>
      </c>
      <c r="P117" s="30" t="str">
        <f ca="1">IFERROR(__xludf.DUMMYFUNCTION("""COMPUTED_VALUE"""),"MORENO")</f>
        <v>MORENO</v>
      </c>
      <c r="Q117" s="30" t="str">
        <f ca="1">IFERROR(__xludf.DUMMYFUNCTION("""COMPUTED_VALUE"""),"-34.58246")</f>
        <v>-34.58246</v>
      </c>
      <c r="R117" s="30" t="str">
        <f ca="1">IFERROR(__xludf.DUMMYFUNCTION("""COMPUTED_VALUE"""),"-58.757026")</f>
        <v>-58.757026</v>
      </c>
      <c r="S117" s="30" t="str">
        <f ca="1">IFERROR(__xludf.DUMMYFUNCTION("""COMPUTED_VALUE"""),"Municipal")</f>
        <v>Municipal</v>
      </c>
      <c r="T117" s="30" t="str">
        <f ca="1">IFERROR(__xludf.DUMMYFUNCTION("""COMPUTED_VALUE"""),"MORENO")</f>
        <v>MORENO</v>
      </c>
    </row>
    <row r="118" spans="1:20" ht="15.75" customHeight="1" x14ac:dyDescent="0.25">
      <c r="A118" s="30" t="str">
        <f ca="1">IFERROR(__xludf.DUMMYFUNCTION("""COMPUTED_VALUE"""),"50065602202155")</f>
        <v>50065602202155</v>
      </c>
      <c r="B118" s="30" t="str">
        <f ca="1">IFERROR(__xludf.DUMMYFUNCTION("""COMPUTED_VALUE"""),"UNIDAD SANITARIA BONGIOVANI")</f>
        <v>UNIDAD SANITARIA BONGIOVANI</v>
      </c>
      <c r="C118" s="30" t="str">
        <f ca="1">IFERROR(__xludf.DUMMYFUNCTION("""COMPUTED_VALUE"""),"Buenos Aires")</f>
        <v>Buenos Aires</v>
      </c>
      <c r="D118" s="30" t="str">
        <f ca="1">IFERROR(__xludf.DUMMYFUNCTION("""COMPUTED_VALUE"""),"6")</f>
        <v>6</v>
      </c>
      <c r="E118" s="30" t="str">
        <f ca="1">IFERROR(__xludf.DUMMYFUNCTION("""COMPUTED_VALUE"""),"")</f>
        <v/>
      </c>
      <c r="F118" s="29"/>
      <c r="G118" s="29"/>
      <c r="H118" s="30" t="str">
        <f ca="1">IFERROR(__xludf.DUMMYFUNCTION("""COMPUTED_VALUE"""),"activo")</f>
        <v>activo</v>
      </c>
      <c r="I118" s="29"/>
      <c r="J118" s="29"/>
      <c r="K118" s="29"/>
      <c r="L118" s="30" t="str">
        <f ca="1">IFERROR(__xludf.DUMMYFUNCTION("""COMPUTED_VALUE"""),"No")</f>
        <v>No</v>
      </c>
      <c r="M118" s="30" t="str">
        <f ca="1">IFERROR(__xludf.DUMMYFUNCTION("""COMPUTED_VALUE"""),"6560010005")</f>
        <v>6560010005</v>
      </c>
      <c r="N118" s="30" t="str">
        <f ca="1">IFERROR(__xludf.DUMMYFUNCTION("""COMPUTED_VALUE"""),"PASO DEL REY")</f>
        <v>PASO DEL REY</v>
      </c>
      <c r="O118" s="30" t="str">
        <f ca="1">IFERROR(__xludf.DUMMYFUNCTION("""COMPUTED_VALUE"""),"6560")</f>
        <v>6560</v>
      </c>
      <c r="P118" s="30" t="str">
        <f ca="1">IFERROR(__xludf.DUMMYFUNCTION("""COMPUTED_VALUE"""),"MORENO")</f>
        <v>MORENO</v>
      </c>
      <c r="Q118" s="30" t="str">
        <f ca="1">IFERROR(__xludf.DUMMYFUNCTION("""COMPUTED_VALUE"""),"-34.6249722")</f>
        <v>-34.6249722</v>
      </c>
      <c r="R118" s="30" t="str">
        <f ca="1">IFERROR(__xludf.DUMMYFUNCTION("""COMPUTED_VALUE"""),"-58.7470063")</f>
        <v>-58.7470063</v>
      </c>
      <c r="S118" s="30" t="str">
        <f ca="1">IFERROR(__xludf.DUMMYFUNCTION("""COMPUTED_VALUE"""),"Municipal")</f>
        <v>Municipal</v>
      </c>
      <c r="T118" s="30" t="str">
        <f ca="1">IFERROR(__xludf.DUMMYFUNCTION("""COMPUTED_VALUE"""),"MORENO")</f>
        <v>MORENO</v>
      </c>
    </row>
    <row r="119" spans="1:20" ht="15.75" customHeight="1" x14ac:dyDescent="0.25">
      <c r="A119" s="30" t="str">
        <f ca="1">IFERROR(__xludf.DUMMYFUNCTION("""COMPUTED_VALUE"""),"50068402201406")</f>
        <v>50068402201406</v>
      </c>
      <c r="B119" s="30" t="str">
        <f ca="1">IFERROR(__xludf.DUMMYFUNCTION("""COMPUTED_VALUE"""),"CENTRO MATERNO INFANTIL N° 2 LOMA HERMOSA DE TRES DE FEBRERO")</f>
        <v>CENTRO MATERNO INFANTIL N° 2 LOMA HERMOSA DE TRES DE FEBRERO</v>
      </c>
      <c r="C119" s="30" t="str">
        <f ca="1">IFERROR(__xludf.DUMMYFUNCTION("""COMPUTED_VALUE"""),"Buenos Aires")</f>
        <v>Buenos Aires</v>
      </c>
      <c r="D119" s="30" t="str">
        <f ca="1">IFERROR(__xludf.DUMMYFUNCTION("""COMPUTED_VALUE"""),"6")</f>
        <v>6</v>
      </c>
      <c r="E119" s="30" t="str">
        <f ca="1">IFERROR(__xludf.DUMMYFUNCTION("""COMPUTED_VALUE"""),"")</f>
        <v/>
      </c>
      <c r="F119" s="29"/>
      <c r="G119" s="29"/>
      <c r="H119" s="30" t="str">
        <f ca="1">IFERROR(__xludf.DUMMYFUNCTION("""COMPUTED_VALUE"""),"activo")</f>
        <v>activo</v>
      </c>
      <c r="I119" s="29"/>
      <c r="J119" s="29"/>
      <c r="K119" s="29"/>
      <c r="L119" s="30" t="str">
        <f ca="1">IFERROR(__xludf.DUMMYFUNCTION("""COMPUTED_VALUE"""),"No")</f>
        <v>No</v>
      </c>
      <c r="M119" s="30" t="str">
        <f ca="1">IFERROR(__xludf.DUMMYFUNCTION("""COMPUTED_VALUE"""),"6840010007")</f>
        <v>6840010007</v>
      </c>
      <c r="N119" s="30" t="str">
        <f ca="1">IFERROR(__xludf.DUMMYFUNCTION("""COMPUTED_VALUE"""),"LOMA HERMOSA")</f>
        <v>LOMA HERMOSA</v>
      </c>
      <c r="O119" s="30" t="str">
        <f ca="1">IFERROR(__xludf.DUMMYFUNCTION("""COMPUTED_VALUE"""),"6840")</f>
        <v>6840</v>
      </c>
      <c r="P119" s="30" t="str">
        <f ca="1">IFERROR(__xludf.DUMMYFUNCTION("""COMPUTED_VALUE"""),"TRES DE FEBRERO")</f>
        <v>TRES DE FEBRERO</v>
      </c>
      <c r="Q119" s="30" t="str">
        <f ca="1">IFERROR(__xludf.DUMMYFUNCTION("""COMPUTED_VALUE"""),"-34.56306732")</f>
        <v>-34.56306732</v>
      </c>
      <c r="R119" s="30" t="str">
        <f ca="1">IFERROR(__xludf.DUMMYFUNCTION("""COMPUTED_VALUE"""),"-58.61307764")</f>
        <v>-58.61307764</v>
      </c>
      <c r="S119" s="30" t="str">
        <f ca="1">IFERROR(__xludf.DUMMYFUNCTION("""COMPUTED_VALUE"""),"Municipal")</f>
        <v>Municipal</v>
      </c>
      <c r="T119" s="30" t="str">
        <f ca="1">IFERROR(__xludf.DUMMYFUNCTION("""COMPUTED_VALUE"""),"TRES DE FEBRERO")</f>
        <v>TRES DE FEBRERO</v>
      </c>
    </row>
    <row r="120" spans="1:20" ht="15.75" customHeight="1" x14ac:dyDescent="0.25">
      <c r="A120" s="30" t="str">
        <f ca="1">IFERROR(__xludf.DUMMYFUNCTION("""COMPUTED_VALUE"""),"50068402202621")</f>
        <v>50068402202621</v>
      </c>
      <c r="B120" s="30" t="str">
        <f ca="1">IFERROR(__xludf.DUMMYFUNCTION("""COMPUTED_VALUE"""),"UNIDAD SANITARIA N° 4 DE VILLA BOSCH")</f>
        <v>UNIDAD SANITARIA N° 4 DE VILLA BOSCH</v>
      </c>
      <c r="C120" s="30" t="str">
        <f ca="1">IFERROR(__xludf.DUMMYFUNCTION("""COMPUTED_VALUE"""),"Buenos Aires")</f>
        <v>Buenos Aires</v>
      </c>
      <c r="D120" s="30" t="str">
        <f ca="1">IFERROR(__xludf.DUMMYFUNCTION("""COMPUTED_VALUE"""),"6")</f>
        <v>6</v>
      </c>
      <c r="E120" s="30" t="str">
        <f ca="1">IFERROR(__xludf.DUMMYFUNCTION("""COMPUTED_VALUE"""),"")</f>
        <v/>
      </c>
      <c r="F120" s="29"/>
      <c r="G120" s="29"/>
      <c r="H120" s="30" t="str">
        <f ca="1">IFERROR(__xludf.DUMMYFUNCTION("""COMPUTED_VALUE"""),"activo")</f>
        <v>activo</v>
      </c>
      <c r="I120" s="29"/>
      <c r="J120" s="29"/>
      <c r="K120" s="29"/>
      <c r="L120" s="30" t="str">
        <f ca="1">IFERROR(__xludf.DUMMYFUNCTION("""COMPUTED_VALUE"""),"No")</f>
        <v>No</v>
      </c>
      <c r="M120" s="30" t="str">
        <f ca="1">IFERROR(__xludf.DUMMYFUNCTION("""COMPUTED_VALUE"""),"6840010014")</f>
        <v>6840010014</v>
      </c>
      <c r="N120" s="30" t="str">
        <f ca="1">IFERROR(__xludf.DUMMYFUNCTION("""COMPUTED_VALUE"""),"VILLA BOSCH (EST. JUAN MARIA BOSCH)")</f>
        <v>VILLA BOSCH (EST. JUAN MARIA BOSCH)</v>
      </c>
      <c r="O120" s="30" t="str">
        <f ca="1">IFERROR(__xludf.DUMMYFUNCTION("""COMPUTED_VALUE"""),"6840")</f>
        <v>6840</v>
      </c>
      <c r="P120" s="30" t="str">
        <f ca="1">IFERROR(__xludf.DUMMYFUNCTION("""COMPUTED_VALUE"""),"TRES DE FEBRERO")</f>
        <v>TRES DE FEBRERO</v>
      </c>
      <c r="Q120" s="30" t="str">
        <f ca="1">IFERROR(__xludf.DUMMYFUNCTION("""COMPUTED_VALUE"""),"-34.5866878")</f>
        <v>-34.5866878</v>
      </c>
      <c r="R120" s="30" t="str">
        <f ca="1">IFERROR(__xludf.DUMMYFUNCTION("""COMPUTED_VALUE"""),"-58.5778531")</f>
        <v>-58.5778531</v>
      </c>
      <c r="S120" s="30" t="str">
        <f ca="1">IFERROR(__xludf.DUMMYFUNCTION("""COMPUTED_VALUE"""),"Municipal")</f>
        <v>Municipal</v>
      </c>
      <c r="T120" s="30" t="str">
        <f ca="1">IFERROR(__xludf.DUMMYFUNCTION("""COMPUTED_VALUE"""),"TRES DE FEBRERO")</f>
        <v>TRES DE FEBRERO</v>
      </c>
    </row>
    <row r="121" spans="1:20" ht="15.75" customHeight="1" x14ac:dyDescent="0.25">
      <c r="A121" s="30" t="str">
        <f ca="1">IFERROR(__xludf.DUMMYFUNCTION("""COMPUTED_VALUE"""),"50068402202638")</f>
        <v>50068402202638</v>
      </c>
      <c r="B121" s="30" t="str">
        <f ca="1">IFERROR(__xludf.DUMMYFUNCTION("""COMPUTED_VALUE"""),"UNIDAD SANITARIA N° 5 JONAS SALK DE LOMA HERMOSA")</f>
        <v>UNIDAD SANITARIA N° 5 JONAS SALK DE LOMA HERMOSA</v>
      </c>
      <c r="C121" s="30" t="str">
        <f ca="1">IFERROR(__xludf.DUMMYFUNCTION("""COMPUTED_VALUE"""),"Buenos Aires")</f>
        <v>Buenos Aires</v>
      </c>
      <c r="D121" s="30" t="str">
        <f ca="1">IFERROR(__xludf.DUMMYFUNCTION("""COMPUTED_VALUE"""),"6")</f>
        <v>6</v>
      </c>
      <c r="E121" s="30" t="str">
        <f ca="1">IFERROR(__xludf.DUMMYFUNCTION("""COMPUTED_VALUE"""),"")</f>
        <v/>
      </c>
      <c r="F121" s="29"/>
      <c r="G121" s="29"/>
      <c r="H121" s="30" t="str">
        <f ca="1">IFERROR(__xludf.DUMMYFUNCTION("""COMPUTED_VALUE"""),"activo")</f>
        <v>activo</v>
      </c>
      <c r="I121" s="29"/>
      <c r="J121" s="29"/>
      <c r="K121" s="29"/>
      <c r="L121" s="30" t="str">
        <f ca="1">IFERROR(__xludf.DUMMYFUNCTION("""COMPUTED_VALUE"""),"No")</f>
        <v>No</v>
      </c>
      <c r="M121" s="30" t="str">
        <f ca="1">IFERROR(__xludf.DUMMYFUNCTION("""COMPUTED_VALUE"""),"6840010007")</f>
        <v>6840010007</v>
      </c>
      <c r="N121" s="30" t="str">
        <f ca="1">IFERROR(__xludf.DUMMYFUNCTION("""COMPUTED_VALUE"""),"LOMA HERMOSA")</f>
        <v>LOMA HERMOSA</v>
      </c>
      <c r="O121" s="30" t="str">
        <f ca="1">IFERROR(__xludf.DUMMYFUNCTION("""COMPUTED_VALUE"""),"6840")</f>
        <v>6840</v>
      </c>
      <c r="P121" s="30" t="str">
        <f ca="1">IFERROR(__xludf.DUMMYFUNCTION("""COMPUTED_VALUE"""),"TRES DE FEBRERO")</f>
        <v>TRES DE FEBRERO</v>
      </c>
      <c r="Q121" s="30" t="str">
        <f ca="1">IFERROR(__xludf.DUMMYFUNCTION("""COMPUTED_VALUE"""),"-34.56529376")</f>
        <v>-34.56529376</v>
      </c>
      <c r="R121" s="30" t="str">
        <f ca="1">IFERROR(__xludf.DUMMYFUNCTION("""COMPUTED_VALUE"""),"-58.61368918")</f>
        <v>-58.61368918</v>
      </c>
      <c r="S121" s="30" t="str">
        <f ca="1">IFERROR(__xludf.DUMMYFUNCTION("""COMPUTED_VALUE"""),"Municipal")</f>
        <v>Municipal</v>
      </c>
      <c r="T121" s="30" t="str">
        <f ca="1">IFERROR(__xludf.DUMMYFUNCTION("""COMPUTED_VALUE"""),"TRES DE FEBRERO")</f>
        <v>TRES DE FEBRERO</v>
      </c>
    </row>
    <row r="122" spans="1:20" ht="15.75" customHeight="1" x14ac:dyDescent="0.25">
      <c r="A122" s="30" t="str">
        <f ca="1">IFERROR(__xludf.DUMMYFUNCTION("""COMPUTED_VALUE"""),"50068402202643")</f>
        <v>50068402202643</v>
      </c>
      <c r="B122" s="30" t="str">
        <f ca="1">IFERROR(__xludf.DUMMYFUNCTION("""COMPUTED_VALUE"""),"UNIDAD SANITARIA N° 6 DE CASEROS")</f>
        <v>UNIDAD SANITARIA N° 6 DE CASEROS</v>
      </c>
      <c r="C122" s="30" t="str">
        <f ca="1">IFERROR(__xludf.DUMMYFUNCTION("""COMPUTED_VALUE"""),"Buenos Aires")</f>
        <v>Buenos Aires</v>
      </c>
      <c r="D122" s="30" t="str">
        <f ca="1">IFERROR(__xludf.DUMMYFUNCTION("""COMPUTED_VALUE"""),"6")</f>
        <v>6</v>
      </c>
      <c r="E122" s="30" t="str">
        <f ca="1">IFERROR(__xludf.DUMMYFUNCTION("""COMPUTED_VALUE"""),"")</f>
        <v/>
      </c>
      <c r="F122" s="29"/>
      <c r="G122" s="29"/>
      <c r="H122" s="30" t="str">
        <f ca="1">IFERROR(__xludf.DUMMYFUNCTION("""COMPUTED_VALUE"""),"inactivo")</f>
        <v>inactivo</v>
      </c>
      <c r="I122" s="29"/>
      <c r="J122" s="29"/>
      <c r="K122" s="29"/>
      <c r="L122" s="30" t="str">
        <f ca="1">IFERROR(__xludf.DUMMYFUNCTION("""COMPUTED_VALUE"""),"No")</f>
        <v>No</v>
      </c>
      <c r="M122" s="30" t="str">
        <f ca="1">IFERROR(__xludf.DUMMYFUNCTION("""COMPUTED_VALUE"""),"6840010001")</f>
        <v>6840010001</v>
      </c>
      <c r="N122" s="30" t="str">
        <f ca="1">IFERROR(__xludf.DUMMYFUNCTION("""COMPUTED_VALUE"""),"CASEROS")</f>
        <v>CASEROS</v>
      </c>
      <c r="O122" s="30" t="str">
        <f ca="1">IFERROR(__xludf.DUMMYFUNCTION("""COMPUTED_VALUE"""),"6840")</f>
        <v>6840</v>
      </c>
      <c r="P122" s="30" t="str">
        <f ca="1">IFERROR(__xludf.DUMMYFUNCTION("""COMPUTED_VALUE"""),"TRES DE FEBRERO")</f>
        <v>TRES DE FEBRERO</v>
      </c>
      <c r="Q122" s="30" t="str">
        <f ca="1">IFERROR(__xludf.DUMMYFUNCTION("""COMPUTED_VALUE"""),"-34.61878121")</f>
        <v>-34.61878121</v>
      </c>
      <c r="R122" s="30" t="str">
        <f ca="1">IFERROR(__xludf.DUMMYFUNCTION("""COMPUTED_VALUE"""),"-58.55380082")</f>
        <v>-58.55380082</v>
      </c>
      <c r="S122" s="30" t="str">
        <f ca="1">IFERROR(__xludf.DUMMYFUNCTION("""COMPUTED_VALUE"""),"Municipal")</f>
        <v>Municipal</v>
      </c>
      <c r="T122" s="30" t="str">
        <f ca="1">IFERROR(__xludf.DUMMYFUNCTION("""COMPUTED_VALUE"""),"TRES DE FEBRERO")</f>
        <v>TRES DE FEBRERO</v>
      </c>
    </row>
    <row r="123" spans="1:20" ht="15.75" customHeight="1" x14ac:dyDescent="0.25">
      <c r="A123" s="30" t="str">
        <f ca="1">IFERROR(__xludf.DUMMYFUNCTION("""COMPUTED_VALUE"""),"50064102201631")</f>
        <v>50064102201631</v>
      </c>
      <c r="B123" s="30" t="str">
        <f ca="1">IFERROR(__xludf.DUMMYFUNCTION("""COMPUTED_VALUE"""),"HOSPITAL DE ALTA COMPLEJIDAD DEL BICENTENARIO -ITUZAINGO- INSSJP")</f>
        <v>HOSPITAL DE ALTA COMPLEJIDAD DEL BICENTENARIO -ITUZAINGO- INSSJP</v>
      </c>
      <c r="C123" s="30" t="str">
        <f ca="1">IFERROR(__xludf.DUMMYFUNCTION("""COMPUTED_VALUE"""),"Buenos Aires")</f>
        <v>Buenos Aires</v>
      </c>
      <c r="D123" s="30" t="str">
        <f ca="1">IFERROR(__xludf.DUMMYFUNCTION("""COMPUTED_VALUE"""),"6")</f>
        <v>6</v>
      </c>
      <c r="E123" s="30" t="str">
        <f ca="1">IFERROR(__xludf.DUMMYFUNCTION("""COMPUTED_VALUE"""),"")</f>
        <v/>
      </c>
      <c r="F123" s="29"/>
      <c r="G123" s="29"/>
      <c r="H123" s="30" t="str">
        <f ca="1">IFERROR(__xludf.DUMMYFUNCTION("""COMPUTED_VALUE"""),"activo")</f>
        <v>activo</v>
      </c>
      <c r="I123" s="29"/>
      <c r="J123" s="29"/>
      <c r="K123" s="29"/>
      <c r="L123" s="30" t="str">
        <f ca="1">IFERROR(__xludf.DUMMYFUNCTION("""COMPUTED_VALUE"""),"No")</f>
        <v>No</v>
      </c>
      <c r="M123" s="30" t="str">
        <f ca="1">IFERROR(__xludf.DUMMYFUNCTION("""COMPUTED_VALUE"""),"6410010002")</f>
        <v>6410010002</v>
      </c>
      <c r="N123" s="30" t="str">
        <f ca="1">IFERROR(__xludf.DUMMYFUNCTION("""COMPUTED_VALUE"""),"ITUZAINGO SUR")</f>
        <v>ITUZAINGO SUR</v>
      </c>
      <c r="O123" s="30" t="str">
        <f ca="1">IFERROR(__xludf.DUMMYFUNCTION("""COMPUTED_VALUE"""),"6410")</f>
        <v>6410</v>
      </c>
      <c r="P123" s="30" t="str">
        <f ca="1">IFERROR(__xludf.DUMMYFUNCTION("""COMPUTED_VALUE"""),"ITUZAINGÓ")</f>
        <v>ITUZAINGÓ</v>
      </c>
      <c r="Q123" s="30" t="str">
        <f ca="1">IFERROR(__xludf.DUMMYFUNCTION("""COMPUTED_VALUE"""),"-34.63105303")</f>
        <v>-34.63105303</v>
      </c>
      <c r="R123" s="30" t="str">
        <f ca="1">IFERROR(__xludf.DUMMYFUNCTION("""COMPUTED_VALUE"""),"-58.70080733")</f>
        <v>-58.70080733</v>
      </c>
      <c r="S123" s="30" t="str">
        <f ca="1">IFERROR(__xludf.DUMMYFUNCTION("""COMPUTED_VALUE"""),"Nacional")</f>
        <v>Nacional</v>
      </c>
      <c r="T123" s="30" t="str">
        <f ca="1">IFERROR(__xludf.DUMMYFUNCTION("""COMPUTED_VALUE"""),"ITUZAINGÓ")</f>
        <v>ITUZAINGÓ</v>
      </c>
    </row>
    <row r="124" spans="1:20" ht="15.75" customHeight="1" x14ac:dyDescent="0.25">
      <c r="A124" s="30" t="str">
        <f ca="1">IFERROR(__xludf.DUMMYFUNCTION("""COMPUTED_VALUE"""),"50064102202338")</f>
        <v>50064102202338</v>
      </c>
      <c r="B124" s="30" t="str">
        <f ca="1">IFERROR(__xludf.DUMMYFUNCTION("""COMPUTED_VALUE"""),"UNIDAD SANITARIA ITUZAINGO SUR")</f>
        <v>UNIDAD SANITARIA ITUZAINGO SUR</v>
      </c>
      <c r="C124" s="30" t="str">
        <f ca="1">IFERROR(__xludf.DUMMYFUNCTION("""COMPUTED_VALUE"""),"Buenos Aires")</f>
        <v>Buenos Aires</v>
      </c>
      <c r="D124" s="30" t="str">
        <f ca="1">IFERROR(__xludf.DUMMYFUNCTION("""COMPUTED_VALUE"""),"6")</f>
        <v>6</v>
      </c>
      <c r="E124" s="30" t="str">
        <f ca="1">IFERROR(__xludf.DUMMYFUNCTION("""COMPUTED_VALUE"""),"")</f>
        <v/>
      </c>
      <c r="F124" s="29"/>
      <c r="G124" s="29"/>
      <c r="H124" s="30" t="str">
        <f ca="1">IFERROR(__xludf.DUMMYFUNCTION("""COMPUTED_VALUE"""),"activo")</f>
        <v>activo</v>
      </c>
      <c r="I124" s="29"/>
      <c r="J124" s="29"/>
      <c r="K124" s="29"/>
      <c r="L124" s="30" t="str">
        <f ca="1">IFERROR(__xludf.DUMMYFUNCTION("""COMPUTED_VALUE"""),"No")</f>
        <v>No</v>
      </c>
      <c r="M124" s="30" t="str">
        <f ca="1">IFERROR(__xludf.DUMMYFUNCTION("""COMPUTED_VALUE"""),"6410010002")</f>
        <v>6410010002</v>
      </c>
      <c r="N124" s="30" t="str">
        <f ca="1">IFERROR(__xludf.DUMMYFUNCTION("""COMPUTED_VALUE"""),"ITUZAINGO SUR")</f>
        <v>ITUZAINGO SUR</v>
      </c>
      <c r="O124" s="30" t="str">
        <f ca="1">IFERROR(__xludf.DUMMYFUNCTION("""COMPUTED_VALUE"""),"6410")</f>
        <v>6410</v>
      </c>
      <c r="P124" s="30" t="str">
        <f ca="1">IFERROR(__xludf.DUMMYFUNCTION("""COMPUTED_VALUE"""),"ITUZAINGÓ")</f>
        <v>ITUZAINGÓ</v>
      </c>
      <c r="Q124" s="30" t="str">
        <f ca="1">IFERROR(__xludf.DUMMYFUNCTION("""COMPUTED_VALUE"""),"-34.670443")</f>
        <v>-34.670443</v>
      </c>
      <c r="R124" s="30" t="str">
        <f ca="1">IFERROR(__xludf.DUMMYFUNCTION("""COMPUTED_VALUE"""),"-58.679178")</f>
        <v>-58.679178</v>
      </c>
      <c r="S124" s="30" t="str">
        <f ca="1">IFERROR(__xludf.DUMMYFUNCTION("""COMPUTED_VALUE"""),"Municipal")</f>
        <v>Municipal</v>
      </c>
      <c r="T124" s="30" t="str">
        <f ca="1">IFERROR(__xludf.DUMMYFUNCTION("""COMPUTED_VALUE"""),"ITUZAINGÓ")</f>
        <v>ITUZAINGÓ</v>
      </c>
    </row>
    <row r="125" spans="1:20" ht="15.75" customHeight="1" x14ac:dyDescent="0.25">
      <c r="A125" s="30" t="str">
        <f ca="1">IFERROR(__xludf.DUMMYFUNCTION("""COMPUTED_VALUE"""),"50064102202923")</f>
        <v>50064102202923</v>
      </c>
      <c r="B125" s="30" t="str">
        <f ca="1">IFERROR(__xludf.DUMMYFUNCTION("""COMPUTED_VALUE"""),"UNIDAD SANITARIA 17 DE OCTUBRE DE ITUZAINGO")</f>
        <v>UNIDAD SANITARIA 17 DE OCTUBRE DE ITUZAINGO</v>
      </c>
      <c r="C125" s="30" t="str">
        <f ca="1">IFERROR(__xludf.DUMMYFUNCTION("""COMPUTED_VALUE"""),"Buenos Aires")</f>
        <v>Buenos Aires</v>
      </c>
      <c r="D125" s="30" t="str">
        <f ca="1">IFERROR(__xludf.DUMMYFUNCTION("""COMPUTED_VALUE"""),"6")</f>
        <v>6</v>
      </c>
      <c r="E125" s="30" t="str">
        <f ca="1">IFERROR(__xludf.DUMMYFUNCTION("""COMPUTED_VALUE"""),"")</f>
        <v/>
      </c>
      <c r="F125" s="29"/>
      <c r="G125" s="29"/>
      <c r="H125" s="30" t="str">
        <f ca="1">IFERROR(__xludf.DUMMYFUNCTION("""COMPUTED_VALUE"""),"activo")</f>
        <v>activo</v>
      </c>
      <c r="I125" s="29"/>
      <c r="J125" s="29"/>
      <c r="K125" s="29"/>
      <c r="L125" s="30" t="str">
        <f ca="1">IFERROR(__xludf.DUMMYFUNCTION("""COMPUTED_VALUE"""),"No")</f>
        <v>No</v>
      </c>
      <c r="M125" s="30" t="str">
        <f ca="1">IFERROR(__xludf.DUMMYFUNCTION("""COMPUTED_VALUE"""),"6410010003")</f>
        <v>6410010003</v>
      </c>
      <c r="N125" s="30" t="str">
        <f ca="1">IFERROR(__xludf.DUMMYFUNCTION("""COMPUTED_VALUE"""),"VILLA GOBERNADOR UDAONDO")</f>
        <v>VILLA GOBERNADOR UDAONDO</v>
      </c>
      <c r="O125" s="30" t="str">
        <f ca="1">IFERROR(__xludf.DUMMYFUNCTION("""COMPUTED_VALUE"""),"6410")</f>
        <v>6410</v>
      </c>
      <c r="P125" s="30" t="str">
        <f ca="1">IFERROR(__xludf.DUMMYFUNCTION("""COMPUTED_VALUE"""),"ITUZAINGÓ")</f>
        <v>ITUZAINGÓ</v>
      </c>
      <c r="Q125" s="30" t="str">
        <f ca="1">IFERROR(__xludf.DUMMYFUNCTION("""COMPUTED_VALUE"""),"-34.601046")</f>
        <v>-34.601046</v>
      </c>
      <c r="R125" s="30" t="str">
        <f ca="1">IFERROR(__xludf.DUMMYFUNCTION("""COMPUTED_VALUE"""),"-58.688582")</f>
        <v>-58.688582</v>
      </c>
      <c r="S125" s="30" t="str">
        <f ca="1">IFERROR(__xludf.DUMMYFUNCTION("""COMPUTED_VALUE"""),"Municipal")</f>
        <v>Municipal</v>
      </c>
      <c r="T125" s="30" t="str">
        <f ca="1">IFERROR(__xludf.DUMMYFUNCTION("""COMPUTED_VALUE"""),"ITUZAINGÓ")</f>
        <v>ITUZAINGÓ</v>
      </c>
    </row>
    <row r="126" spans="1:20" ht="15.75" customHeight="1" x14ac:dyDescent="0.25">
      <c r="A126" s="30" t="str">
        <f ca="1">IFERROR(__xludf.DUMMYFUNCTION("""COMPUTED_VALUE"""),"50064102202770")</f>
        <v>50064102202770</v>
      </c>
      <c r="B126" s="30" t="str">
        <f ca="1">IFERROR(__xludf.DUMMYFUNCTION("""COMPUTED_VALUE"""),"UNIDAD SANITARIA SAN ALBERTO")</f>
        <v>UNIDAD SANITARIA SAN ALBERTO</v>
      </c>
      <c r="C126" s="30" t="str">
        <f ca="1">IFERROR(__xludf.DUMMYFUNCTION("""COMPUTED_VALUE"""),"Buenos Aires")</f>
        <v>Buenos Aires</v>
      </c>
      <c r="D126" s="30" t="str">
        <f ca="1">IFERROR(__xludf.DUMMYFUNCTION("""COMPUTED_VALUE"""),"6")</f>
        <v>6</v>
      </c>
      <c r="E126" s="30" t="str">
        <f ca="1">IFERROR(__xludf.DUMMYFUNCTION("""COMPUTED_VALUE"""),"")</f>
        <v/>
      </c>
      <c r="F126" s="29"/>
      <c r="G126" s="29"/>
      <c r="H126" s="30" t="str">
        <f ca="1">IFERROR(__xludf.DUMMYFUNCTION("""COMPUTED_VALUE"""),"activo")</f>
        <v>activo</v>
      </c>
      <c r="I126" s="29"/>
      <c r="J126" s="29"/>
      <c r="K126" s="29"/>
      <c r="L126" s="30" t="str">
        <f ca="1">IFERROR(__xludf.DUMMYFUNCTION("""COMPUTED_VALUE"""),"No")</f>
        <v>No</v>
      </c>
      <c r="M126" s="30" t="str">
        <f ca="1">IFERROR(__xludf.DUMMYFUNCTION("""COMPUTED_VALUE"""),"6410010002")</f>
        <v>6410010002</v>
      </c>
      <c r="N126" s="30" t="str">
        <f ca="1">IFERROR(__xludf.DUMMYFUNCTION("""COMPUTED_VALUE"""),"ITUZAINGO SUR")</f>
        <v>ITUZAINGO SUR</v>
      </c>
      <c r="O126" s="30" t="str">
        <f ca="1">IFERROR(__xludf.DUMMYFUNCTION("""COMPUTED_VALUE"""),"6410")</f>
        <v>6410</v>
      </c>
      <c r="P126" s="30" t="str">
        <f ca="1">IFERROR(__xludf.DUMMYFUNCTION("""COMPUTED_VALUE"""),"ITUZAINGÓ")</f>
        <v>ITUZAINGÓ</v>
      </c>
      <c r="Q126" s="30" t="str">
        <f ca="1">IFERROR(__xludf.DUMMYFUNCTION("""COMPUTED_VALUE"""),"-34.64800104")</f>
        <v>-34.64800104</v>
      </c>
      <c r="R126" s="30" t="str">
        <f ca="1">IFERROR(__xludf.DUMMYFUNCTION("""COMPUTED_VALUE"""),"-58.70531344")</f>
        <v>-58.70531344</v>
      </c>
      <c r="S126" s="30" t="str">
        <f ca="1">IFERROR(__xludf.DUMMYFUNCTION("""COMPUTED_VALUE"""),"Municipal")</f>
        <v>Municipal</v>
      </c>
      <c r="T126" s="30" t="str">
        <f ca="1">IFERROR(__xludf.DUMMYFUNCTION("""COMPUTED_VALUE"""),"ITUZAINGÓ")</f>
        <v>ITUZAINGÓ</v>
      </c>
    </row>
    <row r="127" spans="1:20" ht="15.75" customHeight="1" x14ac:dyDescent="0.25">
      <c r="A127" s="30" t="str">
        <f ca="1">IFERROR(__xludf.DUMMYFUNCTION("""COMPUTED_VALUE"""),"50065682202239")</f>
        <v>50065682202239</v>
      </c>
      <c r="B127" s="30" t="str">
        <f ca="1">IFERROR(__xludf.DUMMYFUNCTION("""COMPUTED_VALUE"""),"UNIDAD SANITARIA DR. MONTE")</f>
        <v>UNIDAD SANITARIA DR. MONTE</v>
      </c>
      <c r="C127" s="30" t="str">
        <f ca="1">IFERROR(__xludf.DUMMYFUNCTION("""COMPUTED_VALUE"""),"Buenos Aires")</f>
        <v>Buenos Aires</v>
      </c>
      <c r="D127" s="30" t="str">
        <f ca="1">IFERROR(__xludf.DUMMYFUNCTION("""COMPUTED_VALUE"""),"6")</f>
        <v>6</v>
      </c>
      <c r="E127" s="30" t="str">
        <f ca="1">IFERROR(__xludf.DUMMYFUNCTION("""COMPUTED_VALUE"""),"")</f>
        <v/>
      </c>
      <c r="F127" s="29"/>
      <c r="G127" s="29"/>
      <c r="H127" s="30" t="str">
        <f ca="1">IFERROR(__xludf.DUMMYFUNCTION("""COMPUTED_VALUE"""),"activo")</f>
        <v>activo</v>
      </c>
      <c r="I127" s="29"/>
      <c r="J127" s="29"/>
      <c r="K127" s="29"/>
      <c r="L127" s="30" t="str">
        <f ca="1">IFERROR(__xludf.DUMMYFUNCTION("""COMPUTED_VALUE"""),"No")</f>
        <v>No</v>
      </c>
      <c r="M127" s="30" t="str">
        <f ca="1">IFERROR(__xludf.DUMMYFUNCTION("""COMPUTED_VALUE"""),"6568010004")</f>
        <v>6568010004</v>
      </c>
      <c r="N127" s="30" t="str">
        <f ca="1">IFERROR(__xludf.DUMMYFUNCTION("""COMPUTED_VALUE"""),"MORON")</f>
        <v>MORON</v>
      </c>
      <c r="O127" s="30" t="str">
        <f ca="1">IFERROR(__xludf.DUMMYFUNCTION("""COMPUTED_VALUE"""),"6568")</f>
        <v>6568</v>
      </c>
      <c r="P127" s="30" t="str">
        <f ca="1">IFERROR(__xludf.DUMMYFUNCTION("""COMPUTED_VALUE"""),"MORÓN")</f>
        <v>MORÓN</v>
      </c>
      <c r="Q127" s="30" t="str">
        <f ca="1">IFERROR(__xludf.DUMMYFUNCTION("""COMPUTED_VALUE"""),"-34.68190741")</f>
        <v>-34.68190741</v>
      </c>
      <c r="R127" s="30" t="str">
        <f ca="1">IFERROR(__xludf.DUMMYFUNCTION("""COMPUTED_VALUE"""),"-58.63163531")</f>
        <v>-58.63163531</v>
      </c>
      <c r="S127" s="30" t="str">
        <f ca="1">IFERROR(__xludf.DUMMYFUNCTION("""COMPUTED_VALUE"""),"Municipal")</f>
        <v>Municipal</v>
      </c>
      <c r="T127" s="30" t="str">
        <f ca="1">IFERROR(__xludf.DUMMYFUNCTION("""COMPUTED_VALUE"""),"MORÓN")</f>
        <v>MORÓN</v>
      </c>
    </row>
    <row r="128" spans="1:20" ht="15.75" customHeight="1" x14ac:dyDescent="0.25">
      <c r="A128" s="30" t="str">
        <f ca="1">IFERROR(__xludf.DUMMYFUNCTION("""COMPUTED_VALUE"""),"50065682202788")</f>
        <v>50065682202788</v>
      </c>
      <c r="B128" s="30" t="str">
        <f ca="1">IFERROR(__xludf.DUMMYFUNCTION("""COMPUTED_VALUE"""),"UNIDAD SANITARIA SAN FRANCISCO DE MORON")</f>
        <v>UNIDAD SANITARIA SAN FRANCISCO DE MORON</v>
      </c>
      <c r="C128" s="30" t="str">
        <f ca="1">IFERROR(__xludf.DUMMYFUNCTION("""COMPUTED_VALUE"""),"Buenos Aires")</f>
        <v>Buenos Aires</v>
      </c>
      <c r="D128" s="30" t="str">
        <f ca="1">IFERROR(__xludf.DUMMYFUNCTION("""COMPUTED_VALUE"""),"6")</f>
        <v>6</v>
      </c>
      <c r="E128" s="30" t="str">
        <f ca="1">IFERROR(__xludf.DUMMYFUNCTION("""COMPUTED_VALUE"""),"")</f>
        <v/>
      </c>
      <c r="F128" s="29"/>
      <c r="G128" s="29"/>
      <c r="H128" s="30" t="str">
        <f ca="1">IFERROR(__xludf.DUMMYFUNCTION("""COMPUTED_VALUE"""),"activo")</f>
        <v>activo</v>
      </c>
      <c r="I128" s="29"/>
      <c r="J128" s="29"/>
      <c r="K128" s="29"/>
      <c r="L128" s="30" t="str">
        <f ca="1">IFERROR(__xludf.DUMMYFUNCTION("""COMPUTED_VALUE"""),"No")</f>
        <v>No</v>
      </c>
      <c r="M128" s="30" t="str">
        <f ca="1">IFERROR(__xludf.DUMMYFUNCTION("""COMPUTED_VALUE"""),"6568010004")</f>
        <v>6568010004</v>
      </c>
      <c r="N128" s="30" t="str">
        <f ca="1">IFERROR(__xludf.DUMMYFUNCTION("""COMPUTED_VALUE"""),"MORON")</f>
        <v>MORON</v>
      </c>
      <c r="O128" s="30" t="str">
        <f ca="1">IFERROR(__xludf.DUMMYFUNCTION("""COMPUTED_VALUE"""),"6568")</f>
        <v>6568</v>
      </c>
      <c r="P128" s="30" t="str">
        <f ca="1">IFERROR(__xludf.DUMMYFUNCTION("""COMPUTED_VALUE"""),"MORÓN")</f>
        <v>MORÓN</v>
      </c>
      <c r="Q128" s="30" t="str">
        <f ca="1">IFERROR(__xludf.DUMMYFUNCTION("""COMPUTED_VALUE"""),"-34.700778")</f>
        <v>-34.700778</v>
      </c>
      <c r="R128" s="30" t="str">
        <f ca="1">IFERROR(__xludf.DUMMYFUNCTION("""COMPUTED_VALUE"""),"-58.643028")</f>
        <v>-58.643028</v>
      </c>
      <c r="S128" s="30" t="str">
        <f ca="1">IFERROR(__xludf.DUMMYFUNCTION("""COMPUTED_VALUE"""),"Municipal")</f>
        <v>Municipal</v>
      </c>
      <c r="T128" s="30" t="str">
        <f ca="1">IFERROR(__xludf.DUMMYFUNCTION("""COMPUTED_VALUE"""),"MORÓN")</f>
        <v>MORÓN</v>
      </c>
    </row>
    <row r="129" spans="1:20" ht="15.75" customHeight="1" x14ac:dyDescent="0.25">
      <c r="A129" s="30" t="str">
        <f ca="1">IFERROR(__xludf.DUMMYFUNCTION("""COMPUTED_VALUE"""),"50065682202846")</f>
        <v>50065682202846</v>
      </c>
      <c r="B129" s="30" t="str">
        <f ca="1">IFERROR(__xludf.DUMMYFUNCTION("""COMPUTED_VALUE"""),"UNIDAD SANITARIA SPRINGOLO")</f>
        <v>UNIDAD SANITARIA SPRINGOLO</v>
      </c>
      <c r="C129" s="30" t="str">
        <f ca="1">IFERROR(__xludf.DUMMYFUNCTION("""COMPUTED_VALUE"""),"Buenos Aires")</f>
        <v>Buenos Aires</v>
      </c>
      <c r="D129" s="30" t="str">
        <f ca="1">IFERROR(__xludf.DUMMYFUNCTION("""COMPUTED_VALUE"""),"6")</f>
        <v>6</v>
      </c>
      <c r="E129" s="30" t="str">
        <f ca="1">IFERROR(__xludf.DUMMYFUNCTION("""COMPUTED_VALUE"""),"")</f>
        <v/>
      </c>
      <c r="F129" s="29"/>
      <c r="G129" s="29"/>
      <c r="H129" s="30" t="str">
        <f ca="1">IFERROR(__xludf.DUMMYFUNCTION("""COMPUTED_VALUE"""),"activo")</f>
        <v>activo</v>
      </c>
      <c r="I129" s="29"/>
      <c r="J129" s="29"/>
      <c r="K129" s="29"/>
      <c r="L129" s="30" t="str">
        <f ca="1">IFERROR(__xludf.DUMMYFUNCTION("""COMPUTED_VALUE"""),"No")</f>
        <v>No</v>
      </c>
      <c r="M129" s="30" t="str">
        <f ca="1">IFERROR(__xludf.DUMMYFUNCTION("""COMPUTED_VALUE"""),"6568010002")</f>
        <v>6568010002</v>
      </c>
      <c r="N129" s="30" t="str">
        <f ca="1">IFERROR(__xludf.DUMMYFUNCTION("""COMPUTED_VALUE"""),"EL PALOMAR")</f>
        <v>EL PALOMAR</v>
      </c>
      <c r="O129" s="30" t="str">
        <f ca="1">IFERROR(__xludf.DUMMYFUNCTION("""COMPUTED_VALUE"""),"6568")</f>
        <v>6568</v>
      </c>
      <c r="P129" s="30" t="str">
        <f ca="1">IFERROR(__xludf.DUMMYFUNCTION("""COMPUTED_VALUE"""),"MORÓN")</f>
        <v>MORÓN</v>
      </c>
      <c r="Q129" s="30" t="str">
        <f ca="1">IFERROR(__xludf.DUMMYFUNCTION("""COMPUTED_VALUE"""),"-34.6085908")</f>
        <v>-34.6085908</v>
      </c>
      <c r="R129" s="30" t="str">
        <f ca="1">IFERROR(__xludf.DUMMYFUNCTION("""COMPUTED_VALUE"""),"-58.59628111")</f>
        <v>-58.59628111</v>
      </c>
      <c r="S129" s="30" t="str">
        <f ca="1">IFERROR(__xludf.DUMMYFUNCTION("""COMPUTED_VALUE"""),"Municipal")</f>
        <v>Municipal</v>
      </c>
      <c r="T129" s="30" t="str">
        <f ca="1">IFERROR(__xludf.DUMMYFUNCTION("""COMPUTED_VALUE"""),"MORÓN")</f>
        <v>MORÓN</v>
      </c>
    </row>
    <row r="130" spans="1:20" ht="15.75" customHeight="1" x14ac:dyDescent="0.25">
      <c r="A130" s="30" t="str">
        <f ca="1">IFERROR(__xludf.DUMMYFUNCTION("""COMPUTED_VALUE"""),"50065682202231")</f>
        <v>50065682202231</v>
      </c>
      <c r="B130" s="30" t="str">
        <f ca="1">IFERROR(__xludf.DUMMYFUNCTION("""COMPUTED_VALUE"""),"UNIDAD SANITARIA DR. GELPI - BARRIO SAN JUAN")</f>
        <v>UNIDAD SANITARIA DR. GELPI - BARRIO SAN JUAN</v>
      </c>
      <c r="C130" s="30" t="str">
        <f ca="1">IFERROR(__xludf.DUMMYFUNCTION("""COMPUTED_VALUE"""),"Buenos Aires")</f>
        <v>Buenos Aires</v>
      </c>
      <c r="D130" s="30" t="str">
        <f ca="1">IFERROR(__xludf.DUMMYFUNCTION("""COMPUTED_VALUE"""),"6")</f>
        <v>6</v>
      </c>
      <c r="E130" s="30" t="str">
        <f ca="1">IFERROR(__xludf.DUMMYFUNCTION("""COMPUTED_VALUE"""),"")</f>
        <v/>
      </c>
      <c r="F130" s="29"/>
      <c r="G130" s="29"/>
      <c r="H130" s="30" t="str">
        <f ca="1">IFERROR(__xludf.DUMMYFUNCTION("""COMPUTED_VALUE"""),"activo")</f>
        <v>activo</v>
      </c>
      <c r="I130" s="29"/>
      <c r="J130" s="29"/>
      <c r="K130" s="29"/>
      <c r="L130" s="30" t="str">
        <f ca="1">IFERROR(__xludf.DUMMYFUNCTION("""COMPUTED_VALUE"""),"No")</f>
        <v>No</v>
      </c>
      <c r="M130" s="30" t="str">
        <f ca="1">IFERROR(__xludf.DUMMYFUNCTION("""COMPUTED_VALUE"""),"6568010001")</f>
        <v>6568010001</v>
      </c>
      <c r="N130" s="30" t="str">
        <f ca="1">IFERROR(__xludf.DUMMYFUNCTION("""COMPUTED_VALUE"""),"CASTELAR")</f>
        <v>CASTELAR</v>
      </c>
      <c r="O130" s="30" t="str">
        <f ca="1">IFERROR(__xludf.DUMMYFUNCTION("""COMPUTED_VALUE"""),"6568")</f>
        <v>6568</v>
      </c>
      <c r="P130" s="30" t="str">
        <f ca="1">IFERROR(__xludf.DUMMYFUNCTION("""COMPUTED_VALUE"""),"MORÓN")</f>
        <v>MORÓN</v>
      </c>
      <c r="Q130" s="30" t="str">
        <f ca="1">IFERROR(__xludf.DUMMYFUNCTION("""COMPUTED_VALUE"""),"-34.68650958")</f>
        <v>-34.68650958</v>
      </c>
      <c r="R130" s="30" t="str">
        <f ca="1">IFERROR(__xludf.DUMMYFUNCTION("""COMPUTED_VALUE"""),"-58.65245247")</f>
        <v>-58.65245247</v>
      </c>
      <c r="S130" s="30" t="str">
        <f ca="1">IFERROR(__xludf.DUMMYFUNCTION("""COMPUTED_VALUE"""),"Municipal")</f>
        <v>Municipal</v>
      </c>
      <c r="T130" s="30" t="str">
        <f ca="1">IFERROR(__xludf.DUMMYFUNCTION("""COMPUTED_VALUE"""),"MORÓN")</f>
        <v>MORÓN</v>
      </c>
    </row>
    <row r="131" spans="1:20" ht="15.75" customHeight="1" x14ac:dyDescent="0.25">
      <c r="A131" s="30" t="str">
        <f ca="1">IFERROR(__xludf.DUMMYFUNCTION("""COMPUTED_VALUE"""),"50065682202433")</f>
        <v>50065682202433</v>
      </c>
      <c r="B131" s="30" t="str">
        <f ca="1">IFERROR(__xludf.DUMMYFUNCTION("""COMPUTED_VALUE"""),"UNIDAD SANITARIA MALVINAS ARGENTINAS DE HAEDO")</f>
        <v>UNIDAD SANITARIA MALVINAS ARGENTINAS DE HAEDO</v>
      </c>
      <c r="C131" s="30" t="str">
        <f ca="1">IFERROR(__xludf.DUMMYFUNCTION("""COMPUTED_VALUE"""),"Buenos Aires")</f>
        <v>Buenos Aires</v>
      </c>
      <c r="D131" s="30" t="str">
        <f ca="1">IFERROR(__xludf.DUMMYFUNCTION("""COMPUTED_VALUE"""),"6")</f>
        <v>6</v>
      </c>
      <c r="E131" s="30" t="str">
        <f ca="1">IFERROR(__xludf.DUMMYFUNCTION("""COMPUTED_VALUE"""),"")</f>
        <v/>
      </c>
      <c r="F131" s="29"/>
      <c r="G131" s="29"/>
      <c r="H131" s="30" t="str">
        <f ca="1">IFERROR(__xludf.DUMMYFUNCTION("""COMPUTED_VALUE"""),"activo")</f>
        <v>activo</v>
      </c>
      <c r="I131" s="29"/>
      <c r="J131" s="29"/>
      <c r="K131" s="29"/>
      <c r="L131" s="30" t="str">
        <f ca="1">IFERROR(__xludf.DUMMYFUNCTION("""COMPUTED_VALUE"""),"No")</f>
        <v>No</v>
      </c>
      <c r="M131" s="30" t="str">
        <f ca="1">IFERROR(__xludf.DUMMYFUNCTION("""COMPUTED_VALUE"""),"6568010003")</f>
        <v>6568010003</v>
      </c>
      <c r="N131" s="30" t="str">
        <f ca="1">IFERROR(__xludf.DUMMYFUNCTION("""COMPUTED_VALUE"""),"HAEDO")</f>
        <v>HAEDO</v>
      </c>
      <c r="O131" s="30" t="str">
        <f ca="1">IFERROR(__xludf.DUMMYFUNCTION("""COMPUTED_VALUE"""),"6568")</f>
        <v>6568</v>
      </c>
      <c r="P131" s="30" t="str">
        <f ca="1">IFERROR(__xludf.DUMMYFUNCTION("""COMPUTED_VALUE"""),"MORÓN")</f>
        <v>MORÓN</v>
      </c>
      <c r="Q131" s="30" t="str">
        <f ca="1">IFERROR(__xludf.DUMMYFUNCTION("""COMPUTED_VALUE"""),"-34.625792")</f>
        <v>-34.625792</v>
      </c>
      <c r="R131" s="30" t="str">
        <f ca="1">IFERROR(__xludf.DUMMYFUNCTION("""COMPUTED_VALUE"""),"-58.579878")</f>
        <v>-58.579878</v>
      </c>
      <c r="S131" s="30" t="str">
        <f ca="1">IFERROR(__xludf.DUMMYFUNCTION("""COMPUTED_VALUE"""),"Municipal")</f>
        <v>Municipal</v>
      </c>
      <c r="T131" s="30" t="str">
        <f ca="1">IFERROR(__xludf.DUMMYFUNCTION("""COMPUTED_VALUE"""),"MORÓN")</f>
        <v>MORÓN</v>
      </c>
    </row>
    <row r="132" spans="1:20" ht="15.75" customHeight="1" x14ac:dyDescent="0.25">
      <c r="A132" s="30" t="str">
        <f ca="1">IFERROR(__xludf.DUMMYFUNCTION("""COMPUTED_VALUE"""),"50065682202826")</f>
        <v>50065682202826</v>
      </c>
      <c r="B132" s="30" t="str">
        <f ca="1">IFERROR(__xludf.DUMMYFUNCTION("""COMPUTED_VALUE"""),"UNIDAD SANITARIA JUANA AZURDUY")</f>
        <v>UNIDAD SANITARIA JUANA AZURDUY</v>
      </c>
      <c r="C132" s="30" t="str">
        <f ca="1">IFERROR(__xludf.DUMMYFUNCTION("""COMPUTED_VALUE"""),"Buenos Aires")</f>
        <v>Buenos Aires</v>
      </c>
      <c r="D132" s="30" t="str">
        <f ca="1">IFERROR(__xludf.DUMMYFUNCTION("""COMPUTED_VALUE"""),"6")</f>
        <v>6</v>
      </c>
      <c r="E132" s="30" t="str">
        <f ca="1">IFERROR(__xludf.DUMMYFUNCTION("""COMPUTED_VALUE"""),"")</f>
        <v/>
      </c>
      <c r="F132" s="29"/>
      <c r="G132" s="29"/>
      <c r="H132" s="30" t="str">
        <f ca="1">IFERROR(__xludf.DUMMYFUNCTION("""COMPUTED_VALUE"""),"activo")</f>
        <v>activo</v>
      </c>
      <c r="I132" s="29"/>
      <c r="J132" s="29"/>
      <c r="K132" s="29"/>
      <c r="L132" s="30" t="str">
        <f ca="1">IFERROR(__xludf.DUMMYFUNCTION("""COMPUTED_VALUE"""),"No")</f>
        <v>No</v>
      </c>
      <c r="M132" s="30" t="str">
        <f ca="1">IFERROR(__xludf.DUMMYFUNCTION("""COMPUTED_VALUE"""),"6568010001")</f>
        <v>6568010001</v>
      </c>
      <c r="N132" s="30" t="str">
        <f ca="1">IFERROR(__xludf.DUMMYFUNCTION("""COMPUTED_VALUE"""),"CASTELAR")</f>
        <v>CASTELAR</v>
      </c>
      <c r="O132" s="30" t="str">
        <f ca="1">IFERROR(__xludf.DUMMYFUNCTION("""COMPUTED_VALUE"""),"6568")</f>
        <v>6568</v>
      </c>
      <c r="P132" s="30" t="str">
        <f ca="1">IFERROR(__xludf.DUMMYFUNCTION("""COMPUTED_VALUE"""),"MORÓN")</f>
        <v>MORÓN</v>
      </c>
      <c r="Q132" s="30" t="str">
        <f ca="1">IFERROR(__xludf.DUMMYFUNCTION("""COMPUTED_VALUE"""),"-34.67576336")</f>
        <v>-34.67576336</v>
      </c>
      <c r="R132" s="30" t="str">
        <f ca="1">IFERROR(__xludf.DUMMYFUNCTION("""COMPUTED_VALUE"""),"-58.66430461")</f>
        <v>-58.66430461</v>
      </c>
      <c r="S132" s="30" t="str">
        <f ca="1">IFERROR(__xludf.DUMMYFUNCTION("""COMPUTED_VALUE"""),"Municipal")</f>
        <v>Municipal</v>
      </c>
      <c r="T132" s="30" t="str">
        <f ca="1">IFERROR(__xludf.DUMMYFUNCTION("""COMPUTED_VALUE"""),"MORÓN")</f>
        <v>MORÓN</v>
      </c>
    </row>
    <row r="133" spans="1:20" ht="15.75" customHeight="1" x14ac:dyDescent="0.25">
      <c r="A133" s="30" t="str">
        <f ca="1">IFERROR(__xludf.DUMMYFUNCTION("""COMPUTED_VALUE"""),"50065682202862")</f>
        <v>50065682202862</v>
      </c>
      <c r="B133" s="30" t="str">
        <f ca="1">IFERROR(__xludf.DUMMYFUNCTION("""COMPUTED_VALUE"""),"UNIDAD SANITARIA VIAS RESPIRATORIAS DR. ARGERICH")</f>
        <v>UNIDAD SANITARIA VIAS RESPIRATORIAS DR. ARGERICH</v>
      </c>
      <c r="C133" s="30" t="str">
        <f ca="1">IFERROR(__xludf.DUMMYFUNCTION("""COMPUTED_VALUE"""),"Buenos Aires")</f>
        <v>Buenos Aires</v>
      </c>
      <c r="D133" s="30" t="str">
        <f ca="1">IFERROR(__xludf.DUMMYFUNCTION("""COMPUTED_VALUE"""),"6")</f>
        <v>6</v>
      </c>
      <c r="E133" s="30" t="str">
        <f ca="1">IFERROR(__xludf.DUMMYFUNCTION("""COMPUTED_VALUE"""),"")</f>
        <v/>
      </c>
      <c r="F133" s="29"/>
      <c r="G133" s="29"/>
      <c r="H133" s="30" t="str">
        <f ca="1">IFERROR(__xludf.DUMMYFUNCTION("""COMPUTED_VALUE"""),"inactivo")</f>
        <v>inactivo</v>
      </c>
      <c r="I133" s="29"/>
      <c r="J133" s="29"/>
      <c r="K133" s="29"/>
      <c r="L133" s="30" t="str">
        <f ca="1">IFERROR(__xludf.DUMMYFUNCTION("""COMPUTED_VALUE"""),"No")</f>
        <v>No</v>
      </c>
      <c r="M133" s="30" t="str">
        <f ca="1">IFERROR(__xludf.DUMMYFUNCTION("""COMPUTED_VALUE"""),"6568010004")</f>
        <v>6568010004</v>
      </c>
      <c r="N133" s="30" t="str">
        <f ca="1">IFERROR(__xludf.DUMMYFUNCTION("""COMPUTED_VALUE"""),"MORON")</f>
        <v>MORON</v>
      </c>
      <c r="O133" s="30" t="str">
        <f ca="1">IFERROR(__xludf.DUMMYFUNCTION("""COMPUTED_VALUE"""),"6568")</f>
        <v>6568</v>
      </c>
      <c r="P133" s="30" t="str">
        <f ca="1">IFERROR(__xludf.DUMMYFUNCTION("""COMPUTED_VALUE"""),"MORÓN")</f>
        <v>MORÓN</v>
      </c>
      <c r="Q133" s="30" t="str">
        <f ca="1">IFERROR(__xludf.DUMMYFUNCTION("""COMPUTED_VALUE"""),"-34.6465229")</f>
        <v>-34.6465229</v>
      </c>
      <c r="R133" s="30" t="str">
        <f ca="1">IFERROR(__xludf.DUMMYFUNCTION("""COMPUTED_VALUE"""),"-58.619403")</f>
        <v>-58.619403</v>
      </c>
      <c r="S133" s="30" t="str">
        <f ca="1">IFERROR(__xludf.DUMMYFUNCTION("""COMPUTED_VALUE"""),"Provincial")</f>
        <v>Provincial</v>
      </c>
      <c r="T133" s="30" t="str">
        <f ca="1">IFERROR(__xludf.DUMMYFUNCTION("""COMPUTED_VALUE"""),"MORÓN")</f>
        <v>MORÓN</v>
      </c>
    </row>
    <row r="134" spans="1:20" ht="15.75" customHeight="1" x14ac:dyDescent="0.25">
      <c r="A134" s="30" t="str">
        <f ca="1">IFERROR(__xludf.DUMMYFUNCTION("""COMPUTED_VALUE"""),"50064082202146")</f>
        <v>50064082202146</v>
      </c>
      <c r="B134" s="30" t="str">
        <f ca="1">IFERROR(__xludf.DUMMYFUNCTION("""COMPUTED_VALUE"""),"UNIDAD SANITARIA BARTOLOME MITRE DE HURLINGHAM")</f>
        <v>UNIDAD SANITARIA BARTOLOME MITRE DE HURLINGHAM</v>
      </c>
      <c r="C134" s="30" t="str">
        <f ca="1">IFERROR(__xludf.DUMMYFUNCTION("""COMPUTED_VALUE"""),"Buenos Aires")</f>
        <v>Buenos Aires</v>
      </c>
      <c r="D134" s="30" t="str">
        <f ca="1">IFERROR(__xludf.DUMMYFUNCTION("""COMPUTED_VALUE"""),"6")</f>
        <v>6</v>
      </c>
      <c r="E134" s="30" t="str">
        <f ca="1">IFERROR(__xludf.DUMMYFUNCTION("""COMPUTED_VALUE"""),"")</f>
        <v/>
      </c>
      <c r="F134" s="29"/>
      <c r="G134" s="29"/>
      <c r="H134" s="30" t="str">
        <f ca="1">IFERROR(__xludf.DUMMYFUNCTION("""COMPUTED_VALUE"""),"activo")</f>
        <v>activo</v>
      </c>
      <c r="I134" s="29"/>
      <c r="J134" s="29"/>
      <c r="K134" s="29"/>
      <c r="L134" s="30" t="str">
        <f ca="1">IFERROR(__xludf.DUMMYFUNCTION("""COMPUTED_VALUE"""),"No")</f>
        <v>No</v>
      </c>
      <c r="M134" s="30" t="str">
        <f ca="1">IFERROR(__xludf.DUMMYFUNCTION("""COMPUTED_VALUE"""),"6408010001")</f>
        <v>6408010001</v>
      </c>
      <c r="N134" s="30" t="str">
        <f ca="1">IFERROR(__xludf.DUMMYFUNCTION("""COMPUTED_VALUE"""),"HURLINGHAM")</f>
        <v>HURLINGHAM</v>
      </c>
      <c r="O134" s="30" t="str">
        <f ca="1">IFERROR(__xludf.DUMMYFUNCTION("""COMPUTED_VALUE"""),"6408")</f>
        <v>6408</v>
      </c>
      <c r="P134" s="30" t="str">
        <f ca="1">IFERROR(__xludf.DUMMYFUNCTION("""COMPUTED_VALUE"""),"HURLINGHAM")</f>
        <v>HURLINGHAM</v>
      </c>
      <c r="Q134" s="30" t="str">
        <f ca="1">IFERROR(__xludf.DUMMYFUNCTION("""COMPUTED_VALUE"""),"-34.61237089")</f>
        <v>-34.61237089</v>
      </c>
      <c r="R134" s="30" t="str">
        <f ca="1">IFERROR(__xludf.DUMMYFUNCTION("""COMPUTED_VALUE"""),"-58.64916945")</f>
        <v>-58.64916945</v>
      </c>
      <c r="S134" s="30" t="str">
        <f ca="1">IFERROR(__xludf.DUMMYFUNCTION("""COMPUTED_VALUE"""),"Municipal")</f>
        <v>Municipal</v>
      </c>
      <c r="T134" s="30" t="str">
        <f ca="1">IFERROR(__xludf.DUMMYFUNCTION("""COMPUTED_VALUE"""),"HURLINGHAM")</f>
        <v>HURLINGHAM</v>
      </c>
    </row>
    <row r="135" spans="1:20" ht="15.75" customHeight="1" x14ac:dyDescent="0.25">
      <c r="A135" s="30" t="str">
        <f ca="1">IFERROR(__xludf.DUMMYFUNCTION("""COMPUTED_VALUE"""),"50064082202076")</f>
        <v>50064082202076</v>
      </c>
      <c r="B135" s="30" t="str">
        <f ca="1">IFERROR(__xludf.DUMMYFUNCTION("""COMPUTED_VALUE"""),"UNIDAD SANITARIA BARRIO ANGEL")</f>
        <v>UNIDAD SANITARIA BARRIO ANGEL</v>
      </c>
      <c r="C135" s="30" t="str">
        <f ca="1">IFERROR(__xludf.DUMMYFUNCTION("""COMPUTED_VALUE"""),"Buenos Aires")</f>
        <v>Buenos Aires</v>
      </c>
      <c r="D135" s="30" t="str">
        <f ca="1">IFERROR(__xludf.DUMMYFUNCTION("""COMPUTED_VALUE"""),"6")</f>
        <v>6</v>
      </c>
      <c r="E135" s="30" t="str">
        <f ca="1">IFERROR(__xludf.DUMMYFUNCTION("""COMPUTED_VALUE"""),"")</f>
        <v/>
      </c>
      <c r="F135" s="29"/>
      <c r="G135" s="29"/>
      <c r="H135" s="30" t="str">
        <f ca="1">IFERROR(__xludf.DUMMYFUNCTION("""COMPUTED_VALUE"""),"activo")</f>
        <v>activo</v>
      </c>
      <c r="I135" s="29"/>
      <c r="J135" s="29"/>
      <c r="K135" s="29"/>
      <c r="L135" s="30" t="str">
        <f ca="1">IFERROR(__xludf.DUMMYFUNCTION("""COMPUTED_VALUE"""),"No")</f>
        <v>No</v>
      </c>
      <c r="M135" s="30" t="str">
        <f ca="1">IFERROR(__xludf.DUMMYFUNCTION("""COMPUTED_VALUE"""),"6408010001")</f>
        <v>6408010001</v>
      </c>
      <c r="N135" s="30" t="str">
        <f ca="1">IFERROR(__xludf.DUMMYFUNCTION("""COMPUTED_VALUE"""),"HURLINGHAM")</f>
        <v>HURLINGHAM</v>
      </c>
      <c r="O135" s="30" t="str">
        <f ca="1">IFERROR(__xludf.DUMMYFUNCTION("""COMPUTED_VALUE"""),"6408")</f>
        <v>6408</v>
      </c>
      <c r="P135" s="30" t="str">
        <f ca="1">IFERROR(__xludf.DUMMYFUNCTION("""COMPUTED_VALUE"""),"HURLINGHAM")</f>
        <v>HURLINGHAM</v>
      </c>
      <c r="Q135" s="30" t="str">
        <f ca="1">IFERROR(__xludf.DUMMYFUNCTION("""COMPUTED_VALUE"""),"-34.57843918")</f>
        <v>-34.57843918</v>
      </c>
      <c r="R135" s="30" t="str">
        <f ca="1">IFERROR(__xludf.DUMMYFUNCTION("""COMPUTED_VALUE"""),"-58.65872884")</f>
        <v>-58.65872884</v>
      </c>
      <c r="S135" s="30" t="str">
        <f ca="1">IFERROR(__xludf.DUMMYFUNCTION("""COMPUTED_VALUE"""),"Municipal")</f>
        <v>Municipal</v>
      </c>
      <c r="T135" s="30" t="str">
        <f ca="1">IFERROR(__xludf.DUMMYFUNCTION("""COMPUTED_VALUE"""),"HURLINGHAM")</f>
        <v>HURLINGHAM</v>
      </c>
    </row>
    <row r="136" spans="1:20" ht="15.75" customHeight="1" x14ac:dyDescent="0.25">
      <c r="A136" s="30" t="str">
        <f ca="1">IFERROR(__xludf.DUMMYFUNCTION("""COMPUTED_VALUE"""),"50064082202927")</f>
        <v>50064082202927</v>
      </c>
      <c r="B136" s="30" t="str">
        <f ca="1">IFERROR(__xludf.DUMMYFUNCTION("""COMPUTED_VALUE"""),"UNIDAD SANITARIA 2 DE ABRIL DE HURLINGHAM")</f>
        <v>UNIDAD SANITARIA 2 DE ABRIL DE HURLINGHAM</v>
      </c>
      <c r="C136" s="30" t="str">
        <f ca="1">IFERROR(__xludf.DUMMYFUNCTION("""COMPUTED_VALUE"""),"Buenos Aires")</f>
        <v>Buenos Aires</v>
      </c>
      <c r="D136" s="30" t="str">
        <f ca="1">IFERROR(__xludf.DUMMYFUNCTION("""COMPUTED_VALUE"""),"6")</f>
        <v>6</v>
      </c>
      <c r="E136" s="30" t="str">
        <f ca="1">IFERROR(__xludf.DUMMYFUNCTION("""COMPUTED_VALUE"""),"")</f>
        <v/>
      </c>
      <c r="F136" s="29"/>
      <c r="G136" s="29"/>
      <c r="H136" s="30" t="str">
        <f ca="1">IFERROR(__xludf.DUMMYFUNCTION("""COMPUTED_VALUE"""),"activo")</f>
        <v>activo</v>
      </c>
      <c r="I136" s="29"/>
      <c r="J136" s="29"/>
      <c r="K136" s="29"/>
      <c r="L136" s="30" t="str">
        <f ca="1">IFERROR(__xludf.DUMMYFUNCTION("""COMPUTED_VALUE"""),"No")</f>
        <v>No</v>
      </c>
      <c r="M136" s="30" t="str">
        <f ca="1">IFERROR(__xludf.DUMMYFUNCTION("""COMPUTED_VALUE"""),"6408010001")</f>
        <v>6408010001</v>
      </c>
      <c r="N136" s="30" t="str">
        <f ca="1">IFERROR(__xludf.DUMMYFUNCTION("""COMPUTED_VALUE"""),"HURLINGHAM")</f>
        <v>HURLINGHAM</v>
      </c>
      <c r="O136" s="30" t="str">
        <f ca="1">IFERROR(__xludf.DUMMYFUNCTION("""COMPUTED_VALUE"""),"6408")</f>
        <v>6408</v>
      </c>
      <c r="P136" s="30" t="str">
        <f ca="1">IFERROR(__xludf.DUMMYFUNCTION("""COMPUTED_VALUE"""),"HURLINGHAM")</f>
        <v>HURLINGHAM</v>
      </c>
      <c r="Q136" s="30" t="str">
        <f ca="1">IFERROR(__xludf.DUMMYFUNCTION("""COMPUTED_VALUE"""),"-34.62023803")</f>
        <v>-34.62023803</v>
      </c>
      <c r="R136" s="30" t="str">
        <f ca="1">IFERROR(__xludf.DUMMYFUNCTION("""COMPUTED_VALUE"""),"-58.66125011")</f>
        <v>-58.66125011</v>
      </c>
      <c r="S136" s="30" t="str">
        <f ca="1">IFERROR(__xludf.DUMMYFUNCTION("""COMPUTED_VALUE"""),"Municipal")</f>
        <v>Municipal</v>
      </c>
      <c r="T136" s="30" t="str">
        <f ca="1">IFERROR(__xludf.DUMMYFUNCTION("""COMPUTED_VALUE"""),"HURLINGHAM")</f>
        <v>HURLINGHAM</v>
      </c>
    </row>
    <row r="137" spans="1:20" ht="15.75" customHeight="1" x14ac:dyDescent="0.25">
      <c r="A137" s="30" t="str">
        <f ca="1">IFERROR(__xludf.DUMMYFUNCTION("""COMPUTED_VALUE"""),"50064082202929")</f>
        <v>50064082202929</v>
      </c>
      <c r="B137" s="30" t="str">
        <f ca="1">IFERROR(__xludf.DUMMYFUNCTION("""COMPUTED_VALUE"""),"UNIDAD SANITARIA 2 DE JUNIO DE HURLINGHAM")</f>
        <v>UNIDAD SANITARIA 2 DE JUNIO DE HURLINGHAM</v>
      </c>
      <c r="C137" s="30" t="str">
        <f ca="1">IFERROR(__xludf.DUMMYFUNCTION("""COMPUTED_VALUE"""),"Buenos Aires")</f>
        <v>Buenos Aires</v>
      </c>
      <c r="D137" s="30" t="str">
        <f ca="1">IFERROR(__xludf.DUMMYFUNCTION("""COMPUTED_VALUE"""),"6")</f>
        <v>6</v>
      </c>
      <c r="E137" s="30" t="str">
        <f ca="1">IFERROR(__xludf.DUMMYFUNCTION("""COMPUTED_VALUE"""),"")</f>
        <v/>
      </c>
      <c r="F137" s="29"/>
      <c r="G137" s="29"/>
      <c r="H137" s="30" t="str">
        <f ca="1">IFERROR(__xludf.DUMMYFUNCTION("""COMPUTED_VALUE"""),"activo")</f>
        <v>activo</v>
      </c>
      <c r="I137" s="29"/>
      <c r="J137" s="29"/>
      <c r="K137" s="29"/>
      <c r="L137" s="30" t="str">
        <f ca="1">IFERROR(__xludf.DUMMYFUNCTION("""COMPUTED_VALUE"""),"No")</f>
        <v>No</v>
      </c>
      <c r="M137" s="30" t="str">
        <f ca="1">IFERROR(__xludf.DUMMYFUNCTION("""COMPUTED_VALUE"""),"6408010002")</f>
        <v>6408010002</v>
      </c>
      <c r="N137" s="30" t="str">
        <f ca="1">IFERROR(__xludf.DUMMYFUNCTION("""COMPUTED_VALUE"""),"VILLA SANTOS TESEI")</f>
        <v>VILLA SANTOS TESEI</v>
      </c>
      <c r="O137" s="30" t="str">
        <f ca="1">IFERROR(__xludf.DUMMYFUNCTION("""COMPUTED_VALUE"""),"6408")</f>
        <v>6408</v>
      </c>
      <c r="P137" s="30" t="str">
        <f ca="1">IFERROR(__xludf.DUMMYFUNCTION("""COMPUTED_VALUE"""),"HURLINGHAM")</f>
        <v>HURLINGHAM</v>
      </c>
      <c r="Q137" s="30" t="str">
        <f ca="1">IFERROR(__xludf.DUMMYFUNCTION("""COMPUTED_VALUE"""),"-34.6236829")</f>
        <v>-34.6236829</v>
      </c>
      <c r="R137" s="30" t="str">
        <f ca="1">IFERROR(__xludf.DUMMYFUNCTION("""COMPUTED_VALUE"""),"-58.6412298")</f>
        <v>-58.6412298</v>
      </c>
      <c r="S137" s="30" t="str">
        <f ca="1">IFERROR(__xludf.DUMMYFUNCTION("""COMPUTED_VALUE"""),"Municipal")</f>
        <v>Municipal</v>
      </c>
      <c r="T137" s="30" t="str">
        <f ca="1">IFERROR(__xludf.DUMMYFUNCTION("""COMPUTED_VALUE"""),"HURLINGHAM")</f>
        <v>HURLINGHAM</v>
      </c>
    </row>
    <row r="138" spans="1:20" ht="15.75" customHeight="1" x14ac:dyDescent="0.25">
      <c r="A138" s="30" t="str">
        <f ca="1">IFERROR(__xludf.DUMMYFUNCTION("""COMPUTED_VALUE"""),"50064082202101")</f>
        <v>50064082202101</v>
      </c>
      <c r="B138" s="30" t="str">
        <f ca="1">IFERROR(__xludf.DUMMYFUNCTION("""COMPUTED_VALUE"""),"UNIDAD SANITARIA BARRIO LIBERTADOR")</f>
        <v>UNIDAD SANITARIA BARRIO LIBERTADOR</v>
      </c>
      <c r="C138" s="30" t="str">
        <f ca="1">IFERROR(__xludf.DUMMYFUNCTION("""COMPUTED_VALUE"""),"Buenos Aires")</f>
        <v>Buenos Aires</v>
      </c>
      <c r="D138" s="30" t="str">
        <f ca="1">IFERROR(__xludf.DUMMYFUNCTION("""COMPUTED_VALUE"""),"6")</f>
        <v>6</v>
      </c>
      <c r="E138" s="30" t="str">
        <f ca="1">IFERROR(__xludf.DUMMYFUNCTION("""COMPUTED_VALUE"""),"")</f>
        <v/>
      </c>
      <c r="F138" s="29"/>
      <c r="G138" s="29"/>
      <c r="H138" s="30" t="str">
        <f ca="1">IFERROR(__xludf.DUMMYFUNCTION("""COMPUTED_VALUE"""),"activo")</f>
        <v>activo</v>
      </c>
      <c r="I138" s="29"/>
      <c r="J138" s="29"/>
      <c r="K138" s="29"/>
      <c r="L138" s="30" t="str">
        <f ca="1">IFERROR(__xludf.DUMMYFUNCTION("""COMPUTED_VALUE"""),"No")</f>
        <v>No</v>
      </c>
      <c r="M138" s="30" t="str">
        <f ca="1">IFERROR(__xludf.DUMMYFUNCTION("""COMPUTED_VALUE"""),"6408010001")</f>
        <v>6408010001</v>
      </c>
      <c r="N138" s="30" t="str">
        <f ca="1">IFERROR(__xludf.DUMMYFUNCTION("""COMPUTED_VALUE"""),"HURLINGHAM")</f>
        <v>HURLINGHAM</v>
      </c>
      <c r="O138" s="30" t="str">
        <f ca="1">IFERROR(__xludf.DUMMYFUNCTION("""COMPUTED_VALUE"""),"6408")</f>
        <v>6408</v>
      </c>
      <c r="P138" s="30" t="str">
        <f ca="1">IFERROR(__xludf.DUMMYFUNCTION("""COMPUTED_VALUE"""),"HURLINGHAM")</f>
        <v>HURLINGHAM</v>
      </c>
      <c r="Q138" s="30" t="str">
        <f ca="1">IFERROR(__xludf.DUMMYFUNCTION("""COMPUTED_VALUE"""),"-34.6283904")</f>
        <v>-34.6283904</v>
      </c>
      <c r="R138" s="30" t="str">
        <f ca="1">IFERROR(__xludf.DUMMYFUNCTION("""COMPUTED_VALUE"""),"-58.6467093")</f>
        <v>-58.6467093</v>
      </c>
      <c r="S138" s="30" t="str">
        <f ca="1">IFERROR(__xludf.DUMMYFUNCTION("""COMPUTED_VALUE"""),"Municipal")</f>
        <v>Municipal</v>
      </c>
      <c r="T138" s="30" t="str">
        <f ca="1">IFERROR(__xludf.DUMMYFUNCTION("""COMPUTED_VALUE"""),"HURLINGHAM")</f>
        <v>HURLINGHAM</v>
      </c>
    </row>
    <row r="139" spans="1:20" ht="15.75" customHeight="1" x14ac:dyDescent="0.25">
      <c r="A139" s="30" t="str">
        <f ca="1">IFERROR(__xludf.DUMMYFUNCTION("""COMPUTED_VALUE"""),"50067912201376")</f>
        <v>50067912201376</v>
      </c>
      <c r="B139" s="30" t="str">
        <f ca="1">IFERROR(__xludf.DUMMYFUNCTION("""COMPUTED_VALUE"""),"CENTRO DE SALUD COMUNITARIA  VILLA ITALIA NORTE")</f>
        <v>CENTRO DE SALUD COMUNITARIA  VILLA ITALIA NORTE</v>
      </c>
      <c r="C139" s="30" t="str">
        <f ca="1">IFERROR(__xludf.DUMMYFUNCTION("""COMPUTED_VALUE"""),"Buenos Aires")</f>
        <v>Buenos Aires</v>
      </c>
      <c r="D139" s="30" t="str">
        <f ca="1">IFERROR(__xludf.DUMMYFUNCTION("""COMPUTED_VALUE"""),"6")</f>
        <v>6</v>
      </c>
      <c r="E139" s="30" t="str">
        <f ca="1">IFERROR(__xludf.DUMMYFUNCTION("""COMPUTED_VALUE"""),"")</f>
        <v/>
      </c>
      <c r="F139" s="29"/>
      <c r="G139" s="29"/>
      <c r="H139" s="30" t="str">
        <f ca="1">IFERROR(__xludf.DUMMYFUNCTION("""COMPUTED_VALUE"""),"activo")</f>
        <v>activo</v>
      </c>
      <c r="I139" s="29"/>
      <c r="J139" s="29"/>
      <c r="K139" s="29"/>
      <c r="L139" s="30" t="str">
        <f ca="1">IFERROR(__xludf.DUMMYFUNCTION("""COMPUTED_VALUE"""),"No")</f>
        <v>No</v>
      </c>
      <c r="M139" s="30" t="str">
        <f ca="1">IFERROR(__xludf.DUMMYFUNCTION("""COMPUTED_VALUE"""),"6791050000")</f>
        <v>6791050000</v>
      </c>
      <c r="N139" s="30" t="str">
        <f ca="1">IFERROR(__xludf.DUMMYFUNCTION("""COMPUTED_VALUE"""),"TANDIL")</f>
        <v>TANDIL</v>
      </c>
      <c r="O139" s="30" t="str">
        <f ca="1">IFERROR(__xludf.DUMMYFUNCTION("""COMPUTED_VALUE"""),"6791")</f>
        <v>6791</v>
      </c>
      <c r="P139" s="30" t="str">
        <f ca="1">IFERROR(__xludf.DUMMYFUNCTION("""COMPUTED_VALUE"""),"TANDIL")</f>
        <v>TANDIL</v>
      </c>
      <c r="Q139" s="30" t="str">
        <f ca="1">IFERROR(__xludf.DUMMYFUNCTION("""COMPUTED_VALUE"""),"-37.30555623")</f>
        <v>-37.30555623</v>
      </c>
      <c r="R139" s="30" t="str">
        <f ca="1">IFERROR(__xludf.DUMMYFUNCTION("""COMPUTED_VALUE"""),"-59.14968824")</f>
        <v>-59.14968824</v>
      </c>
      <c r="S139" s="30" t="str">
        <f ca="1">IFERROR(__xludf.DUMMYFUNCTION("""COMPUTED_VALUE"""),"Municipal")</f>
        <v>Municipal</v>
      </c>
      <c r="T139" s="30" t="str">
        <f ca="1">IFERROR(__xludf.DUMMYFUNCTION("""COMPUTED_VALUE"""),"TANDIL")</f>
        <v>TANDIL</v>
      </c>
    </row>
    <row r="140" spans="1:20" ht="15.75" customHeight="1" x14ac:dyDescent="0.25">
      <c r="A140" s="30" t="str">
        <f ca="1">IFERROR(__xludf.DUMMYFUNCTION("""COMPUTED_VALUE"""),"50067912201275")</f>
        <v>50067912201275</v>
      </c>
      <c r="B140" s="30" t="str">
        <f ca="1">IFERROR(__xludf.DUMMYFUNCTION("""COMPUTED_VALUE"""),"CENTRO DE SALUD COMUNITARIA LAS TUNITAS   (   TANDIL)")</f>
        <v>CENTRO DE SALUD COMUNITARIA LAS TUNITAS   (   TANDIL)</v>
      </c>
      <c r="C140" s="30" t="str">
        <f ca="1">IFERROR(__xludf.DUMMYFUNCTION("""COMPUTED_VALUE"""),"Buenos Aires")</f>
        <v>Buenos Aires</v>
      </c>
      <c r="D140" s="30" t="str">
        <f ca="1">IFERROR(__xludf.DUMMYFUNCTION("""COMPUTED_VALUE"""),"6")</f>
        <v>6</v>
      </c>
      <c r="E140" s="30" t="str">
        <f ca="1">IFERROR(__xludf.DUMMYFUNCTION("""COMPUTED_VALUE"""),"")</f>
        <v/>
      </c>
      <c r="F140" s="29"/>
      <c r="G140" s="29"/>
      <c r="H140" s="30" t="str">
        <f ca="1">IFERROR(__xludf.DUMMYFUNCTION("""COMPUTED_VALUE"""),"activo")</f>
        <v>activo</v>
      </c>
      <c r="I140" s="29"/>
      <c r="J140" s="29"/>
      <c r="K140" s="29"/>
      <c r="L140" s="30" t="str">
        <f ca="1">IFERROR(__xludf.DUMMYFUNCTION("""COMPUTED_VALUE"""),"No")</f>
        <v>No</v>
      </c>
      <c r="M140" s="30" t="str">
        <f ca="1">IFERROR(__xludf.DUMMYFUNCTION("""COMPUTED_VALUE"""),"6791050000")</f>
        <v>6791050000</v>
      </c>
      <c r="N140" s="30" t="str">
        <f ca="1">IFERROR(__xludf.DUMMYFUNCTION("""COMPUTED_VALUE"""),"TANDIL")</f>
        <v>TANDIL</v>
      </c>
      <c r="O140" s="30" t="str">
        <f ca="1">IFERROR(__xludf.DUMMYFUNCTION("""COMPUTED_VALUE"""),"6791")</f>
        <v>6791</v>
      </c>
      <c r="P140" s="30" t="str">
        <f ca="1">IFERROR(__xludf.DUMMYFUNCTION("""COMPUTED_VALUE"""),"TANDIL")</f>
        <v>TANDIL</v>
      </c>
      <c r="Q140" s="30" t="str">
        <f ca="1">IFERROR(__xludf.DUMMYFUNCTION("""COMPUTED_VALUE"""),"-37.34096066")</f>
        <v>-37.34096066</v>
      </c>
      <c r="R140" s="30" t="str">
        <f ca="1">IFERROR(__xludf.DUMMYFUNCTION("""COMPUTED_VALUE"""),"-59.14522304")</f>
        <v>-59.14522304</v>
      </c>
      <c r="S140" s="30" t="str">
        <f ca="1">IFERROR(__xludf.DUMMYFUNCTION("""COMPUTED_VALUE"""),"Municipal")</f>
        <v>Municipal</v>
      </c>
      <c r="T140" s="30" t="str">
        <f ca="1">IFERROR(__xludf.DUMMYFUNCTION("""COMPUTED_VALUE"""),"TANDIL")</f>
        <v>TANDIL</v>
      </c>
    </row>
    <row r="141" spans="1:20" ht="15.75" customHeight="1" x14ac:dyDescent="0.25">
      <c r="A141" s="30" t="str">
        <f ca="1">IFERROR(__xludf.DUMMYFUNCTION("""COMPUTED_VALUE"""),"50066442202859")</f>
        <v>50066442202859</v>
      </c>
      <c r="B141" s="30" t="str">
        <f ca="1">IFERROR(__xludf.DUMMYFUNCTION("""COMPUTED_VALUE"""),"CAPS VALERIA DEL MAR")</f>
        <v>CAPS VALERIA DEL MAR</v>
      </c>
      <c r="C141" s="30" t="str">
        <f ca="1">IFERROR(__xludf.DUMMYFUNCTION("""COMPUTED_VALUE"""),"Buenos Aires")</f>
        <v>Buenos Aires</v>
      </c>
      <c r="D141" s="30" t="str">
        <f ca="1">IFERROR(__xludf.DUMMYFUNCTION("""COMPUTED_VALUE"""),"6")</f>
        <v>6</v>
      </c>
      <c r="E141" s="30" t="str">
        <f ca="1">IFERROR(__xludf.DUMMYFUNCTION("""COMPUTED_VALUE"""),"")</f>
        <v/>
      </c>
      <c r="F141" s="29"/>
      <c r="G141" s="29"/>
      <c r="H141" s="30" t="str">
        <f ca="1">IFERROR(__xludf.DUMMYFUNCTION("""COMPUTED_VALUE"""),"activo")</f>
        <v>activo</v>
      </c>
      <c r="I141" s="29"/>
      <c r="J141" s="29"/>
      <c r="K141" s="29"/>
      <c r="L141" s="30" t="str">
        <f ca="1">IFERROR(__xludf.DUMMYFUNCTION("""COMPUTED_VALUE"""),"No")</f>
        <v>No</v>
      </c>
      <c r="M141" s="30" t="str">
        <f ca="1">IFERROR(__xludf.DUMMYFUNCTION("""COMPUTED_VALUE"""),"6644010003")</f>
        <v>6644010003</v>
      </c>
      <c r="N141" s="30" t="str">
        <f ca="1">IFERROR(__xludf.DUMMYFUNCTION("""COMPUTED_VALUE"""),"PINAMAR")</f>
        <v>PINAMAR</v>
      </c>
      <c r="O141" s="30" t="str">
        <f ca="1">IFERROR(__xludf.DUMMYFUNCTION("""COMPUTED_VALUE"""),"6644")</f>
        <v>6644</v>
      </c>
      <c r="P141" s="30" t="str">
        <f ca="1">IFERROR(__xludf.DUMMYFUNCTION("""COMPUTED_VALUE"""),"PINAMAR")</f>
        <v>PINAMAR</v>
      </c>
      <c r="Q141" s="30" t="str">
        <f ca="1">IFERROR(__xludf.DUMMYFUNCTION("""COMPUTED_VALUE"""),"-37.138625")</f>
        <v>-37.138625</v>
      </c>
      <c r="R141" s="30" t="str">
        <f ca="1">IFERROR(__xludf.DUMMYFUNCTION("""COMPUTED_VALUE"""),"-56.907166")</f>
        <v>-56.907166</v>
      </c>
      <c r="S141" s="30" t="str">
        <f ca="1">IFERROR(__xludf.DUMMYFUNCTION("""COMPUTED_VALUE"""),"Municipal")</f>
        <v>Municipal</v>
      </c>
      <c r="T141" s="30" t="str">
        <f ca="1">IFERROR(__xludf.DUMMYFUNCTION("""COMPUTED_VALUE"""),"PINAMAR")</f>
        <v>PINAMAR</v>
      </c>
    </row>
    <row r="142" spans="1:20" ht="15.75" customHeight="1" x14ac:dyDescent="0.25">
      <c r="A142" s="30" t="str">
        <f ca="1">IFERROR(__xludf.DUMMYFUNCTION("""COMPUTED_VALUE"""),"50066442201871")</f>
        <v>50066442201871</v>
      </c>
      <c r="B142" s="30" t="str">
        <f ca="1">IFERROR(__xludf.DUMMYFUNCTION("""COMPUTED_VALUE"""),"CAPS OSTENDE")</f>
        <v>CAPS OSTENDE</v>
      </c>
      <c r="C142" s="30" t="str">
        <f ca="1">IFERROR(__xludf.DUMMYFUNCTION("""COMPUTED_VALUE"""),"Buenos Aires")</f>
        <v>Buenos Aires</v>
      </c>
      <c r="D142" s="30" t="str">
        <f ca="1">IFERROR(__xludf.DUMMYFUNCTION("""COMPUTED_VALUE"""),"6")</f>
        <v>6</v>
      </c>
      <c r="E142" s="30" t="str">
        <f ca="1">IFERROR(__xludf.DUMMYFUNCTION("""COMPUTED_VALUE"""),"")</f>
        <v/>
      </c>
      <c r="F142" s="29"/>
      <c r="G142" s="29"/>
      <c r="H142" s="30" t="str">
        <f ca="1">IFERROR(__xludf.DUMMYFUNCTION("""COMPUTED_VALUE"""),"activo")</f>
        <v>activo</v>
      </c>
      <c r="I142" s="29"/>
      <c r="J142" s="29"/>
      <c r="K142" s="29"/>
      <c r="L142" s="30" t="str">
        <f ca="1">IFERROR(__xludf.DUMMYFUNCTION("""COMPUTED_VALUE"""),"No")</f>
        <v>No</v>
      </c>
      <c r="M142" s="30" t="str">
        <f ca="1">IFERROR(__xludf.DUMMYFUNCTION("""COMPUTED_VALUE"""),"6644010002")</f>
        <v>6644010002</v>
      </c>
      <c r="N142" s="30" t="str">
        <f ca="1">IFERROR(__xludf.DUMMYFUNCTION("""COMPUTED_VALUE"""),"OSTENDE")</f>
        <v>OSTENDE</v>
      </c>
      <c r="O142" s="30" t="str">
        <f ca="1">IFERROR(__xludf.DUMMYFUNCTION("""COMPUTED_VALUE"""),"6644")</f>
        <v>6644</v>
      </c>
      <c r="P142" s="30" t="str">
        <f ca="1">IFERROR(__xludf.DUMMYFUNCTION("""COMPUTED_VALUE"""),"PINAMAR")</f>
        <v>PINAMAR</v>
      </c>
      <c r="Q142" s="30" t="str">
        <f ca="1">IFERROR(__xludf.DUMMYFUNCTION("""COMPUTED_VALUE"""),"-37.1237465")</f>
        <v>-37.1237465</v>
      </c>
      <c r="R142" s="30" t="str">
        <f ca="1">IFERROR(__xludf.DUMMYFUNCTION("""COMPUTED_VALUE"""),"-56.88617706")</f>
        <v>-56.88617706</v>
      </c>
      <c r="S142" s="30" t="str">
        <f ca="1">IFERROR(__xludf.DUMMYFUNCTION("""COMPUTED_VALUE"""),"Municipal")</f>
        <v>Municipal</v>
      </c>
      <c r="T142" s="30" t="str">
        <f ca="1">IFERROR(__xludf.DUMMYFUNCTION("""COMPUTED_VALUE"""),"PINAMAR")</f>
        <v>PINAMAR</v>
      </c>
    </row>
    <row r="143" spans="1:20" ht="15.75" customHeight="1" x14ac:dyDescent="0.25">
      <c r="A143" s="30" t="str">
        <f ca="1">IFERROR(__xludf.DUMMYFUNCTION("""COMPUTED_VALUE"""),"50060492202258")</f>
        <v>50060492202258</v>
      </c>
      <c r="B143" s="30" t="str">
        <f ca="1">IFERROR(__xludf.DUMMYFUNCTION("""COMPUTED_VALUE"""),"UNIDAD SANITARIA E. MAGUILLANSKY N° 1")</f>
        <v>UNIDAD SANITARIA E. MAGUILLANSKY N° 1</v>
      </c>
      <c r="C143" s="30" t="str">
        <f ca="1">IFERROR(__xludf.DUMMYFUNCTION("""COMPUTED_VALUE"""),"Buenos Aires")</f>
        <v>Buenos Aires</v>
      </c>
      <c r="D143" s="30" t="str">
        <f ca="1">IFERROR(__xludf.DUMMYFUNCTION("""COMPUTED_VALUE"""),"6")</f>
        <v>6</v>
      </c>
      <c r="E143" s="30" t="str">
        <f ca="1">IFERROR(__xludf.DUMMYFUNCTION("""COMPUTED_VALUE"""),"")</f>
        <v/>
      </c>
      <c r="F143" s="29"/>
      <c r="G143" s="29"/>
      <c r="H143" s="30" t="str">
        <f ca="1">IFERROR(__xludf.DUMMYFUNCTION("""COMPUTED_VALUE"""),"activo")</f>
        <v>activo</v>
      </c>
      <c r="I143" s="29"/>
      <c r="J143" s="29"/>
      <c r="K143" s="29"/>
      <c r="L143" s="30" t="str">
        <f ca="1">IFERROR(__xludf.DUMMYFUNCTION("""COMPUTED_VALUE"""),"No")</f>
        <v>No</v>
      </c>
      <c r="M143" s="30" t="str">
        <f ca="1">IFERROR(__xludf.DUMMYFUNCTION("""COMPUTED_VALUE"""),"6049020000")</f>
        <v>6049020000</v>
      </c>
      <c r="N143" s="30" t="str">
        <f ca="1">IFERROR(__xludf.DUMMYFUNCTION("""COMPUTED_VALUE"""),"AZUL")</f>
        <v>AZUL</v>
      </c>
      <c r="O143" s="30" t="str">
        <f ca="1">IFERROR(__xludf.DUMMYFUNCTION("""COMPUTED_VALUE"""),"649")</f>
        <v>649</v>
      </c>
      <c r="P143" s="30" t="str">
        <f ca="1">IFERROR(__xludf.DUMMYFUNCTION("""COMPUTED_VALUE"""),"AZUL")</f>
        <v>AZUL</v>
      </c>
      <c r="Q143" s="30" t="str">
        <f ca="1">IFERROR(__xludf.DUMMYFUNCTION("""COMPUTED_VALUE"""),"-36.77655")</f>
        <v>-36.77655</v>
      </c>
      <c r="R143" s="30" t="str">
        <f ca="1">IFERROR(__xludf.DUMMYFUNCTION("""COMPUTED_VALUE"""),"-59.882466")</f>
        <v>-59.882466</v>
      </c>
      <c r="S143" s="30" t="str">
        <f ca="1">IFERROR(__xludf.DUMMYFUNCTION("""COMPUTED_VALUE"""),"Municipal")</f>
        <v>Municipal</v>
      </c>
      <c r="T143" s="30" t="str">
        <f ca="1">IFERROR(__xludf.DUMMYFUNCTION("""COMPUTED_VALUE"""),"AZUL")</f>
        <v>AZUL</v>
      </c>
    </row>
    <row r="144" spans="1:20" ht="15.75" customHeight="1" x14ac:dyDescent="0.25">
      <c r="A144" s="30" t="str">
        <f ca="1">IFERROR(__xludf.DUMMYFUNCTION("""COMPUTED_VALUE"""),"50060492202651")</f>
        <v>50060492202651</v>
      </c>
      <c r="B144" s="30" t="str">
        <f ca="1">IFERROR(__xludf.DUMMYFUNCTION("""COMPUTED_VALUE"""),"UNIDAD SANITARIA N° 6 PROF. RUBEN CESAR DE PAULA DE AZUL")</f>
        <v>UNIDAD SANITARIA N° 6 PROF. RUBEN CESAR DE PAULA DE AZUL</v>
      </c>
      <c r="C144" s="30" t="str">
        <f ca="1">IFERROR(__xludf.DUMMYFUNCTION("""COMPUTED_VALUE"""),"Buenos Aires")</f>
        <v>Buenos Aires</v>
      </c>
      <c r="D144" s="30" t="str">
        <f ca="1">IFERROR(__xludf.DUMMYFUNCTION("""COMPUTED_VALUE"""),"6")</f>
        <v>6</v>
      </c>
      <c r="E144" s="30" t="str">
        <f ca="1">IFERROR(__xludf.DUMMYFUNCTION("""COMPUTED_VALUE"""),"")</f>
        <v/>
      </c>
      <c r="F144" s="29"/>
      <c r="G144" s="29"/>
      <c r="H144" s="30" t="str">
        <f ca="1">IFERROR(__xludf.DUMMYFUNCTION("""COMPUTED_VALUE"""),"activo")</f>
        <v>activo</v>
      </c>
      <c r="I144" s="29"/>
      <c r="J144" s="29"/>
      <c r="K144" s="29"/>
      <c r="L144" s="30" t="str">
        <f ca="1">IFERROR(__xludf.DUMMYFUNCTION("""COMPUTED_VALUE"""),"No")</f>
        <v>No</v>
      </c>
      <c r="M144" s="30" t="str">
        <f ca="1">IFERROR(__xludf.DUMMYFUNCTION("""COMPUTED_VALUE"""),"6049020000")</f>
        <v>6049020000</v>
      </c>
      <c r="N144" s="30" t="str">
        <f ca="1">IFERROR(__xludf.DUMMYFUNCTION("""COMPUTED_VALUE"""),"AZUL")</f>
        <v>AZUL</v>
      </c>
      <c r="O144" s="30" t="str">
        <f ca="1">IFERROR(__xludf.DUMMYFUNCTION("""COMPUTED_VALUE"""),"649")</f>
        <v>649</v>
      </c>
      <c r="P144" s="30" t="str">
        <f ca="1">IFERROR(__xludf.DUMMYFUNCTION("""COMPUTED_VALUE"""),"AZUL")</f>
        <v>AZUL</v>
      </c>
      <c r="Q144" s="30" t="str">
        <f ca="1">IFERROR(__xludf.DUMMYFUNCTION("""COMPUTED_VALUE"""),"-36.791948")</f>
        <v>-36.791948</v>
      </c>
      <c r="R144" s="30" t="str">
        <f ca="1">IFERROR(__xludf.DUMMYFUNCTION("""COMPUTED_VALUE"""),"-59.870106")</f>
        <v>-59.870106</v>
      </c>
      <c r="S144" s="30" t="str">
        <f ca="1">IFERROR(__xludf.DUMMYFUNCTION("""COMPUTED_VALUE"""),"Municipal")</f>
        <v>Municipal</v>
      </c>
      <c r="T144" s="30" t="str">
        <f ca="1">IFERROR(__xludf.DUMMYFUNCTION("""COMPUTED_VALUE"""),"AZUL")</f>
        <v>AZUL</v>
      </c>
    </row>
    <row r="145" spans="1:20" ht="15.75" customHeight="1" x14ac:dyDescent="0.25">
      <c r="A145" s="30" t="str">
        <f ca="1">IFERROR(__xludf.DUMMYFUNCTION("""COMPUTED_VALUE"""),"50060492202681")</f>
        <v>50060492202681</v>
      </c>
      <c r="B145" s="30" t="str">
        <f ca="1">IFERROR(__xludf.DUMMYFUNCTION("""COMPUTED_VALUE"""),"UNIDAD SANITARIA N° 9 DR. GONZALO IBAZETA DE AZUL")</f>
        <v>UNIDAD SANITARIA N° 9 DR. GONZALO IBAZETA DE AZUL</v>
      </c>
      <c r="C145" s="30" t="str">
        <f ca="1">IFERROR(__xludf.DUMMYFUNCTION("""COMPUTED_VALUE"""),"Buenos Aires")</f>
        <v>Buenos Aires</v>
      </c>
      <c r="D145" s="30" t="str">
        <f ca="1">IFERROR(__xludf.DUMMYFUNCTION("""COMPUTED_VALUE"""),"6")</f>
        <v>6</v>
      </c>
      <c r="E145" s="30" t="str">
        <f ca="1">IFERROR(__xludf.DUMMYFUNCTION("""COMPUTED_VALUE"""),"")</f>
        <v/>
      </c>
      <c r="F145" s="29"/>
      <c r="G145" s="29"/>
      <c r="H145" s="30" t="str">
        <f ca="1">IFERROR(__xludf.DUMMYFUNCTION("""COMPUTED_VALUE"""),"activo")</f>
        <v>activo</v>
      </c>
      <c r="I145" s="29"/>
      <c r="J145" s="29"/>
      <c r="K145" s="29"/>
      <c r="L145" s="30" t="str">
        <f ca="1">IFERROR(__xludf.DUMMYFUNCTION("""COMPUTED_VALUE"""),"No")</f>
        <v>No</v>
      </c>
      <c r="M145" s="30" t="str">
        <f ca="1">IFERROR(__xludf.DUMMYFUNCTION("""COMPUTED_VALUE"""),"6049020000")</f>
        <v>6049020000</v>
      </c>
      <c r="N145" s="30" t="str">
        <f ca="1">IFERROR(__xludf.DUMMYFUNCTION("""COMPUTED_VALUE"""),"AZUL")</f>
        <v>AZUL</v>
      </c>
      <c r="O145" s="30" t="str">
        <f ca="1">IFERROR(__xludf.DUMMYFUNCTION("""COMPUTED_VALUE"""),"649")</f>
        <v>649</v>
      </c>
      <c r="P145" s="30" t="str">
        <f ca="1">IFERROR(__xludf.DUMMYFUNCTION("""COMPUTED_VALUE"""),"AZUL")</f>
        <v>AZUL</v>
      </c>
      <c r="Q145" s="30" t="str">
        <f ca="1">IFERROR(__xludf.DUMMYFUNCTION("""COMPUTED_VALUE"""),"-36.77435375")</f>
        <v>-36.77435375</v>
      </c>
      <c r="R145" s="30" t="str">
        <f ca="1">IFERROR(__xludf.DUMMYFUNCTION("""COMPUTED_VALUE"""),"-59.85451126")</f>
        <v>-59.85451126</v>
      </c>
      <c r="S145" s="30" t="str">
        <f ca="1">IFERROR(__xludf.DUMMYFUNCTION("""COMPUTED_VALUE"""),"Municipal")</f>
        <v>Municipal</v>
      </c>
      <c r="T145" s="30" t="str">
        <f ca="1">IFERROR(__xludf.DUMMYFUNCTION("""COMPUTED_VALUE"""),"AZUL")</f>
        <v>AZUL</v>
      </c>
    </row>
    <row r="146" spans="1:20" ht="15.75" customHeight="1" x14ac:dyDescent="0.25">
      <c r="A146" s="30" t="str">
        <f ca="1">IFERROR(__xludf.DUMMYFUNCTION("""COMPUTED_VALUE"""),"50060982202542")</f>
        <v>50060982202542</v>
      </c>
      <c r="B146" s="30" t="str">
        <f ca="1">IFERROR(__xludf.DUMMYFUNCTION("""COMPUTED_VALUE"""),"UNIDAD SANITARIA N° 19 DE BERISSO")</f>
        <v>UNIDAD SANITARIA N° 19 DE BERISSO</v>
      </c>
      <c r="C146" s="30" t="str">
        <f ca="1">IFERROR(__xludf.DUMMYFUNCTION("""COMPUTED_VALUE"""),"Buenos Aires")</f>
        <v>Buenos Aires</v>
      </c>
      <c r="D146" s="30" t="str">
        <f ca="1">IFERROR(__xludf.DUMMYFUNCTION("""COMPUTED_VALUE"""),"6")</f>
        <v>6</v>
      </c>
      <c r="E146" s="30" t="str">
        <f ca="1">IFERROR(__xludf.DUMMYFUNCTION("""COMPUTED_VALUE"""),"")</f>
        <v/>
      </c>
      <c r="F146" s="29"/>
      <c r="G146" s="29"/>
      <c r="H146" s="30" t="str">
        <f ca="1">IFERROR(__xludf.DUMMYFUNCTION("""COMPUTED_VALUE"""),"activo")</f>
        <v>activo</v>
      </c>
      <c r="I146" s="29"/>
      <c r="J146" s="29"/>
      <c r="K146" s="29"/>
      <c r="L146" s="30" t="str">
        <f ca="1">IFERROR(__xludf.DUMMYFUNCTION("""COMPUTED_VALUE"""),"No")</f>
        <v>No</v>
      </c>
      <c r="M146" s="30" t="str">
        <f ca="1">IFERROR(__xludf.DUMMYFUNCTION("""COMPUTED_VALUE"""),"6098010004")</f>
        <v>6098010004</v>
      </c>
      <c r="N146" s="30" t="str">
        <f ca="1">IFERROR(__xludf.DUMMYFUNCTION("""COMPUTED_VALUE"""),"BERISSO")</f>
        <v>BERISSO</v>
      </c>
      <c r="O146" s="30" t="str">
        <f ca="1">IFERROR(__xludf.DUMMYFUNCTION("""COMPUTED_VALUE"""),"698")</f>
        <v>698</v>
      </c>
      <c r="P146" s="30" t="str">
        <f ca="1">IFERROR(__xludf.DUMMYFUNCTION("""COMPUTED_VALUE"""),"BERISSO")</f>
        <v>BERISSO</v>
      </c>
      <c r="Q146" s="30" t="str">
        <f ca="1">IFERROR(__xludf.DUMMYFUNCTION("""COMPUTED_VALUE"""),"-34.908153")</f>
        <v>-34.908153</v>
      </c>
      <c r="R146" s="30" t="str">
        <f ca="1">IFERROR(__xludf.DUMMYFUNCTION("""COMPUTED_VALUE"""),"-57.92338")</f>
        <v>-57.92338</v>
      </c>
      <c r="S146" s="30" t="str">
        <f ca="1">IFERROR(__xludf.DUMMYFUNCTION("""COMPUTED_VALUE"""),"Municipal")</f>
        <v>Municipal</v>
      </c>
      <c r="T146" s="30" t="str">
        <f ca="1">IFERROR(__xludf.DUMMYFUNCTION("""COMPUTED_VALUE"""),"BERISSO")</f>
        <v>BERISSO</v>
      </c>
    </row>
    <row r="147" spans="1:20" ht="15.75" customHeight="1" x14ac:dyDescent="0.25">
      <c r="A147" s="30" t="str">
        <f ca="1">IFERROR(__xludf.DUMMYFUNCTION("""COMPUTED_VALUE"""),"50060982202625")</f>
        <v>50060982202625</v>
      </c>
      <c r="B147" s="30" t="str">
        <f ca="1">IFERROR(__xludf.DUMMYFUNCTION("""COMPUTED_VALUE"""),"UNIDAD SANITARIA N° 43 DE BERISSO")</f>
        <v>UNIDAD SANITARIA N° 43 DE BERISSO</v>
      </c>
      <c r="C147" s="30" t="str">
        <f ca="1">IFERROR(__xludf.DUMMYFUNCTION("""COMPUTED_VALUE"""),"Buenos Aires")</f>
        <v>Buenos Aires</v>
      </c>
      <c r="D147" s="30" t="str">
        <f ca="1">IFERROR(__xludf.DUMMYFUNCTION("""COMPUTED_VALUE"""),"6")</f>
        <v>6</v>
      </c>
      <c r="E147" s="30" t="str">
        <f ca="1">IFERROR(__xludf.DUMMYFUNCTION("""COMPUTED_VALUE"""),"")</f>
        <v/>
      </c>
      <c r="F147" s="29"/>
      <c r="G147" s="29"/>
      <c r="H147" s="30" t="str">
        <f ca="1">IFERROR(__xludf.DUMMYFUNCTION("""COMPUTED_VALUE"""),"activo")</f>
        <v>activo</v>
      </c>
      <c r="I147" s="29"/>
      <c r="J147" s="29"/>
      <c r="K147" s="29"/>
      <c r="L147" s="30" t="str">
        <f ca="1">IFERROR(__xludf.DUMMYFUNCTION("""COMPUTED_VALUE"""),"No")</f>
        <v>No</v>
      </c>
      <c r="M147" s="30" t="str">
        <f ca="1">IFERROR(__xludf.DUMMYFUNCTION("""COMPUTED_VALUE"""),"6098010004")</f>
        <v>6098010004</v>
      </c>
      <c r="N147" s="30" t="str">
        <f ca="1">IFERROR(__xludf.DUMMYFUNCTION("""COMPUTED_VALUE"""),"BERISSO")</f>
        <v>BERISSO</v>
      </c>
      <c r="O147" s="30" t="str">
        <f ca="1">IFERROR(__xludf.DUMMYFUNCTION("""COMPUTED_VALUE"""),"698")</f>
        <v>698</v>
      </c>
      <c r="P147" s="30" t="str">
        <f ca="1">IFERROR(__xludf.DUMMYFUNCTION("""COMPUTED_VALUE"""),"BERISSO")</f>
        <v>BERISSO</v>
      </c>
      <c r="Q147" s="30" t="str">
        <f ca="1">IFERROR(__xludf.DUMMYFUNCTION("""COMPUTED_VALUE"""),"-34.88821823")</f>
        <v>-34.88821823</v>
      </c>
      <c r="R147" s="30" t="str">
        <f ca="1">IFERROR(__xludf.DUMMYFUNCTION("""COMPUTED_VALUE"""),"-57.90447021")</f>
        <v>-57.90447021</v>
      </c>
      <c r="S147" s="30" t="str">
        <f ca="1">IFERROR(__xludf.DUMMYFUNCTION("""COMPUTED_VALUE"""),"Municipal")</f>
        <v>Municipal</v>
      </c>
      <c r="T147" s="30" t="str">
        <f ca="1">IFERROR(__xludf.DUMMYFUNCTION("""COMPUTED_VALUE"""),"BERISSO")</f>
        <v>BERISSO</v>
      </c>
    </row>
    <row r="148" spans="1:20" ht="15.75" customHeight="1" x14ac:dyDescent="0.25">
      <c r="A148" s="30" t="str">
        <f ca="1">IFERROR(__xludf.DUMMYFUNCTION("""COMPUTED_VALUE"""),"50060982215023")</f>
        <v>50060982215023</v>
      </c>
      <c r="B148" s="30" t="str">
        <f ca="1">IFERROR(__xludf.DUMMYFUNCTION("""COMPUTED_VALUE"""),"UNIDAD SANITARIA N° 41")</f>
        <v>UNIDAD SANITARIA N° 41</v>
      </c>
      <c r="C148" s="30" t="str">
        <f ca="1">IFERROR(__xludf.DUMMYFUNCTION("""COMPUTED_VALUE"""),"Buenos Aires")</f>
        <v>Buenos Aires</v>
      </c>
      <c r="D148" s="30" t="str">
        <f ca="1">IFERROR(__xludf.DUMMYFUNCTION("""COMPUTED_VALUE"""),"6")</f>
        <v>6</v>
      </c>
      <c r="E148" s="30" t="str">
        <f ca="1">IFERROR(__xludf.DUMMYFUNCTION("""COMPUTED_VALUE"""),"")</f>
        <v/>
      </c>
      <c r="F148" s="29"/>
      <c r="G148" s="29"/>
      <c r="H148" s="30" t="str">
        <f ca="1">IFERROR(__xludf.DUMMYFUNCTION("""COMPUTED_VALUE"""),"activo")</f>
        <v>activo</v>
      </c>
      <c r="I148" s="29"/>
      <c r="J148" s="29"/>
      <c r="K148" s="29"/>
      <c r="L148" s="30" t="str">
        <f ca="1">IFERROR(__xludf.DUMMYFUNCTION("""COMPUTED_VALUE"""),"No")</f>
        <v>No</v>
      </c>
      <c r="M148" s="30" t="str">
        <f ca="1">IFERROR(__xludf.DUMMYFUNCTION("""COMPUTED_VALUE"""),"6098010004")</f>
        <v>6098010004</v>
      </c>
      <c r="N148" s="30" t="str">
        <f ca="1">IFERROR(__xludf.DUMMYFUNCTION("""COMPUTED_VALUE"""),"BERISSO")</f>
        <v>BERISSO</v>
      </c>
      <c r="O148" s="30" t="str">
        <f ca="1">IFERROR(__xludf.DUMMYFUNCTION("""COMPUTED_VALUE"""),"698")</f>
        <v>698</v>
      </c>
      <c r="P148" s="30" t="str">
        <f ca="1">IFERROR(__xludf.DUMMYFUNCTION("""COMPUTED_VALUE"""),"BERISSO")</f>
        <v>BERISSO</v>
      </c>
      <c r="Q148" s="30" t="str">
        <f ca="1">IFERROR(__xludf.DUMMYFUNCTION("""COMPUTED_VALUE"""),"-34.8832998")</f>
        <v>-34.8832998</v>
      </c>
      <c r="R148" s="30" t="str">
        <f ca="1">IFERROR(__xludf.DUMMYFUNCTION("""COMPUTED_VALUE"""),"-57.8912356")</f>
        <v>-57.8912356</v>
      </c>
      <c r="S148" s="30" t="str">
        <f ca="1">IFERROR(__xludf.DUMMYFUNCTION("""COMPUTED_VALUE"""),"Municipal")</f>
        <v>Municipal</v>
      </c>
      <c r="T148" s="30" t="str">
        <f ca="1">IFERROR(__xludf.DUMMYFUNCTION("""COMPUTED_VALUE"""),"BERISSO")</f>
        <v>BERISSO</v>
      </c>
    </row>
    <row r="149" spans="1:20" ht="15.75" customHeight="1" x14ac:dyDescent="0.25">
      <c r="A149" s="30" t="str">
        <f ca="1">IFERROR(__xludf.DUMMYFUNCTION("""COMPUTED_VALUE"""),"50060982215021")</f>
        <v>50060982215021</v>
      </c>
      <c r="B149" s="30" t="str">
        <f ca="1">IFERROR(__xludf.DUMMYFUNCTION("""COMPUTED_VALUE"""),"UNIDAD SANITARIA N 16")</f>
        <v>UNIDAD SANITARIA N 16</v>
      </c>
      <c r="C149" s="30" t="str">
        <f ca="1">IFERROR(__xludf.DUMMYFUNCTION("""COMPUTED_VALUE"""),"Buenos Aires")</f>
        <v>Buenos Aires</v>
      </c>
      <c r="D149" s="30" t="str">
        <f ca="1">IFERROR(__xludf.DUMMYFUNCTION("""COMPUTED_VALUE"""),"6")</f>
        <v>6</v>
      </c>
      <c r="E149" s="30" t="str">
        <f ca="1">IFERROR(__xludf.DUMMYFUNCTION("""COMPUTED_VALUE"""),"si")</f>
        <v>si</v>
      </c>
      <c r="F149" s="29"/>
      <c r="G149" s="29"/>
      <c r="H149" s="30" t="str">
        <f ca="1">IFERROR(__xludf.DUMMYFUNCTION("""COMPUTED_VALUE"""),"activo")</f>
        <v>activo</v>
      </c>
      <c r="I149" s="29"/>
      <c r="J149" s="29"/>
      <c r="K149" s="29"/>
      <c r="L149" s="30" t="str">
        <f ca="1">IFERROR(__xludf.DUMMYFUNCTION("""COMPUTED_VALUE"""),"No")</f>
        <v>No</v>
      </c>
      <c r="M149" s="30" t="str">
        <f ca="1">IFERROR(__xludf.DUMMYFUNCTION("""COMPUTED_VALUE"""),"6098010004")</f>
        <v>6098010004</v>
      </c>
      <c r="N149" s="30" t="str">
        <f ca="1">IFERROR(__xludf.DUMMYFUNCTION("""COMPUTED_VALUE"""),"BERISSO")</f>
        <v>BERISSO</v>
      </c>
      <c r="O149" s="30" t="str">
        <f ca="1">IFERROR(__xludf.DUMMYFUNCTION("""COMPUTED_VALUE"""),"698")</f>
        <v>698</v>
      </c>
      <c r="P149" s="30" t="str">
        <f ca="1">IFERROR(__xludf.DUMMYFUNCTION("""COMPUTED_VALUE"""),"BERISSO")</f>
        <v>BERISSO</v>
      </c>
      <c r="Q149" s="30" t="str">
        <f ca="1">IFERROR(__xludf.DUMMYFUNCTION("""COMPUTED_VALUE"""),"-34.88181207")</f>
        <v>-34.88181207</v>
      </c>
      <c r="R149" s="30" t="str">
        <f ca="1">IFERROR(__xludf.DUMMYFUNCTION("""COMPUTED_VALUE"""),"-57.85898209")</f>
        <v>-57.85898209</v>
      </c>
      <c r="S149" s="30" t="str">
        <f ca="1">IFERROR(__xludf.DUMMYFUNCTION("""COMPUTED_VALUE"""),"Municipal")</f>
        <v>Municipal</v>
      </c>
      <c r="T149" s="30" t="str">
        <f ca="1">IFERROR(__xludf.DUMMYFUNCTION("""COMPUTED_VALUE"""),"BERISSO")</f>
        <v>BERISSO</v>
      </c>
    </row>
    <row r="150" spans="1:20" ht="15.75" customHeight="1" x14ac:dyDescent="0.25">
      <c r="A150" s="30" t="str">
        <f ca="1">IFERROR(__xludf.DUMMYFUNCTION("""COMPUTED_VALUE"""),"50064412202466")</f>
        <v>50064412202466</v>
      </c>
      <c r="B150" s="30" t="str">
        <f ca="1">IFERROR(__xludf.DUMMYFUNCTION("""COMPUTED_VALUE"""),"UNIDAD SANITARIA N° 1 LOS HORNOS DE LA PLATA")</f>
        <v>UNIDAD SANITARIA N° 1 LOS HORNOS DE LA PLATA</v>
      </c>
      <c r="C150" s="30" t="str">
        <f ca="1">IFERROR(__xludf.DUMMYFUNCTION("""COMPUTED_VALUE"""),"Buenos Aires")</f>
        <v>Buenos Aires</v>
      </c>
      <c r="D150" s="30" t="str">
        <f ca="1">IFERROR(__xludf.DUMMYFUNCTION("""COMPUTED_VALUE"""),"6")</f>
        <v>6</v>
      </c>
      <c r="E150" s="30" t="str">
        <f ca="1">IFERROR(__xludf.DUMMYFUNCTION("""COMPUTED_VALUE"""),"")</f>
        <v/>
      </c>
      <c r="F150" s="29"/>
      <c r="G150" s="29"/>
      <c r="H150" s="30" t="str">
        <f ca="1">IFERROR(__xludf.DUMMYFUNCTION("""COMPUTED_VALUE"""),"inactivo")</f>
        <v>inactivo</v>
      </c>
      <c r="I150" s="30" t="str">
        <f ca="1">IFERROR(__xludf.DUMMYFUNCTION("""COMPUTED_VALUE"""),"se dio de baja durante la Adenda al CAI 2020. Cabio su Codigo REFES a 50064412201271. Sigue siendo el mismo efector")</f>
        <v>se dio de baja durante la Adenda al CAI 2020. Cabio su Codigo REFES a 50064412201271. Sigue siendo el mismo efector</v>
      </c>
      <c r="J150" s="29"/>
      <c r="K150" s="29"/>
      <c r="L150" s="30" t="str">
        <f ca="1">IFERROR(__xludf.DUMMYFUNCTION("""COMPUTED_VALUE"""),"No")</f>
        <v>No</v>
      </c>
      <c r="M150" s="30" t="str">
        <f ca="1">IFERROR(__xludf.DUMMYFUNCTION("""COMPUTED_VALUE"""),"6441030015")</f>
        <v>6441030015</v>
      </c>
      <c r="N150" s="30" t="str">
        <f ca="1">IFERROR(__xludf.DUMMYFUNCTION("""COMPUTED_VALUE"""),"LA PLATA")</f>
        <v>LA PLATA</v>
      </c>
      <c r="O150" s="30" t="str">
        <f ca="1">IFERROR(__xludf.DUMMYFUNCTION("""COMPUTED_VALUE"""),"6441")</f>
        <v>6441</v>
      </c>
      <c r="P150" s="30" t="str">
        <f ca="1">IFERROR(__xludf.DUMMYFUNCTION("""COMPUTED_VALUE"""),"LA PLATA")</f>
        <v>LA PLATA</v>
      </c>
      <c r="Q150" s="30" t="str">
        <f ca="1">IFERROR(__xludf.DUMMYFUNCTION("""COMPUTED_VALUE"""),"-34.956038")</f>
        <v>-34.956038</v>
      </c>
      <c r="R150" s="30" t="str">
        <f ca="1">IFERROR(__xludf.DUMMYFUNCTION("""COMPUTED_VALUE"""),"-57.981209")</f>
        <v>-57.981209</v>
      </c>
      <c r="S150" s="30" t="str">
        <f ca="1">IFERROR(__xludf.DUMMYFUNCTION("""COMPUTED_VALUE"""),"Municipal")</f>
        <v>Municipal</v>
      </c>
      <c r="T150" s="30" t="str">
        <f ca="1">IFERROR(__xludf.DUMMYFUNCTION("""COMPUTED_VALUE"""),"LA PLATA")</f>
        <v>LA PLATA</v>
      </c>
    </row>
    <row r="151" spans="1:20" ht="15.75" customHeight="1" x14ac:dyDescent="0.25">
      <c r="A151" s="30" t="str">
        <f ca="1">IFERROR(__xludf.DUMMYFUNCTION("""COMPUTED_VALUE"""),"50064412201304")</f>
        <v>50064412201304</v>
      </c>
      <c r="B151" s="30" t="str">
        <f ca="1">IFERROR(__xludf.DUMMYFUNCTION("""COMPUTED_VALUE"""),"CENTRO DE SALUD N° 27 DE LA PLATA")</f>
        <v>CENTRO DE SALUD N° 27 DE LA PLATA</v>
      </c>
      <c r="C151" s="30" t="str">
        <f ca="1">IFERROR(__xludf.DUMMYFUNCTION("""COMPUTED_VALUE"""),"Buenos Aires")</f>
        <v>Buenos Aires</v>
      </c>
      <c r="D151" s="30" t="str">
        <f ca="1">IFERROR(__xludf.DUMMYFUNCTION("""COMPUTED_VALUE"""),"6")</f>
        <v>6</v>
      </c>
      <c r="E151" s="30" t="str">
        <f ca="1">IFERROR(__xludf.DUMMYFUNCTION("""COMPUTED_VALUE"""),"")</f>
        <v/>
      </c>
      <c r="F151" s="29"/>
      <c r="G151" s="29"/>
      <c r="H151" s="30" t="str">
        <f ca="1">IFERROR(__xludf.DUMMYFUNCTION("""COMPUTED_VALUE"""),"activo")</f>
        <v>activo</v>
      </c>
      <c r="I151" s="29"/>
      <c r="J151" s="29"/>
      <c r="K151" s="29"/>
      <c r="L151" s="30" t="str">
        <f ca="1">IFERROR(__xludf.DUMMYFUNCTION("""COMPUTED_VALUE"""),"No")</f>
        <v>No</v>
      </c>
      <c r="M151" s="30" t="str">
        <f ca="1">IFERROR(__xludf.DUMMYFUNCTION("""COMPUTED_VALUE"""),"6441030015")</f>
        <v>6441030015</v>
      </c>
      <c r="N151" s="30" t="str">
        <f ca="1">IFERROR(__xludf.DUMMYFUNCTION("""COMPUTED_VALUE"""),"LA PLATA")</f>
        <v>LA PLATA</v>
      </c>
      <c r="O151" s="30" t="str">
        <f ca="1">IFERROR(__xludf.DUMMYFUNCTION("""COMPUTED_VALUE"""),"6441")</f>
        <v>6441</v>
      </c>
      <c r="P151" s="30" t="str">
        <f ca="1">IFERROR(__xludf.DUMMYFUNCTION("""COMPUTED_VALUE"""),"LA PLATA")</f>
        <v>LA PLATA</v>
      </c>
      <c r="Q151" s="30" t="str">
        <f ca="1">IFERROR(__xludf.DUMMYFUNCTION("""COMPUTED_VALUE"""),"-34.91174779")</f>
        <v>-34.91174779</v>
      </c>
      <c r="R151" s="30" t="str">
        <f ca="1">IFERROR(__xludf.DUMMYFUNCTION("""COMPUTED_VALUE"""),"-57.99394298")</f>
        <v>-57.99394298</v>
      </c>
      <c r="S151" s="30" t="str">
        <f ca="1">IFERROR(__xludf.DUMMYFUNCTION("""COMPUTED_VALUE"""),"Municipal")</f>
        <v>Municipal</v>
      </c>
      <c r="T151" s="30" t="str">
        <f ca="1">IFERROR(__xludf.DUMMYFUNCTION("""COMPUTED_VALUE"""),"LA PLATA")</f>
        <v>LA PLATA</v>
      </c>
    </row>
    <row r="152" spans="1:20" ht="15.75" customHeight="1" x14ac:dyDescent="0.25">
      <c r="A152" s="30" t="str">
        <f ca="1">IFERROR(__xludf.DUMMYFUNCTION("""COMPUTED_VALUE"""),"50064412201283")</f>
        <v>50064412201283</v>
      </c>
      <c r="B152" s="30" t="str">
        <f ca="1">IFERROR(__xludf.DUMMYFUNCTION("""COMPUTED_VALUE"""),"CENTRO DE SALUD N° 16 DE LA PLATA")</f>
        <v>CENTRO DE SALUD N° 16 DE LA PLATA</v>
      </c>
      <c r="C152" s="30" t="str">
        <f ca="1">IFERROR(__xludf.DUMMYFUNCTION("""COMPUTED_VALUE"""),"Buenos Aires")</f>
        <v>Buenos Aires</v>
      </c>
      <c r="D152" s="30" t="str">
        <f ca="1">IFERROR(__xludf.DUMMYFUNCTION("""COMPUTED_VALUE"""),"6")</f>
        <v>6</v>
      </c>
      <c r="E152" s="30" t="str">
        <f ca="1">IFERROR(__xludf.DUMMYFUNCTION("""COMPUTED_VALUE"""),"")</f>
        <v/>
      </c>
      <c r="F152" s="29"/>
      <c r="G152" s="29"/>
      <c r="H152" s="30" t="str">
        <f ca="1">IFERROR(__xludf.DUMMYFUNCTION("""COMPUTED_VALUE"""),"activo")</f>
        <v>activo</v>
      </c>
      <c r="I152" s="29"/>
      <c r="J152" s="29"/>
      <c r="K152" s="29"/>
      <c r="L152" s="30" t="str">
        <f ca="1">IFERROR(__xludf.DUMMYFUNCTION("""COMPUTED_VALUE"""),"No")</f>
        <v>No</v>
      </c>
      <c r="M152" s="30" t="str">
        <f ca="1">IFERROR(__xludf.DUMMYFUNCTION("""COMPUTED_VALUE"""),"6441030015")</f>
        <v>6441030015</v>
      </c>
      <c r="N152" s="30" t="str">
        <f ca="1">IFERROR(__xludf.DUMMYFUNCTION("""COMPUTED_VALUE"""),"LA PLATA")</f>
        <v>LA PLATA</v>
      </c>
      <c r="O152" s="30" t="str">
        <f ca="1">IFERROR(__xludf.DUMMYFUNCTION("""COMPUTED_VALUE"""),"6441")</f>
        <v>6441</v>
      </c>
      <c r="P152" s="30" t="str">
        <f ca="1">IFERROR(__xludf.DUMMYFUNCTION("""COMPUTED_VALUE"""),"LA PLATA")</f>
        <v>LA PLATA</v>
      </c>
      <c r="Q152" s="30" t="str">
        <f ca="1">IFERROR(__xludf.DUMMYFUNCTION("""COMPUTED_VALUE"""),"-34.98864569")</f>
        <v>-34.98864569</v>
      </c>
      <c r="R152" s="30" t="str">
        <f ca="1">IFERROR(__xludf.DUMMYFUNCTION("""COMPUTED_VALUE"""),"-58.00359106")</f>
        <v>-58.00359106</v>
      </c>
      <c r="S152" s="30" t="str">
        <f ca="1">IFERROR(__xludf.DUMMYFUNCTION("""COMPUTED_VALUE"""),"Municipal")</f>
        <v>Municipal</v>
      </c>
      <c r="T152" s="30" t="str">
        <f ca="1">IFERROR(__xludf.DUMMYFUNCTION("""COMPUTED_VALUE"""),"LA PLATA")</f>
        <v>LA PLATA</v>
      </c>
    </row>
    <row r="153" spans="1:20" ht="15.75" customHeight="1" x14ac:dyDescent="0.25">
      <c r="A153" s="30" t="str">
        <f ca="1">IFERROR(__xludf.DUMMYFUNCTION("""COMPUTED_VALUE"""),"50064412206751")</f>
        <v>50064412206751</v>
      </c>
      <c r="B153" s="30" t="str">
        <f ca="1">IFERROR(__xludf.DUMMYFUNCTION("""COMPUTED_VALUE"""),"CENTRO DE SALUD N° 44")</f>
        <v>CENTRO DE SALUD N° 44</v>
      </c>
      <c r="C153" s="30" t="str">
        <f ca="1">IFERROR(__xludf.DUMMYFUNCTION("""COMPUTED_VALUE"""),"Buenos Aires")</f>
        <v>Buenos Aires</v>
      </c>
      <c r="D153" s="30" t="str">
        <f ca="1">IFERROR(__xludf.DUMMYFUNCTION("""COMPUTED_VALUE"""),"6")</f>
        <v>6</v>
      </c>
      <c r="E153" s="30" t="str">
        <f ca="1">IFERROR(__xludf.DUMMYFUNCTION("""COMPUTED_VALUE"""),"")</f>
        <v/>
      </c>
      <c r="F153" s="29"/>
      <c r="G153" s="29"/>
      <c r="H153" s="30" t="str">
        <f ca="1">IFERROR(__xludf.DUMMYFUNCTION("""COMPUTED_VALUE"""),"activo")</f>
        <v>activo</v>
      </c>
      <c r="I153" s="29"/>
      <c r="J153" s="29"/>
      <c r="K153" s="29"/>
      <c r="L153" s="30" t="str">
        <f ca="1">IFERROR(__xludf.DUMMYFUNCTION("""COMPUTED_VALUE"""),"No")</f>
        <v>No</v>
      </c>
      <c r="M153" s="30" t="str">
        <f ca="1">IFERROR(__xludf.DUMMYFUNCTION("""COMPUTED_VALUE"""),"6441030017")</f>
        <v>6441030017</v>
      </c>
      <c r="N153" s="30" t="str">
        <f ca="1">IFERROR(__xludf.DUMMYFUNCTION("""COMPUTED_VALUE"""),"LOS HORNOS")</f>
        <v>LOS HORNOS</v>
      </c>
      <c r="O153" s="30" t="str">
        <f ca="1">IFERROR(__xludf.DUMMYFUNCTION("""COMPUTED_VALUE"""),"6441")</f>
        <v>6441</v>
      </c>
      <c r="P153" s="30" t="str">
        <f ca="1">IFERROR(__xludf.DUMMYFUNCTION("""COMPUTED_VALUE"""),"LA PLATA")</f>
        <v>LA PLATA</v>
      </c>
      <c r="Q153" s="30" t="str">
        <f ca="1">IFERROR(__xludf.DUMMYFUNCTION("""COMPUTED_VALUE"""),"-34.96571086")</f>
        <v>-34.96571086</v>
      </c>
      <c r="R153" s="30" t="str">
        <f ca="1">IFERROR(__xludf.DUMMYFUNCTION("""COMPUTED_VALUE"""),"-58.00098896")</f>
        <v>-58.00098896</v>
      </c>
      <c r="S153" s="30" t="str">
        <f ca="1">IFERROR(__xludf.DUMMYFUNCTION("""COMPUTED_VALUE"""),"Municipal")</f>
        <v>Municipal</v>
      </c>
      <c r="T153" s="30" t="str">
        <f ca="1">IFERROR(__xludf.DUMMYFUNCTION("""COMPUTED_VALUE"""),"LA PLATA")</f>
        <v>LA PLATA</v>
      </c>
    </row>
    <row r="154" spans="1:20" ht="15.75" customHeight="1" x14ac:dyDescent="0.25">
      <c r="A154" s="30" t="str">
        <f ca="1">IFERROR(__xludf.DUMMYFUNCTION("""COMPUTED_VALUE"""),"50064412202581")</f>
        <v>50064412202581</v>
      </c>
      <c r="B154" s="30" t="str">
        <f ca="1">IFERROR(__xludf.DUMMYFUNCTION("""COMPUTED_VALUE"""),"UNIDAD SANITARIA N° 28 DE LA PLATA")</f>
        <v>UNIDAD SANITARIA N° 28 DE LA PLATA</v>
      </c>
      <c r="C154" s="30" t="str">
        <f ca="1">IFERROR(__xludf.DUMMYFUNCTION("""COMPUTED_VALUE"""),"Buenos Aires")</f>
        <v>Buenos Aires</v>
      </c>
      <c r="D154" s="30" t="str">
        <f ca="1">IFERROR(__xludf.DUMMYFUNCTION("""COMPUTED_VALUE"""),"6")</f>
        <v>6</v>
      </c>
      <c r="E154" s="30" t="str">
        <f ca="1">IFERROR(__xludf.DUMMYFUNCTION("""COMPUTED_VALUE"""),"")</f>
        <v/>
      </c>
      <c r="F154" s="29"/>
      <c r="G154" s="29"/>
      <c r="H154" s="30" t="str">
        <f ca="1">IFERROR(__xludf.DUMMYFUNCTION("""COMPUTED_VALUE"""),"activo")</f>
        <v>activo</v>
      </c>
      <c r="I154" s="29"/>
      <c r="J154" s="29"/>
      <c r="K154" s="29"/>
      <c r="L154" s="30" t="str">
        <f ca="1">IFERROR(__xludf.DUMMYFUNCTION("""COMPUTED_VALUE"""),"No")</f>
        <v>No</v>
      </c>
      <c r="M154" s="30" t="str">
        <f ca="1">IFERROR(__xludf.DUMMYFUNCTION("""COMPUTED_VALUE"""),"6441030018")</f>
        <v>6441030018</v>
      </c>
      <c r="N154" s="30" t="str">
        <f ca="1">IFERROR(__xludf.DUMMYFUNCTION("""COMPUTED_VALUE"""),"MANUEL B. GONNET")</f>
        <v>MANUEL B. GONNET</v>
      </c>
      <c r="O154" s="30" t="str">
        <f ca="1">IFERROR(__xludf.DUMMYFUNCTION("""COMPUTED_VALUE"""),"6441")</f>
        <v>6441</v>
      </c>
      <c r="P154" s="30" t="str">
        <f ca="1">IFERROR(__xludf.DUMMYFUNCTION("""COMPUTED_VALUE"""),"LA PLATA")</f>
        <v>LA PLATA</v>
      </c>
      <c r="Q154" s="30" t="str">
        <f ca="1">IFERROR(__xludf.DUMMYFUNCTION("""COMPUTED_VALUE"""),"-34.87738494")</f>
        <v>-34.87738494</v>
      </c>
      <c r="R154" s="30" t="str">
        <f ca="1">IFERROR(__xludf.DUMMYFUNCTION("""COMPUTED_VALUE"""),"-58.01526403")</f>
        <v>-58.01526403</v>
      </c>
      <c r="S154" s="30" t="str">
        <f ca="1">IFERROR(__xludf.DUMMYFUNCTION("""COMPUTED_VALUE"""),"Municipal")</f>
        <v>Municipal</v>
      </c>
      <c r="T154" s="30" t="str">
        <f ca="1">IFERROR(__xludf.DUMMYFUNCTION("""COMPUTED_VALUE"""),"LA PLATA")</f>
        <v>LA PLATA</v>
      </c>
    </row>
    <row r="155" spans="1:20" ht="15.75" customHeight="1" x14ac:dyDescent="0.25">
      <c r="A155" s="30" t="str">
        <f ca="1">IFERROR(__xludf.DUMMYFUNCTION("""COMPUTED_VALUE"""),"50064412202678")</f>
        <v>50064412202678</v>
      </c>
      <c r="B155" s="30" t="str">
        <f ca="1">IFERROR(__xludf.DUMMYFUNCTION("""COMPUTED_VALUE"""),"UNIDAD SANITARIA N° 9 DE LA PLATA")</f>
        <v>UNIDAD SANITARIA N° 9 DE LA PLATA</v>
      </c>
      <c r="C155" s="30" t="str">
        <f ca="1">IFERROR(__xludf.DUMMYFUNCTION("""COMPUTED_VALUE"""),"Buenos Aires")</f>
        <v>Buenos Aires</v>
      </c>
      <c r="D155" s="30" t="str">
        <f ca="1">IFERROR(__xludf.DUMMYFUNCTION("""COMPUTED_VALUE"""),"6")</f>
        <v>6</v>
      </c>
      <c r="E155" s="30" t="str">
        <f ca="1">IFERROR(__xludf.DUMMYFUNCTION("""COMPUTED_VALUE"""),"")</f>
        <v/>
      </c>
      <c r="F155" s="29"/>
      <c r="G155" s="29"/>
      <c r="H155" s="30" t="str">
        <f ca="1">IFERROR(__xludf.DUMMYFUNCTION("""COMPUTED_VALUE"""),"activo")</f>
        <v>activo</v>
      </c>
      <c r="I155" s="29"/>
      <c r="J155" s="29"/>
      <c r="K155" s="29"/>
      <c r="L155" s="30" t="str">
        <f ca="1">IFERROR(__xludf.DUMMYFUNCTION("""COMPUTED_VALUE"""),"No")</f>
        <v>No</v>
      </c>
      <c r="M155" s="30" t="str">
        <f ca="1">IFERROR(__xludf.DUMMYFUNCTION("""COMPUTED_VALUE"""),"6441030012")</f>
        <v>6441030012</v>
      </c>
      <c r="N155" s="30" t="str">
        <f ca="1">IFERROR(__xludf.DUMMYFUNCTION("""COMPUTED_VALUE"""),"JOSE HERNANDEZ")</f>
        <v>JOSE HERNANDEZ</v>
      </c>
      <c r="O155" s="30" t="str">
        <f ca="1">IFERROR(__xludf.DUMMYFUNCTION("""COMPUTED_VALUE"""),"6441")</f>
        <v>6441</v>
      </c>
      <c r="P155" s="30" t="str">
        <f ca="1">IFERROR(__xludf.DUMMYFUNCTION("""COMPUTED_VALUE"""),"LA PLATA")</f>
        <v>LA PLATA</v>
      </c>
      <c r="Q155" s="30" t="str">
        <f ca="1">IFERROR(__xludf.DUMMYFUNCTION("""COMPUTED_VALUE"""),"-34.89295806")</f>
        <v>-34.89295806</v>
      </c>
      <c r="R155" s="30" t="str">
        <f ca="1">IFERROR(__xludf.DUMMYFUNCTION("""COMPUTED_VALUE"""),"-57.96892333")</f>
        <v>-57.96892333</v>
      </c>
      <c r="S155" s="30" t="str">
        <f ca="1">IFERROR(__xludf.DUMMYFUNCTION("""COMPUTED_VALUE"""),"Municipal")</f>
        <v>Municipal</v>
      </c>
      <c r="T155" s="30" t="str">
        <f ca="1">IFERROR(__xludf.DUMMYFUNCTION("""COMPUTED_VALUE"""),"LA PLATA")</f>
        <v>LA PLATA</v>
      </c>
    </row>
    <row r="156" spans="1:20" ht="15.75" customHeight="1" x14ac:dyDescent="0.25">
      <c r="A156" s="30" t="str">
        <f ca="1">IFERROR(__xludf.DUMMYFUNCTION("""COMPUTED_VALUE"""),"50064272202210")</f>
        <v>50064272202210</v>
      </c>
      <c r="B156" s="30" t="str">
        <f ca="1">IFERROR(__xludf.DUMMYFUNCTION("""COMPUTED_VALUE"""),"CENTRO DE SALUD DOMINGO ROCA")</f>
        <v>CENTRO DE SALUD DOMINGO ROCA</v>
      </c>
      <c r="C156" s="30" t="str">
        <f ca="1">IFERROR(__xludf.DUMMYFUNCTION("""COMPUTED_VALUE"""),"Buenos Aires")</f>
        <v>Buenos Aires</v>
      </c>
      <c r="D156" s="30" t="str">
        <f ca="1">IFERROR(__xludf.DUMMYFUNCTION("""COMPUTED_VALUE"""),"6")</f>
        <v>6</v>
      </c>
      <c r="E156" s="30" t="str">
        <f ca="1">IFERROR(__xludf.DUMMYFUNCTION("""COMPUTED_VALUE"""),"")</f>
        <v/>
      </c>
      <c r="F156" s="29"/>
      <c r="G156" s="29"/>
      <c r="H156" s="30" t="str">
        <f ca="1">IFERROR(__xludf.DUMMYFUNCTION("""COMPUTED_VALUE"""),"activo")</f>
        <v>activo</v>
      </c>
      <c r="I156" s="29"/>
      <c r="J156" s="29"/>
      <c r="K156" s="29"/>
      <c r="L156" s="30" t="str">
        <f ca="1">IFERROR(__xludf.DUMMYFUNCTION("""COMPUTED_VALUE"""),"No")</f>
        <v>No</v>
      </c>
      <c r="M156" s="30" t="str">
        <f ca="1">IFERROR(__xludf.DUMMYFUNCTION("""COMPUTED_VALUE"""),"6427010015")</f>
        <v>6427010015</v>
      </c>
      <c r="N156" s="30" t="str">
        <f ca="1">IFERROR(__xludf.DUMMYFUNCTION("""COMPUTED_VALUE"""),"VIRREY DEL PINO")</f>
        <v>VIRREY DEL PINO</v>
      </c>
      <c r="O156" s="30" t="str">
        <f ca="1">IFERROR(__xludf.DUMMYFUNCTION("""COMPUTED_VALUE"""),"6427")</f>
        <v>6427</v>
      </c>
      <c r="P156" s="30" t="str">
        <f ca="1">IFERROR(__xludf.DUMMYFUNCTION("""COMPUTED_VALUE"""),"LA MATANZA")</f>
        <v>LA MATANZA</v>
      </c>
      <c r="Q156" s="30" t="str">
        <f ca="1">IFERROR(__xludf.DUMMYFUNCTION("""COMPUTED_VALUE"""),"-34.81956931")</f>
        <v>-34.81956931</v>
      </c>
      <c r="R156" s="30" t="str">
        <f ca="1">IFERROR(__xludf.DUMMYFUNCTION("""COMPUTED_VALUE"""),"-58.6477232")</f>
        <v>-58.6477232</v>
      </c>
      <c r="S156" s="30" t="str">
        <f ca="1">IFERROR(__xludf.DUMMYFUNCTION("""COMPUTED_VALUE"""),"Municipal")</f>
        <v>Municipal</v>
      </c>
      <c r="T156" s="30" t="str">
        <f ca="1">IFERROR(__xludf.DUMMYFUNCTION("""COMPUTED_VALUE"""),"LA MATANZA")</f>
        <v>LA MATANZA</v>
      </c>
    </row>
    <row r="157" spans="1:20" ht="15.75" customHeight="1" x14ac:dyDescent="0.25">
      <c r="A157" s="30" t="str">
        <f ca="1">IFERROR(__xludf.DUMMYFUNCTION("""COMPUTED_VALUE"""),"50064272202325")</f>
        <v>50064272202325</v>
      </c>
      <c r="B157" s="30" t="str">
        <f ca="1">IFERROR(__xludf.DUMMYFUNCTION("""COMPUTED_VALUE"""),"UNIDAD SANITARIA IGNACIO EZCURRA DE VILLA DORREGO")</f>
        <v>UNIDAD SANITARIA IGNACIO EZCURRA DE VILLA DORREGO</v>
      </c>
      <c r="C157" s="30" t="str">
        <f ca="1">IFERROR(__xludf.DUMMYFUNCTION("""COMPUTED_VALUE"""),"Buenos Aires")</f>
        <v>Buenos Aires</v>
      </c>
      <c r="D157" s="30" t="str">
        <f ca="1">IFERROR(__xludf.DUMMYFUNCTION("""COMPUTED_VALUE"""),"6")</f>
        <v>6</v>
      </c>
      <c r="E157" s="30" t="str">
        <f ca="1">IFERROR(__xludf.DUMMYFUNCTION("""COMPUTED_VALUE"""),"")</f>
        <v/>
      </c>
      <c r="F157" s="29"/>
      <c r="G157" s="29"/>
      <c r="H157" s="30" t="str">
        <f ca="1">IFERROR(__xludf.DUMMYFUNCTION("""COMPUTED_VALUE"""),"activo")</f>
        <v>activo</v>
      </c>
      <c r="I157" s="29"/>
      <c r="J157" s="29"/>
      <c r="K157" s="29"/>
      <c r="L157" s="30" t="str">
        <f ca="1">IFERROR(__xludf.DUMMYFUNCTION("""COMPUTED_VALUE"""),"No")</f>
        <v>No</v>
      </c>
      <c r="M157" s="30" t="str">
        <f ca="1">IFERROR(__xludf.DUMMYFUNCTION("""COMPUTED_VALUE"""),"6427010003")</f>
        <v>6427010003</v>
      </c>
      <c r="N157" s="30" t="str">
        <f ca="1">IFERROR(__xludf.DUMMYFUNCTION("""COMPUTED_VALUE"""),"GONZALEZ CATAN")</f>
        <v>GONZALEZ CATAN</v>
      </c>
      <c r="O157" s="30" t="str">
        <f ca="1">IFERROR(__xludf.DUMMYFUNCTION("""COMPUTED_VALUE"""),"6427")</f>
        <v>6427</v>
      </c>
      <c r="P157" s="30" t="str">
        <f ca="1">IFERROR(__xludf.DUMMYFUNCTION("""COMPUTED_VALUE"""),"LA MATANZA")</f>
        <v>LA MATANZA</v>
      </c>
      <c r="Q157" s="30" t="str">
        <f ca="1">IFERROR(__xludf.DUMMYFUNCTION("""COMPUTED_VALUE"""),"-34.77337913")</f>
        <v>-34.77337913</v>
      </c>
      <c r="R157" s="30" t="str">
        <f ca="1">IFERROR(__xludf.DUMMYFUNCTION("""COMPUTED_VALUE"""),"-58.61321712")</f>
        <v>-58.61321712</v>
      </c>
      <c r="S157" s="30" t="str">
        <f ca="1">IFERROR(__xludf.DUMMYFUNCTION("""COMPUTED_VALUE"""),"Municipal")</f>
        <v>Municipal</v>
      </c>
      <c r="T157" s="30" t="str">
        <f ca="1">IFERROR(__xludf.DUMMYFUNCTION("""COMPUTED_VALUE"""),"LA MATANZA")</f>
        <v>LA MATANZA</v>
      </c>
    </row>
    <row r="158" spans="1:20" ht="15.75" customHeight="1" x14ac:dyDescent="0.25">
      <c r="A158" s="30" t="str">
        <f ca="1">IFERROR(__xludf.DUMMYFUNCTION("""COMPUTED_VALUE"""),"50064272201769")</f>
        <v>50064272201769</v>
      </c>
      <c r="B158" s="30" t="str">
        <f ca="1">IFERROR(__xludf.DUMMYFUNCTION("""COMPUTED_VALUE"""),"UNIDAD DE SALUD MONSEÑOR BUFANO")</f>
        <v>UNIDAD DE SALUD MONSEÑOR BUFANO</v>
      </c>
      <c r="C158" s="30" t="str">
        <f ca="1">IFERROR(__xludf.DUMMYFUNCTION("""COMPUTED_VALUE"""),"Buenos Aires")</f>
        <v>Buenos Aires</v>
      </c>
      <c r="D158" s="30" t="str">
        <f ca="1">IFERROR(__xludf.DUMMYFUNCTION("""COMPUTED_VALUE"""),"6")</f>
        <v>6</v>
      </c>
      <c r="E158" s="30" t="str">
        <f ca="1">IFERROR(__xludf.DUMMYFUNCTION("""COMPUTED_VALUE"""),"")</f>
        <v/>
      </c>
      <c r="F158" s="29"/>
      <c r="G158" s="29"/>
      <c r="H158" s="30" t="str">
        <f ca="1">IFERROR(__xludf.DUMMYFUNCTION("""COMPUTED_VALUE"""),"activo")</f>
        <v>activo</v>
      </c>
      <c r="I158" s="29"/>
      <c r="J158" s="29"/>
      <c r="K158" s="29"/>
      <c r="L158" s="30" t="str">
        <f ca="1">IFERROR(__xludf.DUMMYFUNCTION("""COMPUTED_VALUE"""),"No")</f>
        <v>No</v>
      </c>
      <c r="M158" s="30" t="str">
        <f ca="1">IFERROR(__xludf.DUMMYFUNCTION("""COMPUTED_VALUE"""),"6427010008")</f>
        <v>6427010008</v>
      </c>
      <c r="N158" s="30" t="str">
        <f ca="1">IFERROR(__xludf.DUMMYFUNCTION("""COMPUTED_VALUE"""),"RAFAEL CASTILLO")</f>
        <v>RAFAEL CASTILLO</v>
      </c>
      <c r="O158" s="30" t="str">
        <f ca="1">IFERROR(__xludf.DUMMYFUNCTION("""COMPUTED_VALUE"""),"6427")</f>
        <v>6427</v>
      </c>
      <c r="P158" s="30" t="str">
        <f ca="1">IFERROR(__xludf.DUMMYFUNCTION("""COMPUTED_VALUE"""),"LA MATANZA")</f>
        <v>LA MATANZA</v>
      </c>
      <c r="Q158" s="30" t="str">
        <f ca="1">IFERROR(__xludf.DUMMYFUNCTION("""COMPUTED_VALUE"""),"-34.73557229")</f>
        <v>-34.73557229</v>
      </c>
      <c r="R158" s="30" t="str">
        <f ca="1">IFERROR(__xludf.DUMMYFUNCTION("""COMPUTED_VALUE"""),"-58.6283555")</f>
        <v>-58.6283555</v>
      </c>
      <c r="S158" s="30" t="str">
        <f ca="1">IFERROR(__xludf.DUMMYFUNCTION("""COMPUTED_VALUE"""),"Municipal")</f>
        <v>Municipal</v>
      </c>
      <c r="T158" s="30" t="str">
        <f ca="1">IFERROR(__xludf.DUMMYFUNCTION("""COMPUTED_VALUE"""),"LA MATANZA")</f>
        <v>LA MATANZA</v>
      </c>
    </row>
    <row r="159" spans="1:20" ht="15.75" customHeight="1" x14ac:dyDescent="0.25">
      <c r="A159" s="30" t="str">
        <f ca="1">IFERROR(__xludf.DUMMYFUNCTION("""COMPUTED_VALUE"""),"50064272201915")</f>
        <v>50064272201915</v>
      </c>
      <c r="B159" s="30" t="str">
        <f ca="1">IFERROR(__xludf.DUMMYFUNCTION("""COMPUTED_VALUE"""),"UNIDAD DE SALUD SABIN")</f>
        <v>UNIDAD DE SALUD SABIN</v>
      </c>
      <c r="C159" s="30" t="str">
        <f ca="1">IFERROR(__xludf.DUMMYFUNCTION("""COMPUTED_VALUE"""),"Buenos Aires")</f>
        <v>Buenos Aires</v>
      </c>
      <c r="D159" s="30" t="str">
        <f ca="1">IFERROR(__xludf.DUMMYFUNCTION("""COMPUTED_VALUE"""),"6")</f>
        <v>6</v>
      </c>
      <c r="E159" s="30" t="str">
        <f ca="1">IFERROR(__xludf.DUMMYFUNCTION("""COMPUTED_VALUE"""),"")</f>
        <v/>
      </c>
      <c r="F159" s="29"/>
      <c r="G159" s="29"/>
      <c r="H159" s="30" t="str">
        <f ca="1">IFERROR(__xludf.DUMMYFUNCTION("""COMPUTED_VALUE"""),"activo")</f>
        <v>activo</v>
      </c>
      <c r="I159" s="29"/>
      <c r="J159" s="29"/>
      <c r="K159" s="29"/>
      <c r="L159" s="30" t="str">
        <f ca="1">IFERROR(__xludf.DUMMYFUNCTION("""COMPUTED_VALUE"""),"No")</f>
        <v>No</v>
      </c>
      <c r="M159" s="30" t="str">
        <f ca="1">IFERROR(__xludf.DUMMYFUNCTION("""COMPUTED_VALUE"""),"6427010003")</f>
        <v>6427010003</v>
      </c>
      <c r="N159" s="30" t="str">
        <f ca="1">IFERROR(__xludf.DUMMYFUNCTION("""COMPUTED_VALUE"""),"GONZALEZ CATAN")</f>
        <v>GONZALEZ CATAN</v>
      </c>
      <c r="O159" s="30" t="str">
        <f ca="1">IFERROR(__xludf.DUMMYFUNCTION("""COMPUTED_VALUE"""),"6427")</f>
        <v>6427</v>
      </c>
      <c r="P159" s="30" t="str">
        <f ca="1">IFERROR(__xludf.DUMMYFUNCTION("""COMPUTED_VALUE"""),"LA MATANZA")</f>
        <v>LA MATANZA</v>
      </c>
      <c r="Q159" s="30" t="str">
        <f ca="1">IFERROR(__xludf.DUMMYFUNCTION("""COMPUTED_VALUE"""),"-34.75985916")</f>
        <v>-34.75985916</v>
      </c>
      <c r="R159" s="30" t="str">
        <f ca="1">IFERROR(__xludf.DUMMYFUNCTION("""COMPUTED_VALUE"""),"-58.63228226")</f>
        <v>-58.63228226</v>
      </c>
      <c r="S159" s="30" t="str">
        <f ca="1">IFERROR(__xludf.DUMMYFUNCTION("""COMPUTED_VALUE"""),"Municipal")</f>
        <v>Municipal</v>
      </c>
      <c r="T159" s="30" t="str">
        <f ca="1">IFERROR(__xludf.DUMMYFUNCTION("""COMPUTED_VALUE"""),"LA MATANZA")</f>
        <v>LA MATANZA</v>
      </c>
    </row>
    <row r="160" spans="1:20" ht="15.75" customHeight="1" x14ac:dyDescent="0.25">
      <c r="A160" s="30" t="str">
        <f ca="1">IFERROR(__xludf.DUMMYFUNCTION("""COMPUTED_VALUE"""),"50064272202300")</f>
        <v>50064272202300</v>
      </c>
      <c r="B160" s="30" t="str">
        <f ca="1">IFERROR(__xludf.DUMMYFUNCTION("""COMPUTED_VALUE"""),"UNIDAD SANITARIA FRANCISCO CAPUTTO")</f>
        <v>UNIDAD SANITARIA FRANCISCO CAPUTTO</v>
      </c>
      <c r="C160" s="30" t="str">
        <f ca="1">IFERROR(__xludf.DUMMYFUNCTION("""COMPUTED_VALUE"""),"Buenos Aires")</f>
        <v>Buenos Aires</v>
      </c>
      <c r="D160" s="30" t="str">
        <f ca="1">IFERROR(__xludf.DUMMYFUNCTION("""COMPUTED_VALUE"""),"6")</f>
        <v>6</v>
      </c>
      <c r="E160" s="30" t="str">
        <f ca="1">IFERROR(__xludf.DUMMYFUNCTION("""COMPUTED_VALUE"""),"")</f>
        <v/>
      </c>
      <c r="F160" s="29"/>
      <c r="G160" s="29"/>
      <c r="H160" s="30" t="str">
        <f ca="1">IFERROR(__xludf.DUMMYFUNCTION("""COMPUTED_VALUE"""),"activo")</f>
        <v>activo</v>
      </c>
      <c r="I160" s="29"/>
      <c r="J160" s="29"/>
      <c r="K160" s="29"/>
      <c r="L160" s="30" t="str">
        <f ca="1">IFERROR(__xludf.DUMMYFUNCTION("""COMPUTED_VALUE"""),"No")</f>
        <v>No</v>
      </c>
      <c r="M160" s="30" t="str">
        <f ca="1">IFERROR(__xludf.DUMMYFUNCTION("""COMPUTED_VALUE"""),"6427010015")</f>
        <v>6427010015</v>
      </c>
      <c r="N160" s="30" t="str">
        <f ca="1">IFERROR(__xludf.DUMMYFUNCTION("""COMPUTED_VALUE"""),"VIRREY DEL PINO")</f>
        <v>VIRREY DEL PINO</v>
      </c>
      <c r="O160" s="30" t="str">
        <f ca="1">IFERROR(__xludf.DUMMYFUNCTION("""COMPUTED_VALUE"""),"6427")</f>
        <v>6427</v>
      </c>
      <c r="P160" s="30" t="str">
        <f ca="1">IFERROR(__xludf.DUMMYFUNCTION("""COMPUTED_VALUE"""),"LA MATANZA")</f>
        <v>LA MATANZA</v>
      </c>
      <c r="Q160" s="30" t="str">
        <f ca="1">IFERROR(__xludf.DUMMYFUNCTION("""COMPUTED_VALUE"""),"-34.90089883")</f>
        <v>-34.90089883</v>
      </c>
      <c r="R160" s="30" t="str">
        <f ca="1">IFERROR(__xludf.DUMMYFUNCTION("""COMPUTED_VALUE"""),"-58.69927311")</f>
        <v>-58.69927311</v>
      </c>
      <c r="S160" s="30" t="str">
        <f ca="1">IFERROR(__xludf.DUMMYFUNCTION("""COMPUTED_VALUE"""),"Municipal")</f>
        <v>Municipal</v>
      </c>
      <c r="T160" s="30" t="str">
        <f ca="1">IFERROR(__xludf.DUMMYFUNCTION("""COMPUTED_VALUE"""),"LA MATANZA")</f>
        <v>LA MATANZA</v>
      </c>
    </row>
    <row r="161" spans="1:20" ht="15.75" customHeight="1" x14ac:dyDescent="0.25">
      <c r="A161" s="30" t="str">
        <f ca="1">IFERROR(__xludf.DUMMYFUNCTION("""COMPUTED_VALUE"""),"50064272202763")</f>
        <v>50064272202763</v>
      </c>
      <c r="B161" s="30" t="str">
        <f ca="1">IFERROR(__xludf.DUMMYFUNCTION("""COMPUTED_VALUE"""),"CENTRO DE SALUD SAKAMOTO")</f>
        <v>CENTRO DE SALUD SAKAMOTO</v>
      </c>
      <c r="C161" s="30" t="str">
        <f ca="1">IFERROR(__xludf.DUMMYFUNCTION("""COMPUTED_VALUE"""),"Buenos Aires")</f>
        <v>Buenos Aires</v>
      </c>
      <c r="D161" s="30" t="str">
        <f ca="1">IFERROR(__xludf.DUMMYFUNCTION("""COMPUTED_VALUE"""),"6")</f>
        <v>6</v>
      </c>
      <c r="E161" s="30" t="str">
        <f ca="1">IFERROR(__xludf.DUMMYFUNCTION("""COMPUTED_VALUE"""),"")</f>
        <v/>
      </c>
      <c r="F161" s="29"/>
      <c r="G161" s="29"/>
      <c r="H161" s="30" t="str">
        <f ca="1">IFERROR(__xludf.DUMMYFUNCTION("""COMPUTED_VALUE"""),"activo")</f>
        <v>activo</v>
      </c>
      <c r="I161" s="29"/>
      <c r="J161" s="29"/>
      <c r="K161" s="29"/>
      <c r="L161" s="30" t="str">
        <f ca="1">IFERROR(__xludf.DUMMYFUNCTION("""COMPUTED_VALUE"""),"No")</f>
        <v>No</v>
      </c>
      <c r="M161" s="30" t="str">
        <f ca="1">IFERROR(__xludf.DUMMYFUNCTION("""COMPUTED_VALUE"""),"6427010008")</f>
        <v>6427010008</v>
      </c>
      <c r="N161" s="30" t="str">
        <f ca="1">IFERROR(__xludf.DUMMYFUNCTION("""COMPUTED_VALUE"""),"RAFAEL CASTILLO")</f>
        <v>RAFAEL CASTILLO</v>
      </c>
      <c r="O161" s="30" t="str">
        <f ca="1">IFERROR(__xludf.DUMMYFUNCTION("""COMPUTED_VALUE"""),"6427")</f>
        <v>6427</v>
      </c>
      <c r="P161" s="30" t="str">
        <f ca="1">IFERROR(__xludf.DUMMYFUNCTION("""COMPUTED_VALUE"""),"LA MATANZA")</f>
        <v>LA MATANZA</v>
      </c>
      <c r="Q161" s="30" t="str">
        <f ca="1">IFERROR(__xludf.DUMMYFUNCTION("""COMPUTED_VALUE"""),"-34.7003392")</f>
        <v>-34.7003392</v>
      </c>
      <c r="R161" s="30" t="str">
        <f ca="1">IFERROR(__xludf.DUMMYFUNCTION("""COMPUTED_VALUE"""),"-58.6312012")</f>
        <v>-58.6312012</v>
      </c>
      <c r="S161" s="30" t="str">
        <f ca="1">IFERROR(__xludf.DUMMYFUNCTION("""COMPUTED_VALUE"""),"Municipal")</f>
        <v>Municipal</v>
      </c>
      <c r="T161" s="30" t="str">
        <f ca="1">IFERROR(__xludf.DUMMYFUNCTION("""COMPUTED_VALUE"""),"LA MATANZA")</f>
        <v>LA MATANZA</v>
      </c>
    </row>
    <row r="162" spans="1:20" ht="15.75" customHeight="1" x14ac:dyDescent="0.25">
      <c r="A162" s="30" t="str">
        <f ca="1">IFERROR(__xludf.DUMMYFUNCTION("""COMPUTED_VALUE"""),"50064272202289")</f>
        <v>50064272202289</v>
      </c>
      <c r="B162" s="30" t="str">
        <f ca="1">IFERROR(__xludf.DUMMYFUNCTION("""COMPUTED_VALUE"""),"CENTRO DE SALUD F. GIOVINAZZO")</f>
        <v>CENTRO DE SALUD F. GIOVINAZZO</v>
      </c>
      <c r="C162" s="30" t="str">
        <f ca="1">IFERROR(__xludf.DUMMYFUNCTION("""COMPUTED_VALUE"""),"Buenos Aires")</f>
        <v>Buenos Aires</v>
      </c>
      <c r="D162" s="30" t="str">
        <f ca="1">IFERROR(__xludf.DUMMYFUNCTION("""COMPUTED_VALUE"""),"6")</f>
        <v>6</v>
      </c>
      <c r="E162" s="30" t="str">
        <f ca="1">IFERROR(__xludf.DUMMYFUNCTION("""COMPUTED_VALUE"""),"")</f>
        <v/>
      </c>
      <c r="F162" s="29"/>
      <c r="G162" s="29"/>
      <c r="H162" s="30" t="str">
        <f ca="1">IFERROR(__xludf.DUMMYFUNCTION("""COMPUTED_VALUE"""),"activo")</f>
        <v>activo</v>
      </c>
      <c r="I162" s="29"/>
      <c r="J162" s="29"/>
      <c r="K162" s="29"/>
      <c r="L162" s="30" t="str">
        <f ca="1">IFERROR(__xludf.DUMMYFUNCTION("""COMPUTED_VALUE"""),"No")</f>
        <v>No</v>
      </c>
      <c r="M162" s="30" t="str">
        <f ca="1">IFERROR(__xludf.DUMMYFUNCTION("""COMPUTED_VALUE"""),"6427010005")</f>
        <v>6427010005</v>
      </c>
      <c r="N162" s="30" t="str">
        <f ca="1">IFERROR(__xludf.DUMMYFUNCTION("""COMPUTED_VALUE"""),"ISIDRO CASANOVA")</f>
        <v>ISIDRO CASANOVA</v>
      </c>
      <c r="O162" s="30" t="str">
        <f ca="1">IFERROR(__xludf.DUMMYFUNCTION("""COMPUTED_VALUE"""),"6427")</f>
        <v>6427</v>
      </c>
      <c r="P162" s="30" t="str">
        <f ca="1">IFERROR(__xludf.DUMMYFUNCTION("""COMPUTED_VALUE"""),"LA MATANZA")</f>
        <v>LA MATANZA</v>
      </c>
      <c r="Q162" s="30" t="str">
        <f ca="1">IFERROR(__xludf.DUMMYFUNCTION("""COMPUTED_VALUE"""),"-34.70287712")</f>
        <v>-34.70287712</v>
      </c>
      <c r="R162" s="30" t="str">
        <f ca="1">IFERROR(__xludf.DUMMYFUNCTION("""COMPUTED_VALUE"""),"-58.58712405")</f>
        <v>-58.58712405</v>
      </c>
      <c r="S162" s="30" t="str">
        <f ca="1">IFERROR(__xludf.DUMMYFUNCTION("""COMPUTED_VALUE"""),"Municipal")</f>
        <v>Municipal</v>
      </c>
      <c r="T162" s="30" t="str">
        <f ca="1">IFERROR(__xludf.DUMMYFUNCTION("""COMPUTED_VALUE"""),"LA MATANZA")</f>
        <v>LA MATANZA</v>
      </c>
    </row>
    <row r="163" spans="1:20" ht="15.75" customHeight="1" x14ac:dyDescent="0.25">
      <c r="A163" s="30" t="str">
        <f ca="1">IFERROR(__xludf.DUMMYFUNCTION("""COMPUTED_VALUE"""),"50064272202350")</f>
        <v>50064272202350</v>
      </c>
      <c r="B163" s="30" t="str">
        <f ca="1">IFERROR(__xludf.DUMMYFUNCTION("""COMPUTED_VALUE"""),"UNIDAD SANITARIA JUAN MANUEL DE ROSAS DE ISIDRO CASANOVA")</f>
        <v>UNIDAD SANITARIA JUAN MANUEL DE ROSAS DE ISIDRO CASANOVA</v>
      </c>
      <c r="C163" s="30" t="str">
        <f ca="1">IFERROR(__xludf.DUMMYFUNCTION("""COMPUTED_VALUE"""),"Buenos Aires")</f>
        <v>Buenos Aires</v>
      </c>
      <c r="D163" s="30" t="str">
        <f ca="1">IFERROR(__xludf.DUMMYFUNCTION("""COMPUTED_VALUE"""),"6")</f>
        <v>6</v>
      </c>
      <c r="E163" s="30" t="str">
        <f ca="1">IFERROR(__xludf.DUMMYFUNCTION("""COMPUTED_VALUE"""),"")</f>
        <v/>
      </c>
      <c r="F163" s="29"/>
      <c r="G163" s="29"/>
      <c r="H163" s="30" t="str">
        <f ca="1">IFERROR(__xludf.DUMMYFUNCTION("""COMPUTED_VALUE"""),"activo")</f>
        <v>activo</v>
      </c>
      <c r="I163" s="29"/>
      <c r="J163" s="29"/>
      <c r="K163" s="29"/>
      <c r="L163" s="30" t="str">
        <f ca="1">IFERROR(__xludf.DUMMYFUNCTION("""COMPUTED_VALUE"""),"No")</f>
        <v>No</v>
      </c>
      <c r="M163" s="30" t="str">
        <f ca="1">IFERROR(__xludf.DUMMYFUNCTION("""COMPUTED_VALUE"""),"6427010005")</f>
        <v>6427010005</v>
      </c>
      <c r="N163" s="30" t="str">
        <f ca="1">IFERROR(__xludf.DUMMYFUNCTION("""COMPUTED_VALUE"""),"ISIDRO CASANOVA")</f>
        <v>ISIDRO CASANOVA</v>
      </c>
      <c r="O163" s="30" t="str">
        <f ca="1">IFERROR(__xludf.DUMMYFUNCTION("""COMPUTED_VALUE"""),"6427")</f>
        <v>6427</v>
      </c>
      <c r="P163" s="30" t="str">
        <f ca="1">IFERROR(__xludf.DUMMYFUNCTION("""COMPUTED_VALUE"""),"LA MATANZA")</f>
        <v>LA MATANZA</v>
      </c>
      <c r="Q163" s="30" t="str">
        <f ca="1">IFERROR(__xludf.DUMMYFUNCTION("""COMPUTED_VALUE"""),"-34.72262814")</f>
        <v>-34.72262814</v>
      </c>
      <c r="R163" s="30" t="str">
        <f ca="1">IFERROR(__xludf.DUMMYFUNCTION("""COMPUTED_VALUE"""),"-58.57299471")</f>
        <v>-58.57299471</v>
      </c>
      <c r="S163" s="30" t="str">
        <f ca="1">IFERROR(__xludf.DUMMYFUNCTION("""COMPUTED_VALUE"""),"Municipal")</f>
        <v>Municipal</v>
      </c>
      <c r="T163" s="30" t="str">
        <f ca="1">IFERROR(__xludf.DUMMYFUNCTION("""COMPUTED_VALUE"""),"LA MATANZA")</f>
        <v>LA MATANZA</v>
      </c>
    </row>
    <row r="164" spans="1:20" ht="15.75" customHeight="1" x14ac:dyDescent="0.25">
      <c r="A164" s="30" t="str">
        <f ca="1">IFERROR(__xludf.DUMMYFUNCTION("""COMPUTED_VALUE"""),"50064272202386")</f>
        <v>50064272202386</v>
      </c>
      <c r="B164" s="30" t="str">
        <f ca="1">IFERROR(__xludf.DUMMYFUNCTION("""COMPUTED_VALUE"""),"UNIDAD SANITARIA LAFERRERE")</f>
        <v>UNIDAD SANITARIA LAFERRERE</v>
      </c>
      <c r="C164" s="30" t="str">
        <f ca="1">IFERROR(__xludf.DUMMYFUNCTION("""COMPUTED_VALUE"""),"Buenos Aires")</f>
        <v>Buenos Aires</v>
      </c>
      <c r="D164" s="30" t="str">
        <f ca="1">IFERROR(__xludf.DUMMYFUNCTION("""COMPUTED_VALUE"""),"6")</f>
        <v>6</v>
      </c>
      <c r="E164" s="30" t="str">
        <f ca="1">IFERROR(__xludf.DUMMYFUNCTION("""COMPUTED_VALUE"""),"")</f>
        <v/>
      </c>
      <c r="F164" s="29"/>
      <c r="G164" s="29"/>
      <c r="H164" s="30" t="str">
        <f ca="1">IFERROR(__xludf.DUMMYFUNCTION("""COMPUTED_VALUE"""),"activo")</f>
        <v>activo</v>
      </c>
      <c r="I164" s="29"/>
      <c r="J164" s="29"/>
      <c r="K164" s="29"/>
      <c r="L164" s="30" t="str">
        <f ca="1">IFERROR(__xludf.DUMMYFUNCTION("""COMPUTED_VALUE"""),"No")</f>
        <v>No</v>
      </c>
      <c r="M164" s="30" t="str">
        <f ca="1">IFERROR(__xludf.DUMMYFUNCTION("""COMPUTED_VALUE"""),"6427010004")</f>
        <v>6427010004</v>
      </c>
      <c r="N164" s="30" t="str">
        <f ca="1">IFERROR(__xludf.DUMMYFUNCTION("""COMPUTED_VALUE"""),"GREGORIO DE LAFERRERE")</f>
        <v>GREGORIO DE LAFERRERE</v>
      </c>
      <c r="O164" s="30" t="str">
        <f ca="1">IFERROR(__xludf.DUMMYFUNCTION("""COMPUTED_VALUE"""),"6427")</f>
        <v>6427</v>
      </c>
      <c r="P164" s="30" t="str">
        <f ca="1">IFERROR(__xludf.DUMMYFUNCTION("""COMPUTED_VALUE"""),"LA MATANZA")</f>
        <v>LA MATANZA</v>
      </c>
      <c r="Q164" s="30" t="str">
        <f ca="1">IFERROR(__xludf.DUMMYFUNCTION("""COMPUTED_VALUE"""),"-34.72639344")</f>
        <v>-34.72639344</v>
      </c>
      <c r="R164" s="30" t="str">
        <f ca="1">IFERROR(__xludf.DUMMYFUNCTION("""COMPUTED_VALUE"""),"-58.61069584")</f>
        <v>-58.61069584</v>
      </c>
      <c r="S164" s="30" t="str">
        <f ca="1">IFERROR(__xludf.DUMMYFUNCTION("""COMPUTED_VALUE"""),"Municipal")</f>
        <v>Municipal</v>
      </c>
      <c r="T164" s="30" t="str">
        <f ca="1">IFERROR(__xludf.DUMMYFUNCTION("""COMPUTED_VALUE"""),"LA MATANZA")</f>
        <v>LA MATANZA</v>
      </c>
    </row>
    <row r="165" spans="1:20" ht="15.75" customHeight="1" x14ac:dyDescent="0.25">
      <c r="A165" s="30" t="str">
        <f ca="1">IFERROR(__xludf.DUMMYFUNCTION("""COMPUTED_VALUE"""),"50060282202661")</f>
        <v>50060282202661</v>
      </c>
      <c r="B165" s="30" t="str">
        <f ca="1">IFERROR(__xludf.DUMMYFUNCTION("""COMPUTED_VALUE"""),"UNIDAD SANITARIA N° 7 13 DE JULIO DE CLAYPOLE")</f>
        <v>UNIDAD SANITARIA N° 7 13 DE JULIO DE CLAYPOLE</v>
      </c>
      <c r="C165" s="30" t="str">
        <f ca="1">IFERROR(__xludf.DUMMYFUNCTION("""COMPUTED_VALUE"""),"Buenos Aires")</f>
        <v>Buenos Aires</v>
      </c>
      <c r="D165" s="30" t="str">
        <f ca="1">IFERROR(__xludf.DUMMYFUNCTION("""COMPUTED_VALUE"""),"6")</f>
        <v>6</v>
      </c>
      <c r="E165" s="30" t="str">
        <f ca="1">IFERROR(__xludf.DUMMYFUNCTION("""COMPUTED_VALUE"""),"")</f>
        <v/>
      </c>
      <c r="F165" s="29"/>
      <c r="G165" s="29"/>
      <c r="H165" s="30" t="str">
        <f ca="1">IFERROR(__xludf.DUMMYFUNCTION("""COMPUTED_VALUE"""),"activo")</f>
        <v>activo</v>
      </c>
      <c r="I165" s="29"/>
      <c r="J165" s="29"/>
      <c r="K165" s="29"/>
      <c r="L165" s="30" t="str">
        <f ca="1">IFERROR(__xludf.DUMMYFUNCTION("""COMPUTED_VALUE"""),"No")</f>
        <v>No</v>
      </c>
      <c r="M165" s="30" t="str">
        <f ca="1">IFERROR(__xludf.DUMMYFUNCTION("""COMPUTED_VALUE"""),"6028010003")</f>
        <v>6028010003</v>
      </c>
      <c r="N165" s="30" t="str">
        <f ca="1">IFERROR(__xludf.DUMMYFUNCTION("""COMPUTED_VALUE"""),"CLAYPOLE")</f>
        <v>CLAYPOLE</v>
      </c>
      <c r="O165" s="30" t="str">
        <f ca="1">IFERROR(__xludf.DUMMYFUNCTION("""COMPUTED_VALUE"""),"628")</f>
        <v>628</v>
      </c>
      <c r="P165" s="30" t="str">
        <f ca="1">IFERROR(__xludf.DUMMYFUNCTION("""COMPUTED_VALUE"""),"ALMIRANTE BROWN")</f>
        <v>ALMIRANTE BROWN</v>
      </c>
      <c r="Q165" s="30" t="str">
        <f ca="1">IFERROR(__xludf.DUMMYFUNCTION("""COMPUTED_VALUE"""),"-34.78879131")</f>
        <v>-34.78879131</v>
      </c>
      <c r="R165" s="30" t="str">
        <f ca="1">IFERROR(__xludf.DUMMYFUNCTION("""COMPUTED_VALUE"""),"-58.31640387")</f>
        <v>-58.31640387</v>
      </c>
      <c r="S165" s="30" t="str">
        <f ca="1">IFERROR(__xludf.DUMMYFUNCTION("""COMPUTED_VALUE"""),"Municipal")</f>
        <v>Municipal</v>
      </c>
      <c r="T165" s="30" t="str">
        <f ca="1">IFERROR(__xludf.DUMMYFUNCTION("""COMPUTED_VALUE"""),"ALMIRANTE BROWN")</f>
        <v>ALMIRANTE BROWN</v>
      </c>
    </row>
    <row r="166" spans="1:20" ht="15.75" customHeight="1" x14ac:dyDescent="0.25">
      <c r="A166" s="30" t="str">
        <f ca="1">IFERROR(__xludf.DUMMYFUNCTION("""COMPUTED_VALUE"""),"50060282202554")</f>
        <v>50060282202554</v>
      </c>
      <c r="B166" s="30" t="str">
        <f ca="1">IFERROR(__xludf.DUMMYFUNCTION("""COMPUTED_VALUE"""),"UNIDAD SANITARIA N° 2 MI HORIZONTE DE CLAYPOLE")</f>
        <v>UNIDAD SANITARIA N° 2 MI HORIZONTE DE CLAYPOLE</v>
      </c>
      <c r="C166" s="30" t="str">
        <f ca="1">IFERROR(__xludf.DUMMYFUNCTION("""COMPUTED_VALUE"""),"Buenos Aires")</f>
        <v>Buenos Aires</v>
      </c>
      <c r="D166" s="30" t="str">
        <f ca="1">IFERROR(__xludf.DUMMYFUNCTION("""COMPUTED_VALUE"""),"6")</f>
        <v>6</v>
      </c>
      <c r="E166" s="30" t="str">
        <f ca="1">IFERROR(__xludf.DUMMYFUNCTION("""COMPUTED_VALUE"""),"")</f>
        <v/>
      </c>
      <c r="F166" s="29"/>
      <c r="G166" s="29"/>
      <c r="H166" s="30" t="str">
        <f ca="1">IFERROR(__xludf.DUMMYFUNCTION("""COMPUTED_VALUE"""),"activo")</f>
        <v>activo</v>
      </c>
      <c r="I166" s="29"/>
      <c r="J166" s="29"/>
      <c r="K166" s="29"/>
      <c r="L166" s="30" t="str">
        <f ca="1">IFERROR(__xludf.DUMMYFUNCTION("""COMPUTED_VALUE"""),"No")</f>
        <v>No</v>
      </c>
      <c r="M166" s="30" t="str">
        <f ca="1">IFERROR(__xludf.DUMMYFUNCTION("""COMPUTED_VALUE"""),"6028010003")</f>
        <v>6028010003</v>
      </c>
      <c r="N166" s="30" t="str">
        <f ca="1">IFERROR(__xludf.DUMMYFUNCTION("""COMPUTED_VALUE"""),"CLAYPOLE")</f>
        <v>CLAYPOLE</v>
      </c>
      <c r="O166" s="30" t="str">
        <f ca="1">IFERROR(__xludf.DUMMYFUNCTION("""COMPUTED_VALUE"""),"628")</f>
        <v>628</v>
      </c>
      <c r="P166" s="30" t="str">
        <f ca="1">IFERROR(__xludf.DUMMYFUNCTION("""COMPUTED_VALUE"""),"ALMIRANTE BROWN")</f>
        <v>ALMIRANTE BROWN</v>
      </c>
      <c r="Q166" s="30" t="str">
        <f ca="1">IFERROR(__xludf.DUMMYFUNCTION("""COMPUTED_VALUE"""),"-34.79440296")</f>
        <v>-34.79440296</v>
      </c>
      <c r="R166" s="30" t="str">
        <f ca="1">IFERROR(__xludf.DUMMYFUNCTION("""COMPUTED_VALUE"""),"-58.32467365")</f>
        <v>-58.32467365</v>
      </c>
      <c r="S166" s="30" t="str">
        <f ca="1">IFERROR(__xludf.DUMMYFUNCTION("""COMPUTED_VALUE"""),"Municipal")</f>
        <v>Municipal</v>
      </c>
      <c r="T166" s="30" t="str">
        <f ca="1">IFERROR(__xludf.DUMMYFUNCTION("""COMPUTED_VALUE"""),"ALMIRANTE BROWN")</f>
        <v>ALMIRANTE BROWN</v>
      </c>
    </row>
    <row r="167" spans="1:20" ht="15.75" customHeight="1" x14ac:dyDescent="0.25">
      <c r="A167" s="30" t="str">
        <f ca="1">IFERROR(__xludf.DUMMYFUNCTION("""COMPUTED_VALUE"""),"50060282215009")</f>
        <v>50060282215009</v>
      </c>
      <c r="B167" s="30" t="str">
        <f ca="1">IFERROR(__xludf.DUMMYFUNCTION("""COMPUTED_VALUE"""),"UNIDAD SANITARIA Nº 23 RAMON CARRILLO")</f>
        <v>UNIDAD SANITARIA Nº 23 RAMON CARRILLO</v>
      </c>
      <c r="C167" s="30" t="str">
        <f ca="1">IFERROR(__xludf.DUMMYFUNCTION("""COMPUTED_VALUE"""),"Buenos Aires")</f>
        <v>Buenos Aires</v>
      </c>
      <c r="D167" s="30" t="str">
        <f ca="1">IFERROR(__xludf.DUMMYFUNCTION("""COMPUTED_VALUE"""),"6")</f>
        <v>6</v>
      </c>
      <c r="E167" s="30" t="str">
        <f ca="1">IFERROR(__xludf.DUMMYFUNCTION("""COMPUTED_VALUE"""),"")</f>
        <v/>
      </c>
      <c r="F167" s="29"/>
      <c r="G167" s="29"/>
      <c r="H167" s="30" t="str">
        <f ca="1">IFERROR(__xludf.DUMMYFUNCTION("""COMPUTED_VALUE"""),"activo")</f>
        <v>activo</v>
      </c>
      <c r="I167" s="29"/>
      <c r="J167" s="29"/>
      <c r="K167" s="29"/>
      <c r="L167" s="30" t="str">
        <f ca="1">IFERROR(__xludf.DUMMYFUNCTION("""COMPUTED_VALUE"""),"No")</f>
        <v>No</v>
      </c>
      <c r="M167" s="30" t="str">
        <f ca="1">IFERROR(__xludf.DUMMYFUNCTION("""COMPUTED_VALUE"""),"6028010005")</f>
        <v>6028010005</v>
      </c>
      <c r="N167" s="30" t="str">
        <f ca="1">IFERROR(__xludf.DUMMYFUNCTION("""COMPUTED_VALUE"""),"GLEW")</f>
        <v>GLEW</v>
      </c>
      <c r="O167" s="30" t="str">
        <f ca="1">IFERROR(__xludf.DUMMYFUNCTION("""COMPUTED_VALUE"""),"628")</f>
        <v>628</v>
      </c>
      <c r="P167" s="30" t="str">
        <f ca="1">IFERROR(__xludf.DUMMYFUNCTION("""COMPUTED_VALUE"""),"ALMIRANTE BROWN")</f>
        <v>ALMIRANTE BROWN</v>
      </c>
      <c r="Q167" s="30" t="str">
        <f ca="1">IFERROR(__xludf.DUMMYFUNCTION("""COMPUTED_VALUE"""),"-34.8825061")</f>
        <v>-34.8825061</v>
      </c>
      <c r="R167" s="30" t="str">
        <f ca="1">IFERROR(__xludf.DUMMYFUNCTION("""COMPUTED_VALUE"""),"-58.3545195")</f>
        <v>-58.3545195</v>
      </c>
      <c r="S167" s="30" t="str">
        <f ca="1">IFERROR(__xludf.DUMMYFUNCTION("""COMPUTED_VALUE"""),"Municipal")</f>
        <v>Municipal</v>
      </c>
      <c r="T167" s="30" t="str">
        <f ca="1">IFERROR(__xludf.DUMMYFUNCTION("""COMPUTED_VALUE"""),"ALMIRANTE BROWN")</f>
        <v>ALMIRANTE BROWN</v>
      </c>
    </row>
    <row r="168" spans="1:20" ht="15.75" customHeight="1" x14ac:dyDescent="0.25">
      <c r="A168" s="30" t="str">
        <f ca="1">IFERROR(__xludf.DUMMYFUNCTION("""COMPUTED_VALUE"""),"50060282202478")</f>
        <v>50060282202478</v>
      </c>
      <c r="B168" s="30" t="str">
        <f ca="1">IFERROR(__xludf.DUMMYFUNCTION("""COMPUTED_VALUE"""),"UNIDAD SANITARIA N° 10 28 DE DICIEMBRE DE RAFAEL CALZADA")</f>
        <v>UNIDAD SANITARIA N° 10 28 DE DICIEMBRE DE RAFAEL CALZADA</v>
      </c>
      <c r="C168" s="30" t="str">
        <f ca="1">IFERROR(__xludf.DUMMYFUNCTION("""COMPUTED_VALUE"""),"Buenos Aires")</f>
        <v>Buenos Aires</v>
      </c>
      <c r="D168" s="30" t="str">
        <f ca="1">IFERROR(__xludf.DUMMYFUNCTION("""COMPUTED_VALUE"""),"6")</f>
        <v>6</v>
      </c>
      <c r="E168" s="30" t="str">
        <f ca="1">IFERROR(__xludf.DUMMYFUNCTION("""COMPUTED_VALUE"""),"")</f>
        <v/>
      </c>
      <c r="F168" s="29"/>
      <c r="G168" s="29"/>
      <c r="H168" s="30" t="str">
        <f ca="1">IFERROR(__xludf.DUMMYFUNCTION("""COMPUTED_VALUE"""),"activo")</f>
        <v>activo</v>
      </c>
      <c r="I168" s="29"/>
      <c r="J168" s="29"/>
      <c r="K168" s="29"/>
      <c r="L168" s="30" t="str">
        <f ca="1">IFERROR(__xludf.DUMMYFUNCTION("""COMPUTED_VALUE"""),"No")</f>
        <v>No</v>
      </c>
      <c r="M168" s="30" t="str">
        <f ca="1">IFERROR(__xludf.DUMMYFUNCTION("""COMPUTED_VALUE"""),"6028010010")</f>
        <v>6028010010</v>
      </c>
      <c r="N168" s="30" t="str">
        <f ca="1">IFERROR(__xludf.DUMMYFUNCTION("""COMPUTED_VALUE"""),"RAFAEL CALZADA")</f>
        <v>RAFAEL CALZADA</v>
      </c>
      <c r="O168" s="30" t="str">
        <f ca="1">IFERROR(__xludf.DUMMYFUNCTION("""COMPUTED_VALUE"""),"628")</f>
        <v>628</v>
      </c>
      <c r="P168" s="30" t="str">
        <f ca="1">IFERROR(__xludf.DUMMYFUNCTION("""COMPUTED_VALUE"""),"ALMIRANTE BROWN")</f>
        <v>ALMIRANTE BROWN</v>
      </c>
      <c r="Q168" s="30" t="str">
        <f ca="1">IFERROR(__xludf.DUMMYFUNCTION("""COMPUTED_VALUE"""),"-34.77423265")</f>
        <v>-34.77423265</v>
      </c>
      <c r="R168" s="30" t="str">
        <f ca="1">IFERROR(__xludf.DUMMYFUNCTION("""COMPUTED_VALUE"""),"-58.33629191")</f>
        <v>-58.33629191</v>
      </c>
      <c r="S168" s="30" t="str">
        <f ca="1">IFERROR(__xludf.DUMMYFUNCTION("""COMPUTED_VALUE"""),"Municipal")</f>
        <v>Municipal</v>
      </c>
      <c r="T168" s="30" t="str">
        <f ca="1">IFERROR(__xludf.DUMMYFUNCTION("""COMPUTED_VALUE"""),"ALMIRANTE BROWN")</f>
        <v>ALMIRANTE BROWN</v>
      </c>
    </row>
    <row r="169" spans="1:20" ht="15.75" customHeight="1" x14ac:dyDescent="0.25">
      <c r="A169" s="30" t="str">
        <f ca="1">IFERROR(__xludf.DUMMYFUNCTION("""COMPUTED_VALUE"""),"50060282202586")</f>
        <v>50060282202586</v>
      </c>
      <c r="B169" s="30" t="str">
        <f ca="1">IFERROR(__xludf.DUMMYFUNCTION("""COMPUTED_VALUE"""),"UNIDAD SANITARIA N° 3 BARRIO LINDO DE MALVINAS ARGENTINAS")</f>
        <v>UNIDAD SANITARIA N° 3 BARRIO LINDO DE MALVINAS ARGENTINAS</v>
      </c>
      <c r="C169" s="30" t="str">
        <f ca="1">IFERROR(__xludf.DUMMYFUNCTION("""COMPUTED_VALUE"""),"Buenos Aires")</f>
        <v>Buenos Aires</v>
      </c>
      <c r="D169" s="30" t="str">
        <f ca="1">IFERROR(__xludf.DUMMYFUNCTION("""COMPUTED_VALUE"""),"6")</f>
        <v>6</v>
      </c>
      <c r="E169" s="30" t="str">
        <f ca="1">IFERROR(__xludf.DUMMYFUNCTION("""COMPUTED_VALUE"""),"")</f>
        <v/>
      </c>
      <c r="F169" s="29"/>
      <c r="G169" s="29"/>
      <c r="H169" s="30" t="str">
        <f ca="1">IFERROR(__xludf.DUMMYFUNCTION("""COMPUTED_VALUE"""),"activo")</f>
        <v>activo</v>
      </c>
      <c r="I169" s="29"/>
      <c r="J169" s="29"/>
      <c r="K169" s="29"/>
      <c r="L169" s="30" t="str">
        <f ca="1">IFERROR(__xludf.DUMMYFUNCTION("""COMPUTED_VALUE"""),"No")</f>
        <v>No</v>
      </c>
      <c r="M169" s="30" t="str">
        <f ca="1">IFERROR(__xludf.DUMMYFUNCTION("""COMPUTED_VALUE"""),"6028010008")</f>
        <v>6028010008</v>
      </c>
      <c r="N169" s="30" t="str">
        <f ca="1">IFERROR(__xludf.DUMMYFUNCTION("""COMPUTED_VALUE"""),"MALVINAS ARGENTINAS")</f>
        <v>MALVINAS ARGENTINAS</v>
      </c>
      <c r="O169" s="30" t="str">
        <f ca="1">IFERROR(__xludf.DUMMYFUNCTION("""COMPUTED_VALUE"""),"628")</f>
        <v>628</v>
      </c>
      <c r="P169" s="30" t="str">
        <f ca="1">IFERROR(__xludf.DUMMYFUNCTION("""COMPUTED_VALUE"""),"ALMIRANTE BROWN")</f>
        <v>ALMIRANTE BROWN</v>
      </c>
      <c r="Q169" s="30" t="str">
        <f ca="1">IFERROR(__xludf.DUMMYFUNCTION("""COMPUTED_VALUE"""),"-34.82303235")</f>
        <v>-34.82303235</v>
      </c>
      <c r="R169" s="30" t="str">
        <f ca="1">IFERROR(__xludf.DUMMYFUNCTION("""COMPUTED_VALUE"""),"-58.43700457")</f>
        <v>-58.43700457</v>
      </c>
      <c r="S169" s="30" t="str">
        <f ca="1">IFERROR(__xludf.DUMMYFUNCTION("""COMPUTED_VALUE"""),"Municipal")</f>
        <v>Municipal</v>
      </c>
      <c r="T169" s="30" t="str">
        <f ca="1">IFERROR(__xludf.DUMMYFUNCTION("""COMPUTED_VALUE"""),"ALMIRANTE BROWN")</f>
        <v>ALMIRANTE BROWN</v>
      </c>
    </row>
    <row r="170" spans="1:20" ht="15.75" customHeight="1" x14ac:dyDescent="0.25">
      <c r="A170" s="30" t="str">
        <f ca="1">IFERROR(__xludf.DUMMYFUNCTION("""COMPUTED_VALUE"""),"50060282202623")</f>
        <v>50060282202623</v>
      </c>
      <c r="B170" s="30" t="str">
        <f ca="1">IFERROR(__xludf.DUMMYFUNCTION("""COMPUTED_VALUE"""),"UNIDAD SANITARIA N° 4 SAN JOSE DE ALMIRANTE BROWN")</f>
        <v>UNIDAD SANITARIA N° 4 SAN JOSE DE ALMIRANTE BROWN</v>
      </c>
      <c r="C170" s="30" t="str">
        <f ca="1">IFERROR(__xludf.DUMMYFUNCTION("""COMPUTED_VALUE"""),"Buenos Aires")</f>
        <v>Buenos Aires</v>
      </c>
      <c r="D170" s="30" t="str">
        <f ca="1">IFERROR(__xludf.DUMMYFUNCTION("""COMPUTED_VALUE"""),"6")</f>
        <v>6</v>
      </c>
      <c r="E170" s="30" t="str">
        <f ca="1">IFERROR(__xludf.DUMMYFUNCTION("""COMPUTED_VALUE"""),"")</f>
        <v/>
      </c>
      <c r="F170" s="29"/>
      <c r="G170" s="29"/>
      <c r="H170" s="30" t="str">
        <f ca="1">IFERROR(__xludf.DUMMYFUNCTION("""COMPUTED_VALUE"""),"activo")</f>
        <v>activo</v>
      </c>
      <c r="I170" s="29"/>
      <c r="J170" s="29"/>
      <c r="K170" s="29"/>
      <c r="L170" s="30" t="str">
        <f ca="1">IFERROR(__xludf.DUMMYFUNCTION("""COMPUTED_VALUE"""),"No")</f>
        <v>No</v>
      </c>
      <c r="M170" s="30" t="str">
        <f ca="1">IFERROR(__xludf.DUMMYFUNCTION("""COMPUTED_VALUE"""),"6028010012")</f>
        <v>6028010012</v>
      </c>
      <c r="N170" s="30" t="str">
        <f ca="1">IFERROR(__xludf.DUMMYFUNCTION("""COMPUTED_VALUE"""),"SAN JOSE")</f>
        <v>SAN JOSE</v>
      </c>
      <c r="O170" s="30" t="str">
        <f ca="1">IFERROR(__xludf.DUMMYFUNCTION("""COMPUTED_VALUE"""),"628")</f>
        <v>628</v>
      </c>
      <c r="P170" s="30" t="str">
        <f ca="1">IFERROR(__xludf.DUMMYFUNCTION("""COMPUTED_VALUE"""),"ALMIRANTE BROWN")</f>
        <v>ALMIRANTE BROWN</v>
      </c>
      <c r="Q170" s="30" t="str">
        <f ca="1">IFERROR(__xludf.DUMMYFUNCTION("""COMPUTED_VALUE"""),"-34.77318525")</f>
        <v>-34.77318525</v>
      </c>
      <c r="R170" s="30" t="str">
        <f ca="1">IFERROR(__xludf.DUMMYFUNCTION("""COMPUTED_VALUE"""),"-58.35917974")</f>
        <v>-58.35917974</v>
      </c>
      <c r="S170" s="30" t="str">
        <f ca="1">IFERROR(__xludf.DUMMYFUNCTION("""COMPUTED_VALUE"""),"Municipal")</f>
        <v>Municipal</v>
      </c>
      <c r="T170" s="30" t="str">
        <f ca="1">IFERROR(__xludf.DUMMYFUNCTION("""COMPUTED_VALUE"""),"ALMIRANTE BROWN")</f>
        <v>ALMIRANTE BROWN</v>
      </c>
    </row>
    <row r="171" spans="1:20" ht="15.75" customHeight="1" x14ac:dyDescent="0.25">
      <c r="A171" s="30" t="str">
        <f ca="1">IFERROR(__xludf.DUMMYFUNCTION("""COMPUTED_VALUE"""),"50060352202541")</f>
        <v>50060352202541</v>
      </c>
      <c r="B171" s="30" t="str">
        <f ca="1">IFERROR(__xludf.DUMMYFUNCTION("""COMPUTED_VALUE"""),"UNIDAD SANITARIA N° 19 DE AVELLANEDA")</f>
        <v>UNIDAD SANITARIA N° 19 DE AVELLANEDA</v>
      </c>
      <c r="C171" s="30" t="str">
        <f ca="1">IFERROR(__xludf.DUMMYFUNCTION("""COMPUTED_VALUE"""),"Buenos Aires")</f>
        <v>Buenos Aires</v>
      </c>
      <c r="D171" s="30" t="str">
        <f ca="1">IFERROR(__xludf.DUMMYFUNCTION("""COMPUTED_VALUE"""),"6")</f>
        <v>6</v>
      </c>
      <c r="E171" s="30" t="str">
        <f ca="1">IFERROR(__xludf.DUMMYFUNCTION("""COMPUTED_VALUE"""),"")</f>
        <v/>
      </c>
      <c r="F171" s="29"/>
      <c r="G171" s="29"/>
      <c r="H171" s="30" t="str">
        <f ca="1">IFERROR(__xludf.DUMMYFUNCTION("""COMPUTED_VALUE"""),"activo")</f>
        <v>activo</v>
      </c>
      <c r="I171" s="29"/>
      <c r="J171" s="29"/>
      <c r="K171" s="29"/>
      <c r="L171" s="30" t="str">
        <f ca="1">IFERROR(__xludf.DUMMYFUNCTION("""COMPUTED_VALUE"""),"No")</f>
        <v>No</v>
      </c>
      <c r="M171" s="30" t="str">
        <f ca="1">IFERROR(__xludf.DUMMYFUNCTION("""COMPUTED_VALUE"""),"6035010005")</f>
        <v>6035010005</v>
      </c>
      <c r="N171" s="30" t="str">
        <f ca="1">IFERROR(__xludf.DUMMYFUNCTION("""COMPUTED_VALUE"""),"GERLI")</f>
        <v>GERLI</v>
      </c>
      <c r="O171" s="30" t="str">
        <f ca="1">IFERROR(__xludf.DUMMYFUNCTION("""COMPUTED_VALUE"""),"635")</f>
        <v>635</v>
      </c>
      <c r="P171" s="30" t="str">
        <f ca="1">IFERROR(__xludf.DUMMYFUNCTION("""COMPUTED_VALUE"""),"AVELLANEDA")</f>
        <v>AVELLANEDA</v>
      </c>
      <c r="Q171" s="30" t="str">
        <f ca="1">IFERROR(__xludf.DUMMYFUNCTION("""COMPUTED_VALUE"""),"-34.69284271")</f>
        <v>-34.69284271</v>
      </c>
      <c r="R171" s="30" t="str">
        <f ca="1">IFERROR(__xludf.DUMMYFUNCTION("""COMPUTED_VALUE"""),"-58.36499262")</f>
        <v>-58.36499262</v>
      </c>
      <c r="S171" s="30" t="str">
        <f ca="1">IFERROR(__xludf.DUMMYFUNCTION("""COMPUTED_VALUE"""),"Municipal")</f>
        <v>Municipal</v>
      </c>
      <c r="T171" s="30" t="str">
        <f ca="1">IFERROR(__xludf.DUMMYFUNCTION("""COMPUTED_VALUE"""),"AVELLANEDA")</f>
        <v>AVELLANEDA</v>
      </c>
    </row>
    <row r="172" spans="1:20" ht="15.75" customHeight="1" x14ac:dyDescent="0.25">
      <c r="A172" s="30" t="str">
        <f ca="1">IFERROR(__xludf.DUMMYFUNCTION("""COMPUTED_VALUE"""),"50060352202469")</f>
        <v>50060352202469</v>
      </c>
      <c r="B172" s="30" t="str">
        <f ca="1">IFERROR(__xludf.DUMMYFUNCTION("""COMPUTED_VALUE"""),"UNIDAD SANITARIA N° 1 VILLA CORINA DE AVELLANEDA")</f>
        <v>UNIDAD SANITARIA N° 1 VILLA CORINA DE AVELLANEDA</v>
      </c>
      <c r="C172" s="30" t="str">
        <f ca="1">IFERROR(__xludf.DUMMYFUNCTION("""COMPUTED_VALUE"""),"Buenos Aires")</f>
        <v>Buenos Aires</v>
      </c>
      <c r="D172" s="30" t="str">
        <f ca="1">IFERROR(__xludf.DUMMYFUNCTION("""COMPUTED_VALUE"""),"6")</f>
        <v>6</v>
      </c>
      <c r="E172" s="30" t="str">
        <f ca="1">IFERROR(__xludf.DUMMYFUNCTION("""COMPUTED_VALUE"""),"")</f>
        <v/>
      </c>
      <c r="F172" s="29"/>
      <c r="G172" s="29"/>
      <c r="H172" s="30" t="str">
        <f ca="1">IFERROR(__xludf.DUMMYFUNCTION("""COMPUTED_VALUE"""),"activo")</f>
        <v>activo</v>
      </c>
      <c r="I172" s="29"/>
      <c r="J172" s="29"/>
      <c r="K172" s="29"/>
      <c r="L172" s="30" t="str">
        <f ca="1">IFERROR(__xludf.DUMMYFUNCTION("""COMPUTED_VALUE"""),"No")</f>
        <v>No</v>
      </c>
      <c r="M172" s="30" t="str">
        <f ca="1">IFERROR(__xludf.DUMMYFUNCTION("""COMPUTED_VALUE"""),"6035010007")</f>
        <v>6035010007</v>
      </c>
      <c r="N172" s="30" t="str">
        <f ca="1">IFERROR(__xludf.DUMMYFUNCTION("""COMPUTED_VALUE"""),"SARANDI")</f>
        <v>SARANDI</v>
      </c>
      <c r="O172" s="30" t="str">
        <f ca="1">IFERROR(__xludf.DUMMYFUNCTION("""COMPUTED_VALUE"""),"635")</f>
        <v>635</v>
      </c>
      <c r="P172" s="30" t="str">
        <f ca="1">IFERROR(__xludf.DUMMYFUNCTION("""COMPUTED_VALUE"""),"AVELLANEDA")</f>
        <v>AVELLANEDA</v>
      </c>
      <c r="Q172" s="30" t="str">
        <f ca="1">IFERROR(__xludf.DUMMYFUNCTION("""COMPUTED_VALUE"""),"-34.70470754")</f>
        <v>-34.70470754</v>
      </c>
      <c r="R172" s="30" t="str">
        <f ca="1">IFERROR(__xludf.DUMMYFUNCTION("""COMPUTED_VALUE"""),"-58.34750676")</f>
        <v>-58.34750676</v>
      </c>
      <c r="S172" s="30" t="str">
        <f ca="1">IFERROR(__xludf.DUMMYFUNCTION("""COMPUTED_VALUE"""),"Municipal")</f>
        <v>Municipal</v>
      </c>
      <c r="T172" s="30" t="str">
        <f ca="1">IFERROR(__xludf.DUMMYFUNCTION("""COMPUTED_VALUE"""),"AVELLANEDA")</f>
        <v>AVELLANEDA</v>
      </c>
    </row>
    <row r="173" spans="1:20" ht="15.75" customHeight="1" x14ac:dyDescent="0.25">
      <c r="A173" s="30" t="str">
        <f ca="1">IFERROR(__xludf.DUMMYFUNCTION("""COMPUTED_VALUE"""),"50060912202627")</f>
        <v>50060912202627</v>
      </c>
      <c r="B173" s="30" t="str">
        <f ca="1">IFERROR(__xludf.DUMMYFUNCTION("""COMPUTED_VALUE"""),"UNIDAD SANITARIA Nº 5")</f>
        <v>UNIDAD SANITARIA Nº 5</v>
      </c>
      <c r="C173" s="30" t="str">
        <f ca="1">IFERROR(__xludf.DUMMYFUNCTION("""COMPUTED_VALUE"""),"Buenos Aires")</f>
        <v>Buenos Aires</v>
      </c>
      <c r="D173" s="30" t="str">
        <f ca="1">IFERROR(__xludf.DUMMYFUNCTION("""COMPUTED_VALUE"""),"6")</f>
        <v>6</v>
      </c>
      <c r="E173" s="30" t="str">
        <f ca="1">IFERROR(__xludf.DUMMYFUNCTION("""COMPUTED_VALUE"""),"")</f>
        <v/>
      </c>
      <c r="F173" s="29"/>
      <c r="G173" s="29"/>
      <c r="H173" s="30" t="str">
        <f ca="1">IFERROR(__xludf.DUMMYFUNCTION("""COMPUTED_VALUE"""),"activo")</f>
        <v>activo</v>
      </c>
      <c r="I173" s="29"/>
      <c r="J173" s="29"/>
      <c r="K173" s="29"/>
      <c r="L173" s="30" t="str">
        <f ca="1">IFERROR(__xludf.DUMMYFUNCTION("""COMPUTED_VALUE"""),"No")</f>
        <v>No</v>
      </c>
      <c r="M173" s="30" t="str">
        <f ca="1">IFERROR(__xludf.DUMMYFUNCTION("""COMPUTED_VALUE"""),"6091010001")</f>
        <v>6091010001</v>
      </c>
      <c r="N173" s="30" t="str">
        <f ca="1">IFERROR(__xludf.DUMMYFUNCTION("""COMPUTED_VALUE"""),"BERAZATEGUI")</f>
        <v>BERAZATEGUI</v>
      </c>
      <c r="O173" s="30" t="str">
        <f ca="1">IFERROR(__xludf.DUMMYFUNCTION("""COMPUTED_VALUE"""),"691")</f>
        <v>691</v>
      </c>
      <c r="P173" s="30" t="str">
        <f ca="1">IFERROR(__xludf.DUMMYFUNCTION("""COMPUTED_VALUE"""),"BERAZATEGUI")</f>
        <v>BERAZATEGUI</v>
      </c>
      <c r="Q173" s="30" t="str">
        <f ca="1">IFERROR(__xludf.DUMMYFUNCTION("""COMPUTED_VALUE"""),"-34.76423973")</f>
        <v>-34.76423973</v>
      </c>
      <c r="R173" s="30" t="str">
        <f ca="1">IFERROR(__xludf.DUMMYFUNCTION("""COMPUTED_VALUE"""),"-58.19015765")</f>
        <v>-58.19015765</v>
      </c>
      <c r="S173" s="30" t="str">
        <f ca="1">IFERROR(__xludf.DUMMYFUNCTION("""COMPUTED_VALUE"""),"Municipal")</f>
        <v>Municipal</v>
      </c>
      <c r="T173" s="30" t="str">
        <f ca="1">IFERROR(__xludf.DUMMYFUNCTION("""COMPUTED_VALUE"""),"BERAZATEGUI")</f>
        <v>BERAZATEGUI</v>
      </c>
    </row>
    <row r="174" spans="1:20" ht="15.75" customHeight="1" x14ac:dyDescent="0.25">
      <c r="A174" s="30" t="str">
        <f ca="1">IFERROR(__xludf.DUMMYFUNCTION("""COMPUTED_VALUE"""),"50060912216396")</f>
        <v>50060912216396</v>
      </c>
      <c r="B174" s="30" t="str">
        <f ca="1">IFERROR(__xludf.DUMMYFUNCTION("""COMPUTED_VALUE"""),"UNIDAD SANITARIA Nº 25")</f>
        <v>UNIDAD SANITARIA Nº 25</v>
      </c>
      <c r="C174" s="30" t="str">
        <f ca="1">IFERROR(__xludf.DUMMYFUNCTION("""COMPUTED_VALUE"""),"Buenos Aires")</f>
        <v>Buenos Aires</v>
      </c>
      <c r="D174" s="30" t="str">
        <f ca="1">IFERROR(__xludf.DUMMYFUNCTION("""COMPUTED_VALUE"""),"6")</f>
        <v>6</v>
      </c>
      <c r="E174" s="30" t="str">
        <f ca="1">IFERROR(__xludf.DUMMYFUNCTION("""COMPUTED_VALUE"""),"")</f>
        <v/>
      </c>
      <c r="F174" s="29"/>
      <c r="G174" s="29"/>
      <c r="H174" s="30" t="str">
        <f ca="1">IFERROR(__xludf.DUMMYFUNCTION("""COMPUTED_VALUE"""),"activo")</f>
        <v>activo</v>
      </c>
      <c r="I174" s="29"/>
      <c r="J174" s="29"/>
      <c r="K174" s="29"/>
      <c r="L174" s="30" t="str">
        <f ca="1">IFERROR(__xludf.DUMMYFUNCTION("""COMPUTED_VALUE"""),"No")</f>
        <v>No</v>
      </c>
      <c r="M174" s="30" t="str">
        <f ca="1">IFERROR(__xludf.DUMMYFUNCTION("""COMPUTED_VALUE"""),"6091010005")</f>
        <v>6091010005</v>
      </c>
      <c r="N174" s="30" t="str">
        <f ca="1">IFERROR(__xludf.DUMMYFUNCTION("""COMPUTED_VALUE"""),"GUILLERMO ENRIQUE HUDSON")</f>
        <v>GUILLERMO ENRIQUE HUDSON</v>
      </c>
      <c r="O174" s="30" t="str">
        <f ca="1">IFERROR(__xludf.DUMMYFUNCTION("""COMPUTED_VALUE"""),"691")</f>
        <v>691</v>
      </c>
      <c r="P174" s="30" t="str">
        <f ca="1">IFERROR(__xludf.DUMMYFUNCTION("""COMPUTED_VALUE"""),"BERAZATEGUI")</f>
        <v>BERAZATEGUI</v>
      </c>
      <c r="Q174" s="30" t="str">
        <f ca="1">IFERROR(__xludf.DUMMYFUNCTION("""COMPUTED_VALUE"""),"-34.81657795")</f>
        <v>-34.81657795</v>
      </c>
      <c r="R174" s="30" t="str">
        <f ca="1">IFERROR(__xludf.DUMMYFUNCTION("""COMPUTED_VALUE"""),"-58.18809986")</f>
        <v>-58.18809986</v>
      </c>
      <c r="S174" s="30" t="str">
        <f ca="1">IFERROR(__xludf.DUMMYFUNCTION("""COMPUTED_VALUE"""),"Municipal")</f>
        <v>Municipal</v>
      </c>
      <c r="T174" s="30" t="str">
        <f ca="1">IFERROR(__xludf.DUMMYFUNCTION("""COMPUTED_VALUE"""),"BERAZATEGUI")</f>
        <v>BERAZATEGUI</v>
      </c>
    </row>
    <row r="175" spans="1:20" ht="15.75" customHeight="1" x14ac:dyDescent="0.25">
      <c r="A175" s="30" t="str">
        <f ca="1">IFERROR(__xludf.DUMMYFUNCTION("""COMPUTED_VALUE"""),"50060982215025")</f>
        <v>50060982215025</v>
      </c>
      <c r="B175" s="30" t="str">
        <f ca="1">IFERROR(__xludf.DUMMYFUNCTION("""COMPUTED_VALUE"""),"UNIDAD SANITARIA N° 44 DR RAMON CARRILLO")</f>
        <v>UNIDAD SANITARIA N° 44 DR RAMON CARRILLO</v>
      </c>
      <c r="C175" s="30" t="str">
        <f ca="1">IFERROR(__xludf.DUMMYFUNCTION("""COMPUTED_VALUE"""),"Buenos Aires")</f>
        <v>Buenos Aires</v>
      </c>
      <c r="D175" s="30" t="str">
        <f ca="1">IFERROR(__xludf.DUMMYFUNCTION("""COMPUTED_VALUE"""),"6")</f>
        <v>6</v>
      </c>
      <c r="E175" s="30" t="str">
        <f ca="1">IFERROR(__xludf.DUMMYFUNCTION("""COMPUTED_VALUE"""),"")</f>
        <v/>
      </c>
      <c r="F175" s="29"/>
      <c r="G175" s="29"/>
      <c r="H175" s="30" t="str">
        <f ca="1">IFERROR(__xludf.DUMMYFUNCTION("""COMPUTED_VALUE"""),"activo")</f>
        <v>activo</v>
      </c>
      <c r="I175" s="29"/>
      <c r="J175" s="29"/>
      <c r="K175" s="29"/>
      <c r="L175" s="30" t="str">
        <f ca="1">IFERROR(__xludf.DUMMYFUNCTION("""COMPUTED_VALUE"""),"No")</f>
        <v>No</v>
      </c>
      <c r="M175" s="30" t="str">
        <f ca="1">IFERROR(__xludf.DUMMYFUNCTION("""COMPUTED_VALUE"""),"6098010004")</f>
        <v>6098010004</v>
      </c>
      <c r="N175" s="30" t="str">
        <f ca="1">IFERROR(__xludf.DUMMYFUNCTION("""COMPUTED_VALUE"""),"BERISSO")</f>
        <v>BERISSO</v>
      </c>
      <c r="O175" s="30" t="str">
        <f ca="1">IFERROR(__xludf.DUMMYFUNCTION("""COMPUTED_VALUE"""),"698")</f>
        <v>698</v>
      </c>
      <c r="P175" s="30" t="str">
        <f ca="1">IFERROR(__xludf.DUMMYFUNCTION("""COMPUTED_VALUE"""),"BERISSO")</f>
        <v>BERISSO</v>
      </c>
      <c r="Q175" s="30" t="str">
        <f ca="1">IFERROR(__xludf.DUMMYFUNCTION("""COMPUTED_VALUE"""),"-34.92046675")</f>
        <v>-34.92046675</v>
      </c>
      <c r="R175" s="30" t="str">
        <f ca="1">IFERROR(__xludf.DUMMYFUNCTION("""COMPUTED_VALUE"""),"-57.90743351")</f>
        <v>-57.90743351</v>
      </c>
      <c r="S175" s="30" t="str">
        <f ca="1">IFERROR(__xludf.DUMMYFUNCTION("""COMPUTED_VALUE"""),"Municipal")</f>
        <v>Municipal</v>
      </c>
      <c r="T175" s="30" t="str">
        <f ca="1">IFERROR(__xludf.DUMMYFUNCTION("""COMPUTED_VALUE"""),"BERISSO")</f>
        <v>BERISSO</v>
      </c>
    </row>
    <row r="176" spans="1:20" ht="15.75" customHeight="1" x14ac:dyDescent="0.25">
      <c r="A176" s="30" t="str">
        <f ca="1">IFERROR(__xludf.DUMMYFUNCTION("""COMPUTED_VALUE"""),"50060982215022")</f>
        <v>50060982215022</v>
      </c>
      <c r="B176" s="30" t="str">
        <f ca="1">IFERROR(__xludf.DUMMYFUNCTION("""COMPUTED_VALUE"""),"UNIDAD SANITARIA N 17")</f>
        <v>UNIDAD SANITARIA N 17</v>
      </c>
      <c r="C176" s="30" t="str">
        <f ca="1">IFERROR(__xludf.DUMMYFUNCTION("""COMPUTED_VALUE"""),"Buenos Aires")</f>
        <v>Buenos Aires</v>
      </c>
      <c r="D176" s="30" t="str">
        <f ca="1">IFERROR(__xludf.DUMMYFUNCTION("""COMPUTED_VALUE"""),"6")</f>
        <v>6</v>
      </c>
      <c r="E176" s="30" t="str">
        <f ca="1">IFERROR(__xludf.DUMMYFUNCTION("""COMPUTED_VALUE"""),"")</f>
        <v/>
      </c>
      <c r="F176" s="29"/>
      <c r="G176" s="29"/>
      <c r="H176" s="30" t="str">
        <f ca="1">IFERROR(__xludf.DUMMYFUNCTION("""COMPUTED_VALUE"""),"activo")</f>
        <v>activo</v>
      </c>
      <c r="I176" s="30" t="str">
        <f ca="1">IFERROR(__xludf.DUMMYFUNCTION("""COMPUTED_VALUE"""),"- fuera circular 2")</f>
        <v>- fuera circular 2</v>
      </c>
      <c r="J176" s="29"/>
      <c r="K176" s="29"/>
      <c r="L176" s="30" t="str">
        <f ca="1">IFERROR(__xludf.DUMMYFUNCTION("""COMPUTED_VALUE"""),"No")</f>
        <v>No</v>
      </c>
      <c r="M176" s="30" t="str">
        <f ca="1">IFERROR(__xludf.DUMMYFUNCTION("""COMPUTED_VALUE"""),"6098010004")</f>
        <v>6098010004</v>
      </c>
      <c r="N176" s="30" t="str">
        <f ca="1">IFERROR(__xludf.DUMMYFUNCTION("""COMPUTED_VALUE"""),"BERISSO")</f>
        <v>BERISSO</v>
      </c>
      <c r="O176" s="30" t="str">
        <f ca="1">IFERROR(__xludf.DUMMYFUNCTION("""COMPUTED_VALUE"""),"698")</f>
        <v>698</v>
      </c>
      <c r="P176" s="30" t="str">
        <f ca="1">IFERROR(__xludf.DUMMYFUNCTION("""COMPUTED_VALUE"""),"BERISSO")</f>
        <v>BERISSO</v>
      </c>
      <c r="Q176" s="30" t="str">
        <f ca="1">IFERROR(__xludf.DUMMYFUNCTION("""COMPUTED_VALUE"""),"-34.88304973")</f>
        <v>-34.88304973</v>
      </c>
      <c r="R176" s="30" t="str">
        <f ca="1">IFERROR(__xludf.DUMMYFUNCTION("""COMPUTED_VALUE"""),"-57.84792334")</f>
        <v>-57.84792334</v>
      </c>
      <c r="S176" s="30" t="str">
        <f ca="1">IFERROR(__xludf.DUMMYFUNCTION("""COMPUTED_VALUE"""),"Municipal")</f>
        <v>Municipal</v>
      </c>
      <c r="T176" s="30" t="str">
        <f ca="1">IFERROR(__xludf.DUMMYFUNCTION("""COMPUTED_VALUE"""),"BERISSO")</f>
        <v>BERISSO</v>
      </c>
    </row>
    <row r="177" spans="1:20" ht="15.75" customHeight="1" x14ac:dyDescent="0.25">
      <c r="A177" s="30" t="str">
        <f ca="1">IFERROR(__xludf.DUMMYFUNCTION("""COMPUTED_VALUE"""),"50062522201189")</f>
        <v>50062522201189</v>
      </c>
      <c r="B177" s="30" t="str">
        <f ca="1">IFERROR(__xludf.DUMMYFUNCTION("""COMPUTED_VALUE"""),"CENTRO DE SALUD ALFREDO VILLAR")</f>
        <v>CENTRO DE SALUD ALFREDO VILLAR</v>
      </c>
      <c r="C177" s="30" t="str">
        <f ca="1">IFERROR(__xludf.DUMMYFUNCTION("""COMPUTED_VALUE"""),"Buenos Aires")</f>
        <v>Buenos Aires</v>
      </c>
      <c r="D177" s="30" t="str">
        <f ca="1">IFERROR(__xludf.DUMMYFUNCTION("""COMPUTED_VALUE"""),"6")</f>
        <v>6</v>
      </c>
      <c r="E177" s="30" t="str">
        <f ca="1">IFERROR(__xludf.DUMMYFUNCTION("""COMPUTED_VALUE"""),"")</f>
        <v/>
      </c>
      <c r="F177" s="29"/>
      <c r="G177" s="29"/>
      <c r="H177" s="30" t="str">
        <f ca="1">IFERROR(__xludf.DUMMYFUNCTION("""COMPUTED_VALUE"""),"activo")</f>
        <v>activo</v>
      </c>
      <c r="I177" s="29"/>
      <c r="J177" s="29"/>
      <c r="K177" s="29"/>
      <c r="L177" s="30" t="str">
        <f ca="1">IFERROR(__xludf.DUMMYFUNCTION("""COMPUTED_VALUE"""),"No")</f>
        <v>No</v>
      </c>
      <c r="M177" s="30" t="str">
        <f ca="1">IFERROR(__xludf.DUMMYFUNCTION("""COMPUTED_VALUE"""),"6252010007")</f>
        <v>6252010007</v>
      </c>
      <c r="N177" s="30" t="str">
        <f ca="1">IFERROR(__xludf.DUMMYFUNCTION("""COMPUTED_VALUE"""),"MAQUINISTA F. SAVIO ESTE")</f>
        <v>MAQUINISTA F. SAVIO ESTE</v>
      </c>
      <c r="O177" s="30" t="str">
        <f ca="1">IFERROR(__xludf.DUMMYFUNCTION("""COMPUTED_VALUE"""),"6252")</f>
        <v>6252</v>
      </c>
      <c r="P177" s="30" t="str">
        <f ca="1">IFERROR(__xludf.DUMMYFUNCTION("""COMPUTED_VALUE"""),"ESCOBAR")</f>
        <v>ESCOBAR</v>
      </c>
      <c r="Q177" s="30" t="str">
        <f ca="1">IFERROR(__xludf.DUMMYFUNCTION("""COMPUTED_VALUE"""),"-34.41459265")</f>
        <v>-34.41459265</v>
      </c>
      <c r="R177" s="30" t="str">
        <f ca="1">IFERROR(__xludf.DUMMYFUNCTION("""COMPUTED_VALUE"""),"-58.76711369")</f>
        <v>-58.76711369</v>
      </c>
      <c r="S177" s="30" t="str">
        <f ca="1">IFERROR(__xludf.DUMMYFUNCTION("""COMPUTED_VALUE"""),"Municipal")</f>
        <v>Municipal</v>
      </c>
      <c r="T177" s="30" t="str">
        <f ca="1">IFERROR(__xludf.DUMMYFUNCTION("""COMPUTED_VALUE"""),"ESCOBAR")</f>
        <v>ESCOBAR</v>
      </c>
    </row>
    <row r="178" spans="1:20" ht="15.75" customHeight="1" x14ac:dyDescent="0.25">
      <c r="A178" s="30" t="str">
        <f ca="1">IFERROR(__xludf.DUMMYFUNCTION("""COMPUTED_VALUE"""),"50062522201837")</f>
        <v>50062522201837</v>
      </c>
      <c r="B178" s="30" t="str">
        <f ca="1">IFERROR(__xludf.DUMMYFUNCTION("""COMPUTED_VALUE"""),"CENTRO DE SALUD DR. HORACIO CANESI")</f>
        <v>CENTRO DE SALUD DR. HORACIO CANESI</v>
      </c>
      <c r="C178" s="30" t="str">
        <f ca="1">IFERROR(__xludf.DUMMYFUNCTION("""COMPUTED_VALUE"""),"Buenos Aires")</f>
        <v>Buenos Aires</v>
      </c>
      <c r="D178" s="30" t="str">
        <f ca="1">IFERROR(__xludf.DUMMYFUNCTION("""COMPUTED_VALUE"""),"6")</f>
        <v>6</v>
      </c>
      <c r="E178" s="30" t="str">
        <f ca="1">IFERROR(__xludf.DUMMYFUNCTION("""COMPUTED_VALUE"""),"")</f>
        <v/>
      </c>
      <c r="F178" s="29"/>
      <c r="G178" s="29"/>
      <c r="H178" s="30" t="str">
        <f ca="1">IFERROR(__xludf.DUMMYFUNCTION("""COMPUTED_VALUE"""),"activo")</f>
        <v>activo</v>
      </c>
      <c r="I178" s="29"/>
      <c r="J178" s="29"/>
      <c r="K178" s="29"/>
      <c r="L178" s="30" t="str">
        <f ca="1">IFERROR(__xludf.DUMMYFUNCTION("""COMPUTED_VALUE"""),"No")</f>
        <v>No</v>
      </c>
      <c r="M178" s="30" t="str">
        <f ca="1">IFERROR(__xludf.DUMMYFUNCTION("""COMPUTED_VALUE"""),"6252010006")</f>
        <v>6252010006</v>
      </c>
      <c r="N178" s="30" t="str">
        <f ca="1">IFERROR(__xludf.DUMMYFUNCTION("""COMPUTED_VALUE"""),"MATHEU")</f>
        <v>MATHEU</v>
      </c>
      <c r="O178" s="30" t="str">
        <f ca="1">IFERROR(__xludf.DUMMYFUNCTION("""COMPUTED_VALUE"""),"6252")</f>
        <v>6252</v>
      </c>
      <c r="P178" s="30" t="str">
        <f ca="1">IFERROR(__xludf.DUMMYFUNCTION("""COMPUTED_VALUE"""),"ESCOBAR")</f>
        <v>ESCOBAR</v>
      </c>
      <c r="Q178" s="30" t="str">
        <f ca="1">IFERROR(__xludf.DUMMYFUNCTION("""COMPUTED_VALUE"""),"-34.3541975")</f>
        <v>-34.3541975</v>
      </c>
      <c r="R178" s="30" t="str">
        <f ca="1">IFERROR(__xludf.DUMMYFUNCTION("""COMPUTED_VALUE"""),"-58.7918821")</f>
        <v>-58.7918821</v>
      </c>
      <c r="S178" s="30" t="str">
        <f ca="1">IFERROR(__xludf.DUMMYFUNCTION("""COMPUTED_VALUE"""),"Municipal")</f>
        <v>Municipal</v>
      </c>
      <c r="T178" s="30" t="str">
        <f ca="1">IFERROR(__xludf.DUMMYFUNCTION("""COMPUTED_VALUE"""),"ESCOBAR")</f>
        <v>ESCOBAR</v>
      </c>
    </row>
    <row r="179" spans="1:20" ht="15.75" customHeight="1" x14ac:dyDescent="0.25">
      <c r="A179" s="30" t="str">
        <f ca="1">IFERROR(__xludf.DUMMYFUNCTION("""COMPUTED_VALUE"""),"50062702202552")</f>
        <v>50062702202552</v>
      </c>
      <c r="B179" s="30" t="str">
        <f ca="1">IFERROR(__xludf.DUMMYFUNCTION("""COMPUTED_VALUE"""),"CENTRO DE SALUD N° 2")</f>
        <v>CENTRO DE SALUD N° 2</v>
      </c>
      <c r="C179" s="30" t="str">
        <f ca="1">IFERROR(__xludf.DUMMYFUNCTION("""COMPUTED_VALUE"""),"Buenos Aires")</f>
        <v>Buenos Aires</v>
      </c>
      <c r="D179" s="30" t="str">
        <f ca="1">IFERROR(__xludf.DUMMYFUNCTION("""COMPUTED_VALUE"""),"6")</f>
        <v>6</v>
      </c>
      <c r="E179" s="30" t="str">
        <f ca="1">IFERROR(__xludf.DUMMYFUNCTION("""COMPUTED_VALUE"""),"")</f>
        <v/>
      </c>
      <c r="F179" s="29"/>
      <c r="G179" s="29"/>
      <c r="H179" s="30" t="str">
        <f ca="1">IFERROR(__xludf.DUMMYFUNCTION("""COMPUTED_VALUE"""),"activo")</f>
        <v>activo</v>
      </c>
      <c r="I179" s="30" t="str">
        <f ca="1">IFERROR(__xludf.DUMMYFUNCTION("""COMPUTED_VALUE"""),"- fuera circular 2")</f>
        <v>- fuera circular 2</v>
      </c>
      <c r="J179" s="29"/>
      <c r="K179" s="29"/>
      <c r="L179" s="30" t="str">
        <f ca="1">IFERROR(__xludf.DUMMYFUNCTION("""COMPUTED_VALUE"""),"No")</f>
        <v>No</v>
      </c>
      <c r="M179" s="30" t="str">
        <f ca="1">IFERROR(__xludf.DUMMYFUNCTION("""COMPUTED_VALUE"""),"6270010006")</f>
        <v>6270010006</v>
      </c>
      <c r="N179" s="30" t="str">
        <f ca="1">IFERROR(__xludf.DUMMYFUNCTION("""COMPUTED_VALUE"""),"TRISTAN SUAREZ")</f>
        <v>TRISTAN SUAREZ</v>
      </c>
      <c r="O179" s="30" t="str">
        <f ca="1">IFERROR(__xludf.DUMMYFUNCTION("""COMPUTED_VALUE"""),"6270")</f>
        <v>6270</v>
      </c>
      <c r="P179" s="30" t="str">
        <f ca="1">IFERROR(__xludf.DUMMYFUNCTION("""COMPUTED_VALUE"""),"EZEIZA")</f>
        <v>EZEIZA</v>
      </c>
      <c r="Q179" s="30" t="str">
        <f ca="1">IFERROR(__xludf.DUMMYFUNCTION("""COMPUTED_VALUE"""),"-34.8477087")</f>
        <v>-34.8477087</v>
      </c>
      <c r="R179" s="30" t="str">
        <f ca="1">IFERROR(__xludf.DUMMYFUNCTION("""COMPUTED_VALUE"""),"-58.5099351")</f>
        <v>-58.5099351</v>
      </c>
      <c r="S179" s="30" t="str">
        <f ca="1">IFERROR(__xludf.DUMMYFUNCTION("""COMPUTED_VALUE"""),"Municipal")</f>
        <v>Municipal</v>
      </c>
      <c r="T179" s="30" t="str">
        <f ca="1">IFERROR(__xludf.DUMMYFUNCTION("""COMPUTED_VALUE"""),"EZEIZA")</f>
        <v>EZEIZA</v>
      </c>
    </row>
    <row r="180" spans="1:20" ht="15.75" customHeight="1" x14ac:dyDescent="0.25">
      <c r="A180" s="30" t="str">
        <f ca="1">IFERROR(__xludf.DUMMYFUNCTION("""COMPUTED_VALUE"""),"50062702215028")</f>
        <v>50062702215028</v>
      </c>
      <c r="B180" s="30" t="str">
        <f ca="1">IFERROR(__xludf.DUMMYFUNCTION("""COMPUTED_VALUE"""),"UNIDAD SANITARIA N° 15")</f>
        <v>UNIDAD SANITARIA N° 15</v>
      </c>
      <c r="C180" s="30" t="str">
        <f ca="1">IFERROR(__xludf.DUMMYFUNCTION("""COMPUTED_VALUE"""),"Buenos Aires")</f>
        <v>Buenos Aires</v>
      </c>
      <c r="D180" s="30" t="str">
        <f ca="1">IFERROR(__xludf.DUMMYFUNCTION("""COMPUTED_VALUE"""),"6")</f>
        <v>6</v>
      </c>
      <c r="E180" s="30" t="str">
        <f ca="1">IFERROR(__xludf.DUMMYFUNCTION("""COMPUTED_VALUE"""),"")</f>
        <v/>
      </c>
      <c r="F180" s="29"/>
      <c r="G180" s="29"/>
      <c r="H180" s="30" t="str">
        <f ca="1">IFERROR(__xludf.DUMMYFUNCTION("""COMPUTED_VALUE"""),"activo")</f>
        <v>activo</v>
      </c>
      <c r="I180" s="30" t="str">
        <f ca="1">IFERROR(__xludf.DUMMYFUNCTION("""COMPUTED_VALUE"""),"- fuera circular 2")</f>
        <v>- fuera circular 2</v>
      </c>
      <c r="J180" s="29"/>
      <c r="K180" s="29"/>
      <c r="L180" s="30" t="str">
        <f ca="1">IFERROR(__xludf.DUMMYFUNCTION("""COMPUTED_VALUE"""),"No")</f>
        <v>No</v>
      </c>
      <c r="M180" s="30" t="str">
        <f ca="1">IFERROR(__xludf.DUMMYFUNCTION("""COMPUTED_VALUE"""),"6270010003")</f>
        <v>6270010003</v>
      </c>
      <c r="N180" s="30" t="str">
        <f ca="1">IFERROR(__xludf.DUMMYFUNCTION("""COMPUTED_VALUE"""),"CARLOS SPEGAZZINI")</f>
        <v>CARLOS SPEGAZZINI</v>
      </c>
      <c r="O180" s="30" t="str">
        <f ca="1">IFERROR(__xludf.DUMMYFUNCTION("""COMPUTED_VALUE"""),"6270")</f>
        <v>6270</v>
      </c>
      <c r="P180" s="30" t="str">
        <f ca="1">IFERROR(__xludf.DUMMYFUNCTION("""COMPUTED_VALUE"""),"EZEIZA")</f>
        <v>EZEIZA</v>
      </c>
      <c r="Q180" s="30" t="str">
        <f ca="1">IFERROR(__xludf.DUMMYFUNCTION("""COMPUTED_VALUE"""),"-34.9089858")</f>
        <v>-34.9089858</v>
      </c>
      <c r="R180" s="30" t="str">
        <f ca="1">IFERROR(__xludf.DUMMYFUNCTION("""COMPUTED_VALUE"""),"-58.5941741")</f>
        <v>-58.5941741</v>
      </c>
      <c r="S180" s="30" t="str">
        <f ca="1">IFERROR(__xludf.DUMMYFUNCTION("""COMPUTED_VALUE"""),"Municipal")</f>
        <v>Municipal</v>
      </c>
      <c r="T180" s="30" t="str">
        <f ca="1">IFERROR(__xludf.DUMMYFUNCTION("""COMPUTED_VALUE"""),"EZEIZA")</f>
        <v>EZEIZA</v>
      </c>
    </row>
    <row r="181" spans="1:20" ht="15.75" customHeight="1" x14ac:dyDescent="0.25">
      <c r="A181" s="30" t="str">
        <f ca="1">IFERROR(__xludf.DUMMYFUNCTION("""COMPUTED_VALUE"""),"50062742202328")</f>
        <v>50062742202328</v>
      </c>
      <c r="B181" s="30" t="str">
        <f ca="1">IFERROR(__xludf.DUMMYFUNCTION("""COMPUTED_VALUE"""),"UNIDAD SANITARIA INGENIERO ALLAN")</f>
        <v>UNIDAD SANITARIA INGENIERO ALLAN</v>
      </c>
      <c r="C181" s="30" t="str">
        <f ca="1">IFERROR(__xludf.DUMMYFUNCTION("""COMPUTED_VALUE"""),"Buenos Aires")</f>
        <v>Buenos Aires</v>
      </c>
      <c r="D181" s="30" t="str">
        <f ca="1">IFERROR(__xludf.DUMMYFUNCTION("""COMPUTED_VALUE"""),"6")</f>
        <v>6</v>
      </c>
      <c r="E181" s="30" t="str">
        <f ca="1">IFERROR(__xludf.DUMMYFUNCTION("""COMPUTED_VALUE"""),"")</f>
        <v/>
      </c>
      <c r="F181" s="29"/>
      <c r="G181" s="29"/>
      <c r="H181" s="30" t="str">
        <f ca="1">IFERROR(__xludf.DUMMYFUNCTION("""COMPUTED_VALUE"""),"activo")</f>
        <v>activo</v>
      </c>
      <c r="I181" s="29"/>
      <c r="J181" s="29"/>
      <c r="K181" s="29"/>
      <c r="L181" s="30" t="str">
        <f ca="1">IFERROR(__xludf.DUMMYFUNCTION("""COMPUTED_VALUE"""),"No")</f>
        <v>No</v>
      </c>
      <c r="M181" s="30" t="str">
        <f ca="1">IFERROR(__xludf.DUMMYFUNCTION("""COMPUTED_VALUE"""),"6274010003")</f>
        <v>6274010003</v>
      </c>
      <c r="N181" s="30" t="str">
        <f ca="1">IFERROR(__xludf.DUMMYFUNCTION("""COMPUTED_VALUE"""),"FLORENCIO VARELA")</f>
        <v>FLORENCIO VARELA</v>
      </c>
      <c r="O181" s="30" t="str">
        <f ca="1">IFERROR(__xludf.DUMMYFUNCTION("""COMPUTED_VALUE"""),"6274")</f>
        <v>6274</v>
      </c>
      <c r="P181" s="30" t="str">
        <f ca="1">IFERROR(__xludf.DUMMYFUNCTION("""COMPUTED_VALUE"""),"FLORENCIO VARELA")</f>
        <v>FLORENCIO VARELA</v>
      </c>
      <c r="Q181" s="30" t="str">
        <f ca="1">IFERROR(__xludf.DUMMYFUNCTION("""COMPUTED_VALUE"""),"-34.86901322")</f>
        <v>-34.86901322</v>
      </c>
      <c r="R181" s="30" t="str">
        <f ca="1">IFERROR(__xludf.DUMMYFUNCTION("""COMPUTED_VALUE"""),"-58.1992557")</f>
        <v>-58.1992557</v>
      </c>
      <c r="S181" s="30" t="str">
        <f ca="1">IFERROR(__xludf.DUMMYFUNCTION("""COMPUTED_VALUE"""),"Municipal")</f>
        <v>Municipal</v>
      </c>
      <c r="T181" s="30" t="str">
        <f ca="1">IFERROR(__xludf.DUMMYFUNCTION("""COMPUTED_VALUE"""),"FLORENCIO VARELA")</f>
        <v>FLORENCIO VARELA</v>
      </c>
    </row>
    <row r="182" spans="1:20" ht="15.75" customHeight="1" x14ac:dyDescent="0.25">
      <c r="A182" s="30" t="str">
        <f ca="1">IFERROR(__xludf.DUMMYFUNCTION("""COMPUTED_VALUE"""),"50062742202157")</f>
        <v>50062742202157</v>
      </c>
      <c r="B182" s="30" t="str">
        <f ca="1">IFERROR(__xludf.DUMMYFUNCTION("""COMPUTED_VALUE"""),"UNIDAD SANITARIA BOSQUES NORTE BAIGORRI")</f>
        <v>UNIDAD SANITARIA BOSQUES NORTE BAIGORRI</v>
      </c>
      <c r="C182" s="30" t="str">
        <f ca="1">IFERROR(__xludf.DUMMYFUNCTION("""COMPUTED_VALUE"""),"Buenos Aires")</f>
        <v>Buenos Aires</v>
      </c>
      <c r="D182" s="30" t="str">
        <f ca="1">IFERROR(__xludf.DUMMYFUNCTION("""COMPUTED_VALUE"""),"6")</f>
        <v>6</v>
      </c>
      <c r="E182" s="30" t="str">
        <f ca="1">IFERROR(__xludf.DUMMYFUNCTION("""COMPUTED_VALUE"""),"")</f>
        <v/>
      </c>
      <c r="F182" s="29"/>
      <c r="G182" s="29"/>
      <c r="H182" s="30" t="str">
        <f ca="1">IFERROR(__xludf.DUMMYFUNCTION("""COMPUTED_VALUE"""),"activo")</f>
        <v>activo</v>
      </c>
      <c r="I182" s="30" t="str">
        <f ca="1">IFERROR(__xludf.DUMMYFUNCTION("""COMPUTED_VALUE"""),"- fuera circular 2")</f>
        <v>- fuera circular 2</v>
      </c>
      <c r="J182" s="29"/>
      <c r="K182" s="29"/>
      <c r="L182" s="30" t="str">
        <f ca="1">IFERROR(__xludf.DUMMYFUNCTION("""COMPUTED_VALUE"""),"No")</f>
        <v>No</v>
      </c>
      <c r="M182" s="30" t="str">
        <f ca="1">IFERROR(__xludf.DUMMYFUNCTION("""COMPUTED_VALUE"""),"6274010001")</f>
        <v>6274010001</v>
      </c>
      <c r="N182" s="30" t="str">
        <f ca="1">IFERROR(__xludf.DUMMYFUNCTION("""COMPUTED_VALUE"""),"BOSQUES")</f>
        <v>BOSQUES</v>
      </c>
      <c r="O182" s="30" t="str">
        <f ca="1">IFERROR(__xludf.DUMMYFUNCTION("""COMPUTED_VALUE"""),"6274")</f>
        <v>6274</v>
      </c>
      <c r="P182" s="30" t="str">
        <f ca="1">IFERROR(__xludf.DUMMYFUNCTION("""COMPUTED_VALUE"""),"FLORENCIO VARELA")</f>
        <v>FLORENCIO VARELA</v>
      </c>
      <c r="Q182" s="30" t="str">
        <f ca="1">IFERROR(__xludf.DUMMYFUNCTION("""COMPUTED_VALUE"""),"-34.817257")</f>
        <v>-34.817257</v>
      </c>
      <c r="R182" s="30" t="str">
        <f ca="1">IFERROR(__xludf.DUMMYFUNCTION("""COMPUTED_VALUE"""),"-58.2227363")</f>
        <v>-58.2227363</v>
      </c>
      <c r="S182" s="30" t="str">
        <f ca="1">IFERROR(__xludf.DUMMYFUNCTION("""COMPUTED_VALUE"""),"Municipal")</f>
        <v>Municipal</v>
      </c>
      <c r="T182" s="30" t="str">
        <f ca="1">IFERROR(__xludf.DUMMYFUNCTION("""COMPUTED_VALUE"""),"FLORENCIO VARELA")</f>
        <v>FLORENCIO VARELA</v>
      </c>
    </row>
    <row r="183" spans="1:20" ht="15.75" customHeight="1" x14ac:dyDescent="0.25">
      <c r="A183" s="30" t="str">
        <f ca="1">IFERROR(__xludf.DUMMYFUNCTION("""COMPUTED_VALUE"""),"50062742202879")</f>
        <v>50062742202879</v>
      </c>
      <c r="B183" s="30" t="str">
        <f ca="1">IFERROR(__xludf.DUMMYFUNCTION("""COMPUTED_VALUE"""),"UNIDAD SANITARIA VILLA DR. AMADOR ROSELLI")</f>
        <v>UNIDAD SANITARIA VILLA DR. AMADOR ROSELLI</v>
      </c>
      <c r="C183" s="30" t="str">
        <f ca="1">IFERROR(__xludf.DUMMYFUNCTION("""COMPUTED_VALUE"""),"Buenos Aires")</f>
        <v>Buenos Aires</v>
      </c>
      <c r="D183" s="30" t="str">
        <f ca="1">IFERROR(__xludf.DUMMYFUNCTION("""COMPUTED_VALUE"""),"6")</f>
        <v>6</v>
      </c>
      <c r="E183" s="30" t="str">
        <f ca="1">IFERROR(__xludf.DUMMYFUNCTION("""COMPUTED_VALUE"""),"")</f>
        <v/>
      </c>
      <c r="F183" s="29"/>
      <c r="G183" s="29"/>
      <c r="H183" s="30" t="str">
        <f ca="1">IFERROR(__xludf.DUMMYFUNCTION("""COMPUTED_VALUE"""),"activo")</f>
        <v>activo</v>
      </c>
      <c r="I183" s="29"/>
      <c r="J183" s="29"/>
      <c r="K183" s="29"/>
      <c r="L183" s="30" t="str">
        <f ca="1">IFERROR(__xludf.DUMMYFUNCTION("""COMPUTED_VALUE"""),"No")</f>
        <v>No</v>
      </c>
      <c r="M183" s="30" t="str">
        <f ca="1">IFERROR(__xludf.DUMMYFUNCTION("""COMPUTED_VALUE"""),"6274010003")</f>
        <v>6274010003</v>
      </c>
      <c r="N183" s="30" t="str">
        <f ca="1">IFERROR(__xludf.DUMMYFUNCTION("""COMPUTED_VALUE"""),"FLORENCIO VARELA")</f>
        <v>FLORENCIO VARELA</v>
      </c>
      <c r="O183" s="30" t="str">
        <f ca="1">IFERROR(__xludf.DUMMYFUNCTION("""COMPUTED_VALUE"""),"6274")</f>
        <v>6274</v>
      </c>
      <c r="P183" s="30" t="str">
        <f ca="1">IFERROR(__xludf.DUMMYFUNCTION("""COMPUTED_VALUE"""),"FLORENCIO VARELA")</f>
        <v>FLORENCIO VARELA</v>
      </c>
      <c r="Q183" s="30" t="str">
        <f ca="1">IFERROR(__xludf.DUMMYFUNCTION("""COMPUTED_VALUE"""),"-34.83482564")</f>
        <v>-34.83482564</v>
      </c>
      <c r="R183" s="30" t="str">
        <f ca="1">IFERROR(__xludf.DUMMYFUNCTION("""COMPUTED_VALUE"""),"-58.26888585")</f>
        <v>-58.26888585</v>
      </c>
      <c r="S183" s="30" t="str">
        <f ca="1">IFERROR(__xludf.DUMMYFUNCTION("""COMPUTED_VALUE"""),"Municipal")</f>
        <v>Municipal</v>
      </c>
      <c r="T183" s="30" t="str">
        <f ca="1">IFERROR(__xludf.DUMMYFUNCTION("""COMPUTED_VALUE"""),"FLORENCIO VARELA")</f>
        <v>FLORENCIO VARELA</v>
      </c>
    </row>
    <row r="184" spans="1:20" ht="15.75" customHeight="1" x14ac:dyDescent="0.25">
      <c r="A184" s="30" t="str">
        <f ca="1">IFERROR(__xludf.DUMMYFUNCTION("""COMPUTED_VALUE"""),"50063572202392")</f>
        <v>50063572202392</v>
      </c>
      <c r="B184" s="30" t="str">
        <f ca="1">IFERROR(__xludf.DUMMYFUNCTION("""COMPUTED_VALUE"""),"C.A.P.S. LAS AMERICAS")</f>
        <v>C.A.P.S. LAS AMERICAS</v>
      </c>
      <c r="C184" s="30" t="str">
        <f ca="1">IFERROR(__xludf.DUMMYFUNCTION("""COMPUTED_VALUE"""),"Buenos Aires")</f>
        <v>Buenos Aires</v>
      </c>
      <c r="D184" s="30" t="str">
        <f ca="1">IFERROR(__xludf.DUMMYFUNCTION("""COMPUTED_VALUE"""),"6")</f>
        <v>6</v>
      </c>
      <c r="E184" s="30" t="str">
        <f ca="1">IFERROR(__xludf.DUMMYFUNCTION("""COMPUTED_VALUE"""),"")</f>
        <v/>
      </c>
      <c r="F184" s="29"/>
      <c r="G184" s="29"/>
      <c r="H184" s="30" t="str">
        <f ca="1">IFERROR(__xludf.DUMMYFUNCTION("""COMPUTED_VALUE"""),"activo")</f>
        <v>activo</v>
      </c>
      <c r="I184" s="29"/>
      <c r="J184" s="29"/>
      <c r="K184" s="29"/>
      <c r="L184" s="30" t="str">
        <f ca="1">IFERROR(__xludf.DUMMYFUNCTION("""COMPUTED_VALUE"""),"No")</f>
        <v>No</v>
      </c>
      <c r="M184" s="30" t="str">
        <f ca="1">IFERROR(__xludf.DUMMYFUNCTION("""COMPUTED_VALUE"""),"6357110003")</f>
        <v>6357110003</v>
      </c>
      <c r="N184" s="30" t="str">
        <f ca="1">IFERROR(__xludf.DUMMYFUNCTION("""COMPUTED_VALUE"""),"MAR DEL PLATA")</f>
        <v>MAR DEL PLATA</v>
      </c>
      <c r="O184" s="30" t="str">
        <f ca="1">IFERROR(__xludf.DUMMYFUNCTION("""COMPUTED_VALUE"""),"6357")</f>
        <v>6357</v>
      </c>
      <c r="P184" s="30" t="str">
        <f ca="1">IFERROR(__xludf.DUMMYFUNCTION("""COMPUTED_VALUE"""),"GENERAL PUEYRREDÓN")</f>
        <v>GENERAL PUEYRREDÓN</v>
      </c>
      <c r="Q184" s="30" t="str">
        <f ca="1">IFERROR(__xludf.DUMMYFUNCTION("""COMPUTED_VALUE"""),"-37.99766552")</f>
        <v>-37.99766552</v>
      </c>
      <c r="R184" s="30" t="str">
        <f ca="1">IFERROR(__xludf.DUMMYFUNCTION("""COMPUTED_VALUE"""),"-57.60589957")</f>
        <v>-57.60589957</v>
      </c>
      <c r="S184" s="30" t="str">
        <f ca="1">IFERROR(__xludf.DUMMYFUNCTION("""COMPUTED_VALUE"""),"Municipal")</f>
        <v>Municipal</v>
      </c>
      <c r="T184" s="30" t="str">
        <f ca="1">IFERROR(__xludf.DUMMYFUNCTION("""COMPUTED_VALUE"""),"GENERAL PUEYRREDÓN")</f>
        <v>GENERAL PUEYRREDÓN</v>
      </c>
    </row>
    <row r="185" spans="1:20" ht="15.75" customHeight="1" x14ac:dyDescent="0.25">
      <c r="A185" s="30" t="str">
        <f ca="1">IFERROR(__xludf.DUMMYFUNCTION("""COMPUTED_VALUE"""),"50063572202053")</f>
        <v>50063572202053</v>
      </c>
      <c r="B185" s="30" t="str">
        <f ca="1">IFERROR(__xludf.DUMMYFUNCTION("""COMPUTED_VALUE"""),"CAPS ALTO CAMET")</f>
        <v>CAPS ALTO CAMET</v>
      </c>
      <c r="C185" s="30" t="str">
        <f ca="1">IFERROR(__xludf.DUMMYFUNCTION("""COMPUTED_VALUE"""),"Buenos Aires")</f>
        <v>Buenos Aires</v>
      </c>
      <c r="D185" s="30" t="str">
        <f ca="1">IFERROR(__xludf.DUMMYFUNCTION("""COMPUTED_VALUE"""),"6")</f>
        <v>6</v>
      </c>
      <c r="E185" s="30" t="str">
        <f ca="1">IFERROR(__xludf.DUMMYFUNCTION("""COMPUTED_VALUE"""),"")</f>
        <v/>
      </c>
      <c r="F185" s="29"/>
      <c r="G185" s="29"/>
      <c r="H185" s="30" t="str">
        <f ca="1">IFERROR(__xludf.DUMMYFUNCTION("""COMPUTED_VALUE"""),"activo")</f>
        <v>activo</v>
      </c>
      <c r="I185" s="29"/>
      <c r="J185" s="29"/>
      <c r="K185" s="29"/>
      <c r="L185" s="30" t="str">
        <f ca="1">IFERROR(__xludf.DUMMYFUNCTION("""COMPUTED_VALUE"""),"No")</f>
        <v>No</v>
      </c>
      <c r="M185" s="30" t="str">
        <f ca="1">IFERROR(__xludf.DUMMYFUNCTION("""COMPUTED_VALUE"""),"6357110001")</f>
        <v>6357110001</v>
      </c>
      <c r="N185" s="30" t="str">
        <f ca="1">IFERROR(__xludf.DUMMYFUNCTION("""COMPUTED_VALUE"""),"CAMET")</f>
        <v>CAMET</v>
      </c>
      <c r="O185" s="30" t="str">
        <f ca="1">IFERROR(__xludf.DUMMYFUNCTION("""COMPUTED_VALUE"""),"6357")</f>
        <v>6357</v>
      </c>
      <c r="P185" s="30" t="str">
        <f ca="1">IFERROR(__xludf.DUMMYFUNCTION("""COMPUTED_VALUE"""),"GENERAL PUEYRREDÓN")</f>
        <v>GENERAL PUEYRREDÓN</v>
      </c>
      <c r="Q185" s="30" t="str">
        <f ca="1">IFERROR(__xludf.DUMMYFUNCTION("""COMPUTED_VALUE"""),"-37.9448934")</f>
        <v>-37.9448934</v>
      </c>
      <c r="R185" s="30" t="str">
        <f ca="1">IFERROR(__xludf.DUMMYFUNCTION("""COMPUTED_VALUE"""),"-57.53713453")</f>
        <v>-57.53713453</v>
      </c>
      <c r="S185" s="30" t="str">
        <f ca="1">IFERROR(__xludf.DUMMYFUNCTION("""COMPUTED_VALUE"""),"Municipal")</f>
        <v>Municipal</v>
      </c>
      <c r="T185" s="30" t="str">
        <f ca="1">IFERROR(__xludf.DUMMYFUNCTION("""COMPUTED_VALUE"""),"GENERAL PUEYRREDÓN")</f>
        <v>GENERAL PUEYRREDÓN</v>
      </c>
    </row>
    <row r="186" spans="1:20" ht="15.75" customHeight="1" x14ac:dyDescent="0.25">
      <c r="A186" s="30" t="str">
        <f ca="1">IFERROR(__xludf.DUMMYFUNCTION("""COMPUTED_VALUE"""),"50063572202824")</f>
        <v>50063572202824</v>
      </c>
      <c r="B186" s="30" t="str">
        <f ca="1">IFERROR(__xludf.DUMMYFUNCTION("""COMPUTED_VALUE"""),"C.A.P.S. SANTA RITA")</f>
        <v>C.A.P.S. SANTA RITA</v>
      </c>
      <c r="C186" s="30" t="str">
        <f ca="1">IFERROR(__xludf.DUMMYFUNCTION("""COMPUTED_VALUE"""),"Buenos Aires")</f>
        <v>Buenos Aires</v>
      </c>
      <c r="D186" s="30" t="str">
        <f ca="1">IFERROR(__xludf.DUMMYFUNCTION("""COMPUTED_VALUE"""),"6")</f>
        <v>6</v>
      </c>
      <c r="E186" s="30" t="str">
        <f ca="1">IFERROR(__xludf.DUMMYFUNCTION("""COMPUTED_VALUE"""),"")</f>
        <v/>
      </c>
      <c r="F186" s="29"/>
      <c r="G186" s="29"/>
      <c r="H186" s="30" t="str">
        <f ca="1">IFERROR(__xludf.DUMMYFUNCTION("""COMPUTED_VALUE"""),"activo")</f>
        <v>activo</v>
      </c>
      <c r="I186" s="30" t="str">
        <f ca="1">IFERROR(__xludf.DUMMYFUNCTION("""COMPUTED_VALUE"""),"- fuera circular 2")</f>
        <v>- fuera circular 2</v>
      </c>
      <c r="J186" s="29"/>
      <c r="K186" s="29"/>
      <c r="L186" s="30" t="str">
        <f ca="1">IFERROR(__xludf.DUMMYFUNCTION("""COMPUTED_VALUE"""),"No")</f>
        <v>No</v>
      </c>
      <c r="M186" s="30" t="str">
        <f ca="1">IFERROR(__xludf.DUMMYFUNCTION("""COMPUTED_VALUE"""),"6357110003")</f>
        <v>6357110003</v>
      </c>
      <c r="N186" s="30" t="str">
        <f ca="1">IFERROR(__xludf.DUMMYFUNCTION("""COMPUTED_VALUE"""),"MAR DEL PLATA")</f>
        <v>MAR DEL PLATA</v>
      </c>
      <c r="O186" s="30" t="str">
        <f ca="1">IFERROR(__xludf.DUMMYFUNCTION("""COMPUTED_VALUE"""),"6357")</f>
        <v>6357</v>
      </c>
      <c r="P186" s="30" t="str">
        <f ca="1">IFERROR(__xludf.DUMMYFUNCTION("""COMPUTED_VALUE"""),"GENERAL PUEYRREDÓN")</f>
        <v>GENERAL PUEYRREDÓN</v>
      </c>
      <c r="Q186" s="30" t="str">
        <f ca="1">IFERROR(__xludf.DUMMYFUNCTION("""COMPUTED_VALUE"""),"-38.0177744")</f>
        <v>-38.0177744</v>
      </c>
      <c r="R186" s="30" t="str">
        <f ca="1">IFERROR(__xludf.DUMMYFUNCTION("""COMPUTED_VALUE"""),"-57.59019542")</f>
        <v>-57.59019542</v>
      </c>
      <c r="S186" s="30" t="str">
        <f ca="1">IFERROR(__xludf.DUMMYFUNCTION("""COMPUTED_VALUE"""),"Municipal")</f>
        <v>Municipal</v>
      </c>
      <c r="T186" s="30" t="str">
        <f ca="1">IFERROR(__xludf.DUMMYFUNCTION("""COMPUTED_VALUE"""),"GENERAL PUEYRREDÓN")</f>
        <v>GENERAL PUEYRREDÓN</v>
      </c>
    </row>
    <row r="187" spans="1:20" ht="15.75" customHeight="1" x14ac:dyDescent="0.25">
      <c r="A187" s="30" t="str">
        <f ca="1">IFERROR(__xludf.DUMMYFUNCTION("""COMPUTED_VALUE"""),"50063572201987")</f>
        <v>50063572201987</v>
      </c>
      <c r="B187" s="30" t="str">
        <f ca="1">IFERROR(__xludf.DUMMYFUNCTION("""COMPUTED_VALUE"""),"C.A.P.S. BELGRANO")</f>
        <v>C.A.P.S. BELGRANO</v>
      </c>
      <c r="C187" s="30" t="str">
        <f ca="1">IFERROR(__xludf.DUMMYFUNCTION("""COMPUTED_VALUE"""),"Buenos Aires")</f>
        <v>Buenos Aires</v>
      </c>
      <c r="D187" s="30" t="str">
        <f ca="1">IFERROR(__xludf.DUMMYFUNCTION("""COMPUTED_VALUE"""),"6")</f>
        <v>6</v>
      </c>
      <c r="E187" s="30" t="str">
        <f ca="1">IFERROR(__xludf.DUMMYFUNCTION("""COMPUTED_VALUE"""),"")</f>
        <v/>
      </c>
      <c r="F187" s="29"/>
      <c r="G187" s="29"/>
      <c r="H187" s="30" t="str">
        <f ca="1">IFERROR(__xludf.DUMMYFUNCTION("""COMPUTED_VALUE"""),"activo")</f>
        <v>activo</v>
      </c>
      <c r="I187" s="29"/>
      <c r="J187" s="29"/>
      <c r="K187" s="29"/>
      <c r="L187" s="30" t="str">
        <f ca="1">IFERROR(__xludf.DUMMYFUNCTION("""COMPUTED_VALUE"""),"No")</f>
        <v>No</v>
      </c>
      <c r="M187" s="30" t="str">
        <f ca="1">IFERROR(__xludf.DUMMYFUNCTION("""COMPUTED_VALUE"""),"6357110003")</f>
        <v>6357110003</v>
      </c>
      <c r="N187" s="30" t="str">
        <f ca="1">IFERROR(__xludf.DUMMYFUNCTION("""COMPUTED_VALUE"""),"MAR DEL PLATA")</f>
        <v>MAR DEL PLATA</v>
      </c>
      <c r="O187" s="30" t="str">
        <f ca="1">IFERROR(__xludf.DUMMYFUNCTION("""COMPUTED_VALUE"""),"6357")</f>
        <v>6357</v>
      </c>
      <c r="P187" s="30" t="str">
        <f ca="1">IFERROR(__xludf.DUMMYFUNCTION("""COMPUTED_VALUE"""),"GENERAL PUEYRREDÓN")</f>
        <v>GENERAL PUEYRREDÓN</v>
      </c>
      <c r="Q187" s="30" t="str">
        <f ca="1">IFERROR(__xludf.DUMMYFUNCTION("""COMPUTED_VALUE"""),"-38.0001017")</f>
        <v>-38.0001017</v>
      </c>
      <c r="R187" s="30" t="str">
        <f ca="1">IFERROR(__xludf.DUMMYFUNCTION("""COMPUTED_VALUE"""),"-57.62565994")</f>
        <v>-57.62565994</v>
      </c>
      <c r="S187" s="30" t="str">
        <f ca="1">IFERROR(__xludf.DUMMYFUNCTION("""COMPUTED_VALUE"""),"Municipal")</f>
        <v>Municipal</v>
      </c>
      <c r="T187" s="30" t="str">
        <f ca="1">IFERROR(__xludf.DUMMYFUNCTION("""COMPUTED_VALUE"""),"GENERAL PUEYRREDÓN")</f>
        <v>GENERAL PUEYRREDÓN</v>
      </c>
    </row>
    <row r="188" spans="1:20" ht="15.75" customHeight="1" x14ac:dyDescent="0.25">
      <c r="A188" s="30" t="str">
        <f ca="1">IFERROR(__xludf.DUMMYFUNCTION("""COMPUTED_VALUE"""),"50064412201289")</f>
        <v>50064412201289</v>
      </c>
      <c r="B188" s="30" t="str">
        <f ca="1">IFERROR(__xludf.DUMMYFUNCTION("""COMPUTED_VALUE"""),"CENTRO DE SALUD N° 20 DE LA PLATA")</f>
        <v>CENTRO DE SALUD N° 20 DE LA PLATA</v>
      </c>
      <c r="C188" s="30" t="str">
        <f ca="1">IFERROR(__xludf.DUMMYFUNCTION("""COMPUTED_VALUE"""),"Buenos Aires")</f>
        <v>Buenos Aires</v>
      </c>
      <c r="D188" s="30" t="str">
        <f ca="1">IFERROR(__xludf.DUMMYFUNCTION("""COMPUTED_VALUE"""),"6")</f>
        <v>6</v>
      </c>
      <c r="E188" s="30" t="str">
        <f ca="1">IFERROR(__xludf.DUMMYFUNCTION("""COMPUTED_VALUE"""),"si")</f>
        <v>si</v>
      </c>
      <c r="F188" s="29"/>
      <c r="G188" s="29"/>
      <c r="H188" s="30" t="str">
        <f ca="1">IFERROR(__xludf.DUMMYFUNCTION("""COMPUTED_VALUE"""),"activo")</f>
        <v>activo</v>
      </c>
      <c r="I188" s="29"/>
      <c r="J188" s="29"/>
      <c r="K188" s="29"/>
      <c r="L188" s="30" t="str">
        <f ca="1">IFERROR(__xludf.DUMMYFUNCTION("""COMPUTED_VALUE"""),"No")</f>
        <v>No</v>
      </c>
      <c r="M188" s="30" t="str">
        <f ca="1">IFERROR(__xludf.DUMMYFUNCTION("""COMPUTED_VALUE"""),"6441030015")</f>
        <v>6441030015</v>
      </c>
      <c r="N188" s="30" t="str">
        <f ca="1">IFERROR(__xludf.DUMMYFUNCTION("""COMPUTED_VALUE"""),"LA PLATA")</f>
        <v>LA PLATA</v>
      </c>
      <c r="O188" s="30" t="str">
        <f ca="1">IFERROR(__xludf.DUMMYFUNCTION("""COMPUTED_VALUE"""),"6441")</f>
        <v>6441</v>
      </c>
      <c r="P188" s="30" t="str">
        <f ca="1">IFERROR(__xludf.DUMMYFUNCTION("""COMPUTED_VALUE"""),"LA PLATA")</f>
        <v>LA PLATA</v>
      </c>
      <c r="Q188" s="30" t="str">
        <f ca="1">IFERROR(__xludf.DUMMYFUNCTION("""COMPUTED_VALUE"""),"-34.93229621")</f>
        <v>-34.93229621</v>
      </c>
      <c r="R188" s="30" t="str">
        <f ca="1">IFERROR(__xludf.DUMMYFUNCTION("""COMPUTED_VALUE"""),"-58.00041533")</f>
        <v>-58.00041533</v>
      </c>
      <c r="S188" s="30" t="str">
        <f ca="1">IFERROR(__xludf.DUMMYFUNCTION("""COMPUTED_VALUE"""),"Municipal")</f>
        <v>Municipal</v>
      </c>
      <c r="T188" s="30" t="str">
        <f ca="1">IFERROR(__xludf.DUMMYFUNCTION("""COMPUTED_VALUE"""),"LA PLATA")</f>
        <v>LA PLATA</v>
      </c>
    </row>
    <row r="189" spans="1:20" ht="15.75" customHeight="1" x14ac:dyDescent="0.25">
      <c r="A189" s="30" t="str">
        <f ca="1">IFERROR(__xludf.DUMMYFUNCTION("""COMPUTED_VALUE"""),"50064412201309")</f>
        <v>50064412201309</v>
      </c>
      <c r="B189" s="30" t="str">
        <f ca="1">IFERROR(__xludf.DUMMYFUNCTION("""COMPUTED_VALUE"""),"CENTRO DE SALUD N° 3 DE LA PLATA")</f>
        <v>CENTRO DE SALUD N° 3 DE LA PLATA</v>
      </c>
      <c r="C189" s="30" t="str">
        <f ca="1">IFERROR(__xludf.DUMMYFUNCTION("""COMPUTED_VALUE"""),"Buenos Aires")</f>
        <v>Buenos Aires</v>
      </c>
      <c r="D189" s="30" t="str">
        <f ca="1">IFERROR(__xludf.DUMMYFUNCTION("""COMPUTED_VALUE"""),"6")</f>
        <v>6</v>
      </c>
      <c r="E189" s="30" t="str">
        <f ca="1">IFERROR(__xludf.DUMMYFUNCTION("""COMPUTED_VALUE"""),"si")</f>
        <v>si</v>
      </c>
      <c r="F189" s="29"/>
      <c r="G189" s="29"/>
      <c r="H189" s="30" t="str">
        <f ca="1">IFERROR(__xludf.DUMMYFUNCTION("""COMPUTED_VALUE"""),"activo")</f>
        <v>activo</v>
      </c>
      <c r="I189" s="30" t="str">
        <f ca="1">IFERROR(__xludf.DUMMYFUNCTION("""COMPUTED_VALUE"""),"- fuera circular 2")</f>
        <v>- fuera circular 2</v>
      </c>
      <c r="J189" s="29"/>
      <c r="K189" s="29"/>
      <c r="L189" s="30" t="str">
        <f ca="1">IFERROR(__xludf.DUMMYFUNCTION("""COMPUTED_VALUE"""),"No")</f>
        <v>No</v>
      </c>
      <c r="M189" s="30" t="str">
        <f ca="1">IFERROR(__xludf.DUMMYFUNCTION("""COMPUTED_VALUE"""),"6441030015")</f>
        <v>6441030015</v>
      </c>
      <c r="N189" s="30" t="str">
        <f ca="1">IFERROR(__xludf.DUMMYFUNCTION("""COMPUTED_VALUE"""),"LA PLATA")</f>
        <v>LA PLATA</v>
      </c>
      <c r="O189" s="30" t="str">
        <f ca="1">IFERROR(__xludf.DUMMYFUNCTION("""COMPUTED_VALUE"""),"6441")</f>
        <v>6441</v>
      </c>
      <c r="P189" s="30" t="str">
        <f ca="1">IFERROR(__xludf.DUMMYFUNCTION("""COMPUTED_VALUE"""),"LA PLATA")</f>
        <v>LA PLATA</v>
      </c>
      <c r="Q189" s="30" t="str">
        <f ca="1">IFERROR(__xludf.DUMMYFUNCTION("""COMPUTED_VALUE"""),"-34.94898662")</f>
        <v>-34.94898662</v>
      </c>
      <c r="R189" s="30" t="str">
        <f ca="1">IFERROR(__xludf.DUMMYFUNCTION("""COMPUTED_VALUE"""),"-57.99526548")</f>
        <v>-57.99526548</v>
      </c>
      <c r="S189" s="30" t="str">
        <f ca="1">IFERROR(__xludf.DUMMYFUNCTION("""COMPUTED_VALUE"""),"Municipal")</f>
        <v>Municipal</v>
      </c>
      <c r="T189" s="30" t="str">
        <f ca="1">IFERROR(__xludf.DUMMYFUNCTION("""COMPUTED_VALUE"""),"LA PLATA")</f>
        <v>LA PLATA</v>
      </c>
    </row>
    <row r="190" spans="1:20" ht="15.75" customHeight="1" x14ac:dyDescent="0.25">
      <c r="A190" s="30" t="str">
        <f ca="1">IFERROR(__xludf.DUMMYFUNCTION("""COMPUTED_VALUE"""),"50064412201333")</f>
        <v>50064412201333</v>
      </c>
      <c r="B190" s="30" t="str">
        <f ca="1">IFERROR(__xludf.DUMMYFUNCTION("""COMPUTED_VALUE"""),"CENTRO DE SALUD N° 8 DE LA PLATA")</f>
        <v>CENTRO DE SALUD N° 8 DE LA PLATA</v>
      </c>
      <c r="C190" s="30" t="str">
        <f ca="1">IFERROR(__xludf.DUMMYFUNCTION("""COMPUTED_VALUE"""),"Buenos Aires")</f>
        <v>Buenos Aires</v>
      </c>
      <c r="D190" s="30" t="str">
        <f ca="1">IFERROR(__xludf.DUMMYFUNCTION("""COMPUTED_VALUE"""),"6")</f>
        <v>6</v>
      </c>
      <c r="E190" s="30" t="str">
        <f ca="1">IFERROR(__xludf.DUMMYFUNCTION("""COMPUTED_VALUE"""),"")</f>
        <v/>
      </c>
      <c r="F190" s="29"/>
      <c r="G190" s="29"/>
      <c r="H190" s="30" t="str">
        <f ca="1">IFERROR(__xludf.DUMMYFUNCTION("""COMPUTED_VALUE"""),"activo")</f>
        <v>activo</v>
      </c>
      <c r="I190" s="29"/>
      <c r="J190" s="29"/>
      <c r="K190" s="29"/>
      <c r="L190" s="30" t="str">
        <f ca="1">IFERROR(__xludf.DUMMYFUNCTION("""COMPUTED_VALUE"""),"No")</f>
        <v>No</v>
      </c>
      <c r="M190" s="30" t="str">
        <f ca="1">IFERROR(__xludf.DUMMYFUNCTION("""COMPUTED_VALUE"""),"6441030015")</f>
        <v>6441030015</v>
      </c>
      <c r="N190" s="30" t="str">
        <f ca="1">IFERROR(__xludf.DUMMYFUNCTION("""COMPUTED_VALUE"""),"LA PLATA")</f>
        <v>LA PLATA</v>
      </c>
      <c r="O190" s="30" t="str">
        <f ca="1">IFERROR(__xludf.DUMMYFUNCTION("""COMPUTED_VALUE"""),"6441")</f>
        <v>6441</v>
      </c>
      <c r="P190" s="30" t="str">
        <f ca="1">IFERROR(__xludf.DUMMYFUNCTION("""COMPUTED_VALUE"""),"LA PLATA")</f>
        <v>LA PLATA</v>
      </c>
      <c r="Q190" s="30" t="str">
        <f ca="1">IFERROR(__xludf.DUMMYFUNCTION("""COMPUTED_VALUE"""),"-34.95332606")</f>
        <v>-34.95332606</v>
      </c>
      <c r="R190" s="30" t="str">
        <f ca="1">IFERROR(__xludf.DUMMYFUNCTION("""COMPUTED_VALUE"""),"-57.9276309")</f>
        <v>-57.9276309</v>
      </c>
      <c r="S190" s="30" t="str">
        <f ca="1">IFERROR(__xludf.DUMMYFUNCTION("""COMPUTED_VALUE"""),"Municipal")</f>
        <v>Municipal</v>
      </c>
      <c r="T190" s="30" t="str">
        <f ca="1">IFERROR(__xludf.DUMMYFUNCTION("""COMPUTED_VALUE"""),"LA PLATA")</f>
        <v>LA PLATA</v>
      </c>
    </row>
    <row r="191" spans="1:20" ht="15.75" customHeight="1" x14ac:dyDescent="0.25">
      <c r="A191" s="30" t="str">
        <f ca="1">IFERROR(__xludf.DUMMYFUNCTION("""COMPUTED_VALUE"""),"50064412201329")</f>
        <v>50064412201329</v>
      </c>
      <c r="B191" s="30" t="str">
        <f ca="1">IFERROR(__xludf.DUMMYFUNCTION("""COMPUTED_VALUE"""),"CENTRO DE SALUD N° 6 DE LA PLATA")</f>
        <v>CENTRO DE SALUD N° 6 DE LA PLATA</v>
      </c>
      <c r="C191" s="30" t="str">
        <f ca="1">IFERROR(__xludf.DUMMYFUNCTION("""COMPUTED_VALUE"""),"Buenos Aires")</f>
        <v>Buenos Aires</v>
      </c>
      <c r="D191" s="30" t="str">
        <f ca="1">IFERROR(__xludf.DUMMYFUNCTION("""COMPUTED_VALUE"""),"6")</f>
        <v>6</v>
      </c>
      <c r="E191" s="30" t="str">
        <f ca="1">IFERROR(__xludf.DUMMYFUNCTION("""COMPUTED_VALUE"""),"")</f>
        <v/>
      </c>
      <c r="F191" s="29"/>
      <c r="G191" s="29"/>
      <c r="H191" s="30" t="str">
        <f ca="1">IFERROR(__xludf.DUMMYFUNCTION("""COMPUTED_VALUE"""),"activo")</f>
        <v>activo</v>
      </c>
      <c r="I191" s="30" t="str">
        <f ca="1">IFERROR(__xludf.DUMMYFUNCTION("""COMPUTED_VALUE"""),"- fuera circular 2")</f>
        <v>- fuera circular 2</v>
      </c>
      <c r="J191" s="29"/>
      <c r="K191" s="29"/>
      <c r="L191" s="30" t="str">
        <f ca="1">IFERROR(__xludf.DUMMYFUNCTION("""COMPUTED_VALUE"""),"No")</f>
        <v>No</v>
      </c>
      <c r="M191" s="30" t="str">
        <f ca="1">IFERROR(__xludf.DUMMYFUNCTION("""COMPUTED_VALUE"""),"6441030015")</f>
        <v>6441030015</v>
      </c>
      <c r="N191" s="30" t="str">
        <f ca="1">IFERROR(__xludf.DUMMYFUNCTION("""COMPUTED_VALUE"""),"LA PLATA")</f>
        <v>LA PLATA</v>
      </c>
      <c r="O191" s="30" t="str">
        <f ca="1">IFERROR(__xludf.DUMMYFUNCTION("""COMPUTED_VALUE"""),"6441")</f>
        <v>6441</v>
      </c>
      <c r="P191" s="30" t="str">
        <f ca="1">IFERROR(__xludf.DUMMYFUNCTION("""COMPUTED_VALUE"""),"LA PLATA")</f>
        <v>LA PLATA</v>
      </c>
      <c r="Q191" s="30" t="str">
        <f ca="1">IFERROR(__xludf.DUMMYFUNCTION("""COMPUTED_VALUE"""),"-34.92425703")</f>
        <v>-34.92425703</v>
      </c>
      <c r="R191" s="30" t="str">
        <f ca="1">IFERROR(__xludf.DUMMYFUNCTION("""COMPUTED_VALUE"""),"-57.90445662")</f>
        <v>-57.90445662</v>
      </c>
      <c r="S191" s="30" t="str">
        <f ca="1">IFERROR(__xludf.DUMMYFUNCTION("""COMPUTED_VALUE"""),"Municipal")</f>
        <v>Municipal</v>
      </c>
      <c r="T191" s="30" t="str">
        <f ca="1">IFERROR(__xludf.DUMMYFUNCTION("""COMPUTED_VALUE"""),"LA PLATA")</f>
        <v>LA PLATA</v>
      </c>
    </row>
    <row r="192" spans="1:20" ht="15.75" customHeight="1" x14ac:dyDescent="0.25">
      <c r="A192" s="30" t="str">
        <f ca="1">IFERROR(__xludf.DUMMYFUNCTION("""COMPUTED_VALUE"""),"50064342202389")</f>
        <v>50064342202389</v>
      </c>
      <c r="B192" s="30" t="str">
        <f ca="1">IFERROR(__xludf.DUMMYFUNCTION("""COMPUTED_VALUE"""),"UNIDAD SANITARIA LANUS OESTE")</f>
        <v>UNIDAD SANITARIA LANUS OESTE</v>
      </c>
      <c r="C192" s="30" t="str">
        <f ca="1">IFERROR(__xludf.DUMMYFUNCTION("""COMPUTED_VALUE"""),"Buenos Aires")</f>
        <v>Buenos Aires</v>
      </c>
      <c r="D192" s="30" t="str">
        <f ca="1">IFERROR(__xludf.DUMMYFUNCTION("""COMPUTED_VALUE"""),"6")</f>
        <v>6</v>
      </c>
      <c r="E192" s="30" t="str">
        <f ca="1">IFERROR(__xludf.DUMMYFUNCTION("""COMPUTED_VALUE"""),"")</f>
        <v/>
      </c>
      <c r="F192" s="29"/>
      <c r="G192" s="29"/>
      <c r="H192" s="30" t="str">
        <f ca="1">IFERROR(__xludf.DUMMYFUNCTION("""COMPUTED_VALUE"""),"activo")</f>
        <v>activo</v>
      </c>
      <c r="I192" s="29"/>
      <c r="J192" s="29"/>
      <c r="K192" s="29"/>
      <c r="L192" s="30" t="str">
        <f ca="1">IFERROR(__xludf.DUMMYFUNCTION("""COMPUTED_VALUE"""),"No")</f>
        <v>No</v>
      </c>
      <c r="M192" s="30" t="str">
        <f ca="1">IFERROR(__xludf.DUMMYFUNCTION("""COMPUTED_VALUE"""),"6434010003")</f>
        <v>6434010003</v>
      </c>
      <c r="N192" s="30" t="str">
        <f ca="1">IFERROR(__xludf.DUMMYFUNCTION("""COMPUTED_VALUE"""),"LANUS OESTE")</f>
        <v>LANUS OESTE</v>
      </c>
      <c r="O192" s="30" t="str">
        <f ca="1">IFERROR(__xludf.DUMMYFUNCTION("""COMPUTED_VALUE"""),"6434")</f>
        <v>6434</v>
      </c>
      <c r="P192" s="30" t="str">
        <f ca="1">IFERROR(__xludf.DUMMYFUNCTION("""COMPUTED_VALUE"""),"LANÚS")</f>
        <v>LANÚS</v>
      </c>
      <c r="Q192" s="30" t="str">
        <f ca="1">IFERROR(__xludf.DUMMYFUNCTION("""COMPUTED_VALUE"""),"-34.70654905")</f>
        <v>-34.70654905</v>
      </c>
      <c r="R192" s="30" t="str">
        <f ca="1">IFERROR(__xludf.DUMMYFUNCTION("""COMPUTED_VALUE"""),"-58.40219647")</f>
        <v>-58.40219647</v>
      </c>
      <c r="S192" s="30" t="str">
        <f ca="1">IFERROR(__xludf.DUMMYFUNCTION("""COMPUTED_VALUE"""),"Municipal")</f>
        <v>Municipal</v>
      </c>
      <c r="T192" s="30" t="str">
        <f ca="1">IFERROR(__xludf.DUMMYFUNCTION("""COMPUTED_VALUE"""),"LANÚS")</f>
        <v>LANÚS</v>
      </c>
    </row>
    <row r="193" spans="1:20" ht="15.75" customHeight="1" x14ac:dyDescent="0.25">
      <c r="A193" s="30" t="str">
        <f ca="1">IFERROR(__xludf.DUMMYFUNCTION("""COMPUTED_VALUE"""),"50064342202918")</f>
        <v>50064342202918</v>
      </c>
      <c r="B193" s="30" t="str">
        <f ca="1">IFERROR(__xludf.DUMMYFUNCTION("""COMPUTED_VALUE"""),"UNIDAD SANITARIA 1° DE MAYO DE LANUS")</f>
        <v>UNIDAD SANITARIA 1° DE MAYO DE LANUS</v>
      </c>
      <c r="C193" s="30" t="str">
        <f ca="1">IFERROR(__xludf.DUMMYFUNCTION("""COMPUTED_VALUE"""),"Buenos Aires")</f>
        <v>Buenos Aires</v>
      </c>
      <c r="D193" s="30" t="str">
        <f ca="1">IFERROR(__xludf.DUMMYFUNCTION("""COMPUTED_VALUE"""),"6")</f>
        <v>6</v>
      </c>
      <c r="E193" s="30" t="str">
        <f ca="1">IFERROR(__xludf.DUMMYFUNCTION("""COMPUTED_VALUE"""),"")</f>
        <v/>
      </c>
      <c r="F193" s="29"/>
      <c r="G193" s="29"/>
      <c r="H193" s="30" t="str">
        <f ca="1">IFERROR(__xludf.DUMMYFUNCTION("""COMPUTED_VALUE"""),"activo")</f>
        <v>activo</v>
      </c>
      <c r="I193" s="29"/>
      <c r="J193" s="29"/>
      <c r="K193" s="29"/>
      <c r="L193" s="30" t="str">
        <f ca="1">IFERROR(__xludf.DUMMYFUNCTION("""COMPUTED_VALUE"""),"No")</f>
        <v>No</v>
      </c>
      <c r="M193" s="30" t="str">
        <f ca="1">IFERROR(__xludf.DUMMYFUNCTION("""COMPUTED_VALUE"""),"6434010002")</f>
        <v>6434010002</v>
      </c>
      <c r="N193" s="30" t="str">
        <f ca="1">IFERROR(__xludf.DUMMYFUNCTION("""COMPUTED_VALUE"""),"LANUS ESTE")</f>
        <v>LANUS ESTE</v>
      </c>
      <c r="O193" s="30" t="str">
        <f ca="1">IFERROR(__xludf.DUMMYFUNCTION("""COMPUTED_VALUE"""),"6434")</f>
        <v>6434</v>
      </c>
      <c r="P193" s="30" t="str">
        <f ca="1">IFERROR(__xludf.DUMMYFUNCTION("""COMPUTED_VALUE"""),"LANÚS")</f>
        <v>LANÚS</v>
      </c>
      <c r="Q193" s="30" t="str">
        <f ca="1">IFERROR(__xludf.DUMMYFUNCTION("""COMPUTED_VALUE"""),"-34.70386223")</f>
        <v>-34.70386223</v>
      </c>
      <c r="R193" s="30" t="str">
        <f ca="1">IFERROR(__xludf.DUMMYFUNCTION("""COMPUTED_VALUE"""),"-58.36176351")</f>
        <v>-58.36176351</v>
      </c>
      <c r="S193" s="30" t="str">
        <f ca="1">IFERROR(__xludf.DUMMYFUNCTION("""COMPUTED_VALUE"""),"Municipal")</f>
        <v>Municipal</v>
      </c>
      <c r="T193" s="30" t="str">
        <f ca="1">IFERROR(__xludf.DUMMYFUNCTION("""COMPUTED_VALUE"""),"LANÚS")</f>
        <v>LANÚS</v>
      </c>
    </row>
    <row r="194" spans="1:20" ht="15.75" customHeight="1" x14ac:dyDescent="0.25">
      <c r="A194" s="30" t="str">
        <f ca="1">IFERROR(__xludf.DUMMYFUNCTION("""COMPUTED_VALUE"""),"50064342202451")</f>
        <v>50064342202451</v>
      </c>
      <c r="B194" s="30" t="str">
        <f ca="1">IFERROR(__xludf.DUMMYFUNCTION("""COMPUTED_VALUE"""),"UNIDAD SANITARIA MIRANDA NORGREEN")</f>
        <v>UNIDAD SANITARIA MIRANDA NORGREEN</v>
      </c>
      <c r="C194" s="30" t="str">
        <f ca="1">IFERROR(__xludf.DUMMYFUNCTION("""COMPUTED_VALUE"""),"Buenos Aires")</f>
        <v>Buenos Aires</v>
      </c>
      <c r="D194" s="30" t="str">
        <f ca="1">IFERROR(__xludf.DUMMYFUNCTION("""COMPUTED_VALUE"""),"6")</f>
        <v>6</v>
      </c>
      <c r="E194" s="30" t="str">
        <f ca="1">IFERROR(__xludf.DUMMYFUNCTION("""COMPUTED_VALUE"""),"")</f>
        <v/>
      </c>
      <c r="F194" s="29"/>
      <c r="G194" s="29"/>
      <c r="H194" s="30" t="str">
        <f ca="1">IFERROR(__xludf.DUMMYFUNCTION("""COMPUTED_VALUE"""),"activo")</f>
        <v>activo</v>
      </c>
      <c r="I194" s="30" t="str">
        <f ca="1">IFERROR(__xludf.DUMMYFUNCTION("""COMPUTED_VALUE"""),"- fuera circular 2")</f>
        <v>- fuera circular 2</v>
      </c>
      <c r="J194" s="29"/>
      <c r="K194" s="29"/>
      <c r="L194" s="30" t="str">
        <f ca="1">IFERROR(__xludf.DUMMYFUNCTION("""COMPUTED_VALUE"""),"No")</f>
        <v>No</v>
      </c>
      <c r="M194" s="30" t="str">
        <f ca="1">IFERROR(__xludf.DUMMYFUNCTION("""COMPUTED_VALUE"""),"6434010003")</f>
        <v>6434010003</v>
      </c>
      <c r="N194" s="30" t="str">
        <f ca="1">IFERROR(__xludf.DUMMYFUNCTION("""COMPUTED_VALUE"""),"LANUS OESTE")</f>
        <v>LANUS OESTE</v>
      </c>
      <c r="O194" s="30" t="str">
        <f ca="1">IFERROR(__xludf.DUMMYFUNCTION("""COMPUTED_VALUE"""),"6434")</f>
        <v>6434</v>
      </c>
      <c r="P194" s="30" t="str">
        <f ca="1">IFERROR(__xludf.DUMMYFUNCTION("""COMPUTED_VALUE"""),"LANÚS")</f>
        <v>LANÚS</v>
      </c>
      <c r="Q194" s="30" t="str">
        <f ca="1">IFERROR(__xludf.DUMMYFUNCTION("""COMPUTED_VALUE"""),"-34.7002422")</f>
        <v>-34.7002422</v>
      </c>
      <c r="R194" s="30" t="str">
        <f ca="1">IFERROR(__xludf.DUMMYFUNCTION("""COMPUTED_VALUE"""),"-58.4345413")</f>
        <v>-58.4345413</v>
      </c>
      <c r="S194" s="30" t="str">
        <f ca="1">IFERROR(__xludf.DUMMYFUNCTION("""COMPUTED_VALUE"""),"Municipal")</f>
        <v>Municipal</v>
      </c>
      <c r="T194" s="30" t="str">
        <f ca="1">IFERROR(__xludf.DUMMYFUNCTION("""COMPUTED_VALUE"""),"LANÚS")</f>
        <v>LANÚS</v>
      </c>
    </row>
    <row r="195" spans="1:20" ht="15.75" customHeight="1" x14ac:dyDescent="0.25">
      <c r="A195" s="30" t="str">
        <f ca="1">IFERROR(__xludf.DUMMYFUNCTION("""COMPUTED_VALUE"""),"50064342201216")</f>
        <v>50064342201216</v>
      </c>
      <c r="B195" s="30" t="str">
        <f ca="1">IFERROR(__xludf.DUMMYFUNCTION("""COMPUTED_VALUE"""),"CENTRO DE SALUD COSME ARGERICH")</f>
        <v>CENTRO DE SALUD COSME ARGERICH</v>
      </c>
      <c r="C195" s="30" t="str">
        <f ca="1">IFERROR(__xludf.DUMMYFUNCTION("""COMPUTED_VALUE"""),"Buenos Aires")</f>
        <v>Buenos Aires</v>
      </c>
      <c r="D195" s="30" t="str">
        <f ca="1">IFERROR(__xludf.DUMMYFUNCTION("""COMPUTED_VALUE"""),"6")</f>
        <v>6</v>
      </c>
      <c r="E195" s="30" t="str">
        <f ca="1">IFERROR(__xludf.DUMMYFUNCTION("""COMPUTED_VALUE"""),"")</f>
        <v/>
      </c>
      <c r="F195" s="29"/>
      <c r="G195" s="29"/>
      <c r="H195" s="30" t="str">
        <f ca="1">IFERROR(__xludf.DUMMYFUNCTION("""COMPUTED_VALUE"""),"activo")</f>
        <v>activo</v>
      </c>
      <c r="I195" s="30" t="str">
        <f ca="1">IFERROR(__xludf.DUMMYFUNCTION("""COMPUTED_VALUE"""),"- fuera circular 2")</f>
        <v>- fuera circular 2</v>
      </c>
      <c r="J195" s="29"/>
      <c r="K195" s="29"/>
      <c r="L195" s="30" t="str">
        <f ca="1">IFERROR(__xludf.DUMMYFUNCTION("""COMPUTED_VALUE"""),"No")</f>
        <v>No</v>
      </c>
      <c r="M195" s="30" t="str">
        <f ca="1">IFERROR(__xludf.DUMMYFUNCTION("""COMPUTED_VALUE"""),"6434010004")</f>
        <v>6434010004</v>
      </c>
      <c r="N195" s="30" t="str">
        <f ca="1">IFERROR(__xludf.DUMMYFUNCTION("""COMPUTED_VALUE"""),"MONTE CHINGOLO")</f>
        <v>MONTE CHINGOLO</v>
      </c>
      <c r="O195" s="30" t="str">
        <f ca="1">IFERROR(__xludf.DUMMYFUNCTION("""COMPUTED_VALUE"""),"6434")</f>
        <v>6434</v>
      </c>
      <c r="P195" s="30" t="str">
        <f ca="1">IFERROR(__xludf.DUMMYFUNCTION("""COMPUTED_VALUE"""),"LANÚS")</f>
        <v>LANÚS</v>
      </c>
      <c r="Q195" s="30" t="str">
        <f ca="1">IFERROR(__xludf.DUMMYFUNCTION("""COMPUTED_VALUE"""),"-34.73790344")</f>
        <v>-34.73790344</v>
      </c>
      <c r="R195" s="30" t="str">
        <f ca="1">IFERROR(__xludf.DUMMYFUNCTION("""COMPUTED_VALUE"""),"-58.36211193")</f>
        <v>-58.36211193</v>
      </c>
      <c r="S195" s="30" t="str">
        <f ca="1">IFERROR(__xludf.DUMMYFUNCTION("""COMPUTED_VALUE"""),"Municipal")</f>
        <v>Municipal</v>
      </c>
      <c r="T195" s="30" t="str">
        <f ca="1">IFERROR(__xludf.DUMMYFUNCTION("""COMPUTED_VALUE"""),"LANÚS")</f>
        <v>LANÚS</v>
      </c>
    </row>
    <row r="196" spans="1:20" ht="15.75" customHeight="1" x14ac:dyDescent="0.25">
      <c r="A196" s="30" t="str">
        <f ca="1">IFERROR(__xludf.DUMMYFUNCTION("""COMPUTED_VALUE"""),"50064902202285")</f>
        <v>50064902202285</v>
      </c>
      <c r="B196" s="30" t="str">
        <f ca="1">IFERROR(__xludf.DUMMYFUNCTION("""COMPUTED_VALUE"""),"UNIDAD SANITARIA EVA PERON DE LOMAS DE ZAMORA")</f>
        <v>UNIDAD SANITARIA EVA PERON DE LOMAS DE ZAMORA</v>
      </c>
      <c r="C196" s="30" t="str">
        <f ca="1">IFERROR(__xludf.DUMMYFUNCTION("""COMPUTED_VALUE"""),"Buenos Aires")</f>
        <v>Buenos Aires</v>
      </c>
      <c r="D196" s="30" t="str">
        <f ca="1">IFERROR(__xludf.DUMMYFUNCTION("""COMPUTED_VALUE"""),"6")</f>
        <v>6</v>
      </c>
      <c r="E196" s="30" t="str">
        <f ca="1">IFERROR(__xludf.DUMMYFUNCTION("""COMPUTED_VALUE"""),"")</f>
        <v/>
      </c>
      <c r="F196" s="29"/>
      <c r="G196" s="29"/>
      <c r="H196" s="30" t="str">
        <f ca="1">IFERROR(__xludf.DUMMYFUNCTION("""COMPUTED_VALUE"""),"activo")</f>
        <v>activo</v>
      </c>
      <c r="I196" s="30" t="str">
        <f ca="1">IFERROR(__xludf.DUMMYFUNCTION("""COMPUTED_VALUE"""),"- fuera circular 2")</f>
        <v>- fuera circular 2</v>
      </c>
      <c r="J196" s="29"/>
      <c r="K196" s="29"/>
      <c r="L196" s="30" t="str">
        <f ca="1">IFERROR(__xludf.DUMMYFUNCTION("""COMPUTED_VALUE"""),"No")</f>
        <v>No</v>
      </c>
      <c r="M196" s="30" t="str">
        <f ca="1">IFERROR(__xludf.DUMMYFUNCTION("""COMPUTED_VALUE"""),"6490010001")</f>
        <v>6490010001</v>
      </c>
      <c r="N196" s="30" t="str">
        <f ca="1">IFERROR(__xludf.DUMMYFUNCTION("""COMPUTED_VALUE"""),"BANFIELD")</f>
        <v>BANFIELD</v>
      </c>
      <c r="O196" s="30" t="str">
        <f ca="1">IFERROR(__xludf.DUMMYFUNCTION("""COMPUTED_VALUE"""),"6490")</f>
        <v>6490</v>
      </c>
      <c r="P196" s="30" t="str">
        <f ca="1">IFERROR(__xludf.DUMMYFUNCTION("""COMPUTED_VALUE"""),"LOMAS DE ZAMORA")</f>
        <v>LOMAS DE ZAMORA</v>
      </c>
      <c r="Q196" s="30" t="str">
        <f ca="1">IFERROR(__xludf.DUMMYFUNCTION("""COMPUTED_VALUE"""),"-34.72891783")</f>
        <v>-34.72891783</v>
      </c>
      <c r="R196" s="30" t="str">
        <f ca="1">IFERROR(__xludf.DUMMYFUNCTION("""COMPUTED_VALUE"""),"-58.43725964")</f>
        <v>-58.43725964</v>
      </c>
      <c r="S196" s="30" t="str">
        <f ca="1">IFERROR(__xludf.DUMMYFUNCTION("""COMPUTED_VALUE"""),"Municipal")</f>
        <v>Municipal</v>
      </c>
      <c r="T196" s="30" t="str">
        <f ca="1">IFERROR(__xludf.DUMMYFUNCTION("""COMPUTED_VALUE"""),"LOMAS DE ZAMORA")</f>
        <v>LOMAS DE ZAMORA</v>
      </c>
    </row>
    <row r="197" spans="1:20" ht="15.75" customHeight="1" x14ac:dyDescent="0.25">
      <c r="A197" s="30" t="str">
        <f ca="1">IFERROR(__xludf.DUMMYFUNCTION("""COMPUTED_VALUE"""),"50064902202821")</f>
        <v>50064902202821</v>
      </c>
      <c r="B197" s="30" t="str">
        <f ca="1">IFERROR(__xludf.DUMMYFUNCTION("""COMPUTED_VALUE"""),"UNIDAD SANITARIA SANTA MARTA")</f>
        <v>UNIDAD SANITARIA SANTA MARTA</v>
      </c>
      <c r="C197" s="30" t="str">
        <f ca="1">IFERROR(__xludf.DUMMYFUNCTION("""COMPUTED_VALUE"""),"Buenos Aires")</f>
        <v>Buenos Aires</v>
      </c>
      <c r="D197" s="30" t="str">
        <f ca="1">IFERROR(__xludf.DUMMYFUNCTION("""COMPUTED_VALUE"""),"6")</f>
        <v>6</v>
      </c>
      <c r="E197" s="30" t="str">
        <f ca="1">IFERROR(__xludf.DUMMYFUNCTION("""COMPUTED_VALUE"""),"")</f>
        <v/>
      </c>
      <c r="F197" s="29"/>
      <c r="G197" s="29"/>
      <c r="H197" s="30" t="str">
        <f ca="1">IFERROR(__xludf.DUMMYFUNCTION("""COMPUTED_VALUE"""),"activo")</f>
        <v>activo</v>
      </c>
      <c r="I197" s="29"/>
      <c r="J197" s="29"/>
      <c r="K197" s="29"/>
      <c r="L197" s="30" t="str">
        <f ca="1">IFERROR(__xludf.DUMMYFUNCTION("""COMPUTED_VALUE"""),"No")</f>
        <v>No</v>
      </c>
      <c r="M197" s="30" t="str">
        <f ca="1">IFERROR(__xludf.DUMMYFUNCTION("""COMPUTED_VALUE"""),"6490010001")</f>
        <v>6490010001</v>
      </c>
      <c r="N197" s="30" t="str">
        <f ca="1">IFERROR(__xludf.DUMMYFUNCTION("""COMPUTED_VALUE"""),"BANFIELD")</f>
        <v>BANFIELD</v>
      </c>
      <c r="O197" s="30" t="str">
        <f ca="1">IFERROR(__xludf.DUMMYFUNCTION("""COMPUTED_VALUE"""),"6490")</f>
        <v>6490</v>
      </c>
      <c r="P197" s="30" t="str">
        <f ca="1">IFERROR(__xludf.DUMMYFUNCTION("""COMPUTED_VALUE"""),"LOMAS DE ZAMORA")</f>
        <v>LOMAS DE ZAMORA</v>
      </c>
      <c r="Q197" s="30" t="str">
        <f ca="1">IFERROR(__xludf.DUMMYFUNCTION("""COMPUTED_VALUE"""),"-34.74997249")</f>
        <v>-34.74997249</v>
      </c>
      <c r="R197" s="30" t="str">
        <f ca="1">IFERROR(__xludf.DUMMYFUNCTION("""COMPUTED_VALUE"""),"-58.45009017")</f>
        <v>-58.45009017</v>
      </c>
      <c r="S197" s="30" t="str">
        <f ca="1">IFERROR(__xludf.DUMMYFUNCTION("""COMPUTED_VALUE"""),"Municipal")</f>
        <v>Municipal</v>
      </c>
      <c r="T197" s="30" t="str">
        <f ca="1">IFERROR(__xludf.DUMMYFUNCTION("""COMPUTED_VALUE"""),"LOMAS DE ZAMORA")</f>
        <v>LOMAS DE ZAMORA</v>
      </c>
    </row>
    <row r="198" spans="1:20" ht="15.75" customHeight="1" x14ac:dyDescent="0.25">
      <c r="A198" s="30" t="str">
        <f ca="1">IFERROR(__xludf.DUMMYFUNCTION("""COMPUTED_VALUE"""),"50064902202214")</f>
        <v>50064902202214</v>
      </c>
      <c r="B198" s="30" t="str">
        <f ca="1">IFERROR(__xludf.DUMMYFUNCTION("""COMPUTED_VALUE"""),"UNIDAD SANITARIA DR. ANGEL A. TULLIO")</f>
        <v>UNIDAD SANITARIA DR. ANGEL A. TULLIO</v>
      </c>
      <c r="C198" s="30" t="str">
        <f ca="1">IFERROR(__xludf.DUMMYFUNCTION("""COMPUTED_VALUE"""),"Buenos Aires")</f>
        <v>Buenos Aires</v>
      </c>
      <c r="D198" s="30" t="str">
        <f ca="1">IFERROR(__xludf.DUMMYFUNCTION("""COMPUTED_VALUE"""),"6")</f>
        <v>6</v>
      </c>
      <c r="E198" s="30" t="str">
        <f ca="1">IFERROR(__xludf.DUMMYFUNCTION("""COMPUTED_VALUE"""),"")</f>
        <v/>
      </c>
      <c r="F198" s="29"/>
      <c r="G198" s="29"/>
      <c r="H198" s="30" t="str">
        <f ca="1">IFERROR(__xludf.DUMMYFUNCTION("""COMPUTED_VALUE"""),"activo")</f>
        <v>activo</v>
      </c>
      <c r="I198" s="29"/>
      <c r="J198" s="29"/>
      <c r="K198" s="29"/>
      <c r="L198" s="30" t="str">
        <f ca="1">IFERROR(__xludf.DUMMYFUNCTION("""COMPUTED_VALUE"""),"No")</f>
        <v>No</v>
      </c>
      <c r="M198" s="30" t="str">
        <f ca="1">IFERROR(__xludf.DUMMYFUNCTION("""COMPUTED_VALUE"""),"6490010004")</f>
        <v>6490010004</v>
      </c>
      <c r="N198" s="30" t="str">
        <f ca="1">IFERROR(__xludf.DUMMYFUNCTION("""COMPUTED_VALUE"""),"TEMPERLEY")</f>
        <v>TEMPERLEY</v>
      </c>
      <c r="O198" s="30" t="str">
        <f ca="1">IFERROR(__xludf.DUMMYFUNCTION("""COMPUTED_VALUE"""),"6490")</f>
        <v>6490</v>
      </c>
      <c r="P198" s="30" t="str">
        <f ca="1">IFERROR(__xludf.DUMMYFUNCTION("""COMPUTED_VALUE"""),"LOMAS DE ZAMORA")</f>
        <v>LOMAS DE ZAMORA</v>
      </c>
      <c r="Q198" s="30" t="str">
        <f ca="1">IFERROR(__xludf.DUMMYFUNCTION("""COMPUTED_VALUE"""),"-34.77851552")</f>
        <v>-34.77851552</v>
      </c>
      <c r="R198" s="30" t="str">
        <f ca="1">IFERROR(__xludf.DUMMYFUNCTION("""COMPUTED_VALUE"""),"-58.37898731")</f>
        <v>-58.37898731</v>
      </c>
      <c r="S198" s="30" t="str">
        <f ca="1">IFERROR(__xludf.DUMMYFUNCTION("""COMPUTED_VALUE"""),"Municipal")</f>
        <v>Municipal</v>
      </c>
      <c r="T198" s="30" t="str">
        <f ca="1">IFERROR(__xludf.DUMMYFUNCTION("""COMPUTED_VALUE"""),"LOMAS DE ZAMORA")</f>
        <v>LOMAS DE ZAMORA</v>
      </c>
    </row>
    <row r="199" spans="1:20" ht="15.75" customHeight="1" x14ac:dyDescent="0.25">
      <c r="A199" s="30" t="str">
        <f ca="1">IFERROR(__xludf.DUMMYFUNCTION("""COMPUTED_VALUE"""),"50065152202743")</f>
        <v>50065152202743</v>
      </c>
      <c r="B199" s="30" t="str">
        <f ca="1">IFERROR(__xludf.DUMMYFUNCTION("""COMPUTED_VALUE"""),"UNIDAD FUNCIONAL CHICO  QUESADA PACHECO")</f>
        <v>UNIDAD FUNCIONAL CHICO  QUESADA PACHECO</v>
      </c>
      <c r="C199" s="30" t="str">
        <f ca="1">IFERROR(__xludf.DUMMYFUNCTION("""COMPUTED_VALUE"""),"Buenos Aires")</f>
        <v>Buenos Aires</v>
      </c>
      <c r="D199" s="30" t="str">
        <f ca="1">IFERROR(__xludf.DUMMYFUNCTION("""COMPUTED_VALUE"""),"6")</f>
        <v>6</v>
      </c>
      <c r="E199" s="30" t="str">
        <f ca="1">IFERROR(__xludf.DUMMYFUNCTION("""COMPUTED_VALUE"""),"")</f>
        <v/>
      </c>
      <c r="F199" s="29"/>
      <c r="G199" s="29"/>
      <c r="H199" s="30" t="str">
        <f ca="1">IFERROR(__xludf.DUMMYFUNCTION("""COMPUTED_VALUE"""),"activo")</f>
        <v>activo</v>
      </c>
      <c r="I199" s="29"/>
      <c r="J199" s="29"/>
      <c r="K199" s="29"/>
      <c r="L199" s="30" t="str">
        <f ca="1">IFERROR(__xludf.DUMMYFUNCTION("""COMPUTED_VALUE"""),"No")</f>
        <v>No</v>
      </c>
      <c r="M199" s="30" t="str">
        <f ca="1">IFERROR(__xludf.DUMMYFUNCTION("""COMPUTED_VALUE"""),"6515060")</f>
        <v>6515060</v>
      </c>
      <c r="N199" s="30" t="str">
        <f ca="1">IFERROR(__xludf.DUMMYFUNCTION("""COMPUTED_VALUE"""),"PABLO NOGUES")</f>
        <v>PABLO NOGUES</v>
      </c>
      <c r="O199" s="30" t="str">
        <f ca="1">IFERROR(__xludf.DUMMYFUNCTION("""COMPUTED_VALUE"""),"6515")</f>
        <v>6515</v>
      </c>
      <c r="P199" s="30" t="str">
        <f ca="1">IFERROR(__xludf.DUMMYFUNCTION("""COMPUTED_VALUE"""),"MALVINAS ARGENTINAS")</f>
        <v>MALVINAS ARGENTINAS</v>
      </c>
      <c r="Q199" s="30" t="str">
        <f ca="1">IFERROR(__xludf.DUMMYFUNCTION("""COMPUTED_VALUE"""),"-34.47626906")</f>
        <v>-34.47626906</v>
      </c>
      <c r="R199" s="30" t="str">
        <f ca="1">IFERROR(__xludf.DUMMYFUNCTION("""COMPUTED_VALUE"""),"-58.69366193")</f>
        <v>-58.69366193</v>
      </c>
      <c r="S199" s="30" t="str">
        <f ca="1">IFERROR(__xludf.DUMMYFUNCTION("""COMPUTED_VALUE"""),"Municipal")</f>
        <v>Municipal</v>
      </c>
      <c r="T199" s="30" t="str">
        <f ca="1">IFERROR(__xludf.DUMMYFUNCTION("""COMPUTED_VALUE"""),"MALVINAS ARGENTINAS")</f>
        <v>MALVINAS ARGENTINAS</v>
      </c>
    </row>
    <row r="200" spans="1:20" ht="15.75" customHeight="1" x14ac:dyDescent="0.25">
      <c r="A200" s="30" t="str">
        <f ca="1">IFERROR(__xludf.DUMMYFUNCTION("""COMPUTED_VALUE"""),"50065152202019")</f>
        <v>50065152202019</v>
      </c>
      <c r="B200" s="30" t="str">
        <f ca="1">IFERROR(__xludf.DUMMYFUNCTION("""COMPUTED_VALUE"""),"UNIDAD FUNCIONAL TIERRAS ALTAS")</f>
        <v>UNIDAD FUNCIONAL TIERRAS ALTAS</v>
      </c>
      <c r="C200" s="30" t="str">
        <f ca="1">IFERROR(__xludf.DUMMYFUNCTION("""COMPUTED_VALUE"""),"Buenos Aires")</f>
        <v>Buenos Aires</v>
      </c>
      <c r="D200" s="30" t="str">
        <f ca="1">IFERROR(__xludf.DUMMYFUNCTION("""COMPUTED_VALUE"""),"6")</f>
        <v>6</v>
      </c>
      <c r="E200" s="30" t="str">
        <f ca="1">IFERROR(__xludf.DUMMYFUNCTION("""COMPUTED_VALUE"""),"")</f>
        <v/>
      </c>
      <c r="F200" s="29"/>
      <c r="G200" s="29"/>
      <c r="H200" s="30" t="str">
        <f ca="1">IFERROR(__xludf.DUMMYFUNCTION("""COMPUTED_VALUE"""),"activo")</f>
        <v>activo</v>
      </c>
      <c r="I200" s="29"/>
      <c r="J200" s="29"/>
      <c r="K200" s="29"/>
      <c r="L200" s="30" t="str">
        <f ca="1">IFERROR(__xludf.DUMMYFUNCTION("""COMPUTED_VALUE"""),"No")</f>
        <v>No</v>
      </c>
      <c r="M200" s="30" t="str">
        <f ca="1">IFERROR(__xludf.DUMMYFUNCTION("""COMPUTED_VALUE"""),"6515010007")</f>
        <v>6515010007</v>
      </c>
      <c r="N200" s="30" t="str">
        <f ca="1">IFERROR(__xludf.DUMMYFUNCTION("""COMPUTED_VALUE"""),"TORTUGUITAS")</f>
        <v>TORTUGUITAS</v>
      </c>
      <c r="O200" s="30" t="str">
        <f ca="1">IFERROR(__xludf.DUMMYFUNCTION("""COMPUTED_VALUE"""),"6515")</f>
        <v>6515</v>
      </c>
      <c r="P200" s="30" t="str">
        <f ca="1">IFERROR(__xludf.DUMMYFUNCTION("""COMPUTED_VALUE"""),"MALVINAS ARGENTINAS")</f>
        <v>MALVINAS ARGENTINAS</v>
      </c>
      <c r="Q200" s="30" t="str">
        <f ca="1">IFERROR(__xludf.DUMMYFUNCTION("""COMPUTED_VALUE"""),"-34.480158")</f>
        <v>-34.480158</v>
      </c>
      <c r="R200" s="30" t="str">
        <f ca="1">IFERROR(__xludf.DUMMYFUNCTION("""COMPUTED_VALUE"""),"-58.740735")</f>
        <v>-58.740735</v>
      </c>
      <c r="S200" s="30" t="str">
        <f ca="1">IFERROR(__xludf.DUMMYFUNCTION("""COMPUTED_VALUE"""),"Municipal")</f>
        <v>Municipal</v>
      </c>
      <c r="T200" s="30" t="str">
        <f ca="1">IFERROR(__xludf.DUMMYFUNCTION("""COMPUTED_VALUE"""),"MALVINAS ARGENTINAS")</f>
        <v>MALVINAS ARGENTINAS</v>
      </c>
    </row>
    <row r="201" spans="1:20" ht="15.75" customHeight="1" x14ac:dyDescent="0.25">
      <c r="A201" s="30" t="str">
        <f ca="1">IFERROR(__xludf.DUMMYFUNCTION("""COMPUTED_VALUE"""),"50065152201102")</f>
        <v>50065152201102</v>
      </c>
      <c r="B201" s="30" t="str">
        <f ca="1">IFERROR(__xludf.DUMMYFUNCTION("""COMPUTED_VALUE"""),"CENTRO ASISTENCIAL UNION Y PROGRESO")</f>
        <v>CENTRO ASISTENCIAL UNION Y PROGRESO</v>
      </c>
      <c r="C201" s="30" t="str">
        <f ca="1">IFERROR(__xludf.DUMMYFUNCTION("""COMPUTED_VALUE"""),"Buenos Aires")</f>
        <v>Buenos Aires</v>
      </c>
      <c r="D201" s="30" t="str">
        <f ca="1">IFERROR(__xludf.DUMMYFUNCTION("""COMPUTED_VALUE"""),"6")</f>
        <v>6</v>
      </c>
      <c r="E201" s="30" t="str">
        <f ca="1">IFERROR(__xludf.DUMMYFUNCTION("""COMPUTED_VALUE"""),"")</f>
        <v/>
      </c>
      <c r="F201" s="29"/>
      <c r="G201" s="29"/>
      <c r="H201" s="30" t="str">
        <f ca="1">IFERROR(__xludf.DUMMYFUNCTION("""COMPUTED_VALUE"""),"activo")</f>
        <v>activo</v>
      </c>
      <c r="I201" s="29"/>
      <c r="J201" s="29"/>
      <c r="K201" s="29"/>
      <c r="L201" s="30" t="str">
        <f ca="1">IFERROR(__xludf.DUMMYFUNCTION("""COMPUTED_VALUE"""),"No")</f>
        <v>No</v>
      </c>
      <c r="M201" s="30" t="str">
        <f ca="1">IFERROR(__xludf.DUMMYFUNCTION("""COMPUTED_VALUE"""),"6515010005")</f>
        <v>6515010005</v>
      </c>
      <c r="N201" s="30" t="str">
        <f ca="1">IFERROR(__xludf.DUMMYFUNCTION("""COMPUTED_VALUE"""),"LOS POLVORINES")</f>
        <v>LOS POLVORINES</v>
      </c>
      <c r="O201" s="30" t="str">
        <f ca="1">IFERROR(__xludf.DUMMYFUNCTION("""COMPUTED_VALUE"""),"6515")</f>
        <v>6515</v>
      </c>
      <c r="P201" s="30" t="str">
        <f ca="1">IFERROR(__xludf.DUMMYFUNCTION("""COMPUTED_VALUE"""),"MALVINAS ARGENTINAS")</f>
        <v>MALVINAS ARGENTINAS</v>
      </c>
      <c r="Q201" s="30" t="str">
        <f ca="1">IFERROR(__xludf.DUMMYFUNCTION("""COMPUTED_VALUE"""),"-34.5113323")</f>
        <v>-34.5113323</v>
      </c>
      <c r="R201" s="30" t="str">
        <f ca="1">IFERROR(__xludf.DUMMYFUNCTION("""COMPUTED_VALUE"""),"-58.7213763")</f>
        <v>-58.7213763</v>
      </c>
      <c r="S201" s="30" t="str">
        <f ca="1">IFERROR(__xludf.DUMMYFUNCTION("""COMPUTED_VALUE"""),"Municipal")</f>
        <v>Municipal</v>
      </c>
      <c r="T201" s="30" t="str">
        <f ca="1">IFERROR(__xludf.DUMMYFUNCTION("""COMPUTED_VALUE"""),"MALVINAS ARGENTINAS")</f>
        <v>MALVINAS ARGENTINAS</v>
      </c>
    </row>
    <row r="202" spans="1:20" ht="15.75" customHeight="1" x14ac:dyDescent="0.25">
      <c r="A202" s="30" t="str">
        <f ca="1">IFERROR(__xludf.DUMMYFUNCTION("""COMPUTED_VALUE"""),"50065152202016")</f>
        <v>50065152202016</v>
      </c>
      <c r="B202" s="30" t="str">
        <f ca="1">IFERROR(__xludf.DUMMYFUNCTION("""COMPUTED_VALUE"""),"UNIDAD FUNCIONAL LIBERTAD")</f>
        <v>UNIDAD FUNCIONAL LIBERTAD</v>
      </c>
      <c r="C202" s="30" t="str">
        <f ca="1">IFERROR(__xludf.DUMMYFUNCTION("""COMPUTED_VALUE"""),"Buenos Aires")</f>
        <v>Buenos Aires</v>
      </c>
      <c r="D202" s="30" t="str">
        <f ca="1">IFERROR(__xludf.DUMMYFUNCTION("""COMPUTED_VALUE"""),"6")</f>
        <v>6</v>
      </c>
      <c r="E202" s="30" t="str">
        <f ca="1">IFERROR(__xludf.DUMMYFUNCTION("""COMPUTED_VALUE"""),"")</f>
        <v/>
      </c>
      <c r="F202" s="29"/>
      <c r="G202" s="29"/>
      <c r="H202" s="30" t="str">
        <f ca="1">IFERROR(__xludf.DUMMYFUNCTION("""COMPUTED_VALUE"""),"activo")</f>
        <v>activo</v>
      </c>
      <c r="I202" s="29"/>
      <c r="J202" s="29"/>
      <c r="K202" s="29"/>
      <c r="L202" s="30" t="str">
        <f ca="1">IFERROR(__xludf.DUMMYFUNCTION("""COMPUTED_VALUE"""),"No")</f>
        <v>No</v>
      </c>
      <c r="M202" s="30" t="str">
        <f ca="1">IFERROR(__xludf.DUMMYFUNCTION("""COMPUTED_VALUE"""),"6515060")</f>
        <v>6515060</v>
      </c>
      <c r="N202" s="30" t="str">
        <f ca="1">IFERROR(__xludf.DUMMYFUNCTION("""COMPUTED_VALUE"""),"PABLO NOGUES")</f>
        <v>PABLO NOGUES</v>
      </c>
      <c r="O202" s="30" t="str">
        <f ca="1">IFERROR(__xludf.DUMMYFUNCTION("""COMPUTED_VALUE"""),"6515")</f>
        <v>6515</v>
      </c>
      <c r="P202" s="30" t="str">
        <f ca="1">IFERROR(__xludf.DUMMYFUNCTION("""COMPUTED_VALUE"""),"MALVINAS ARGENTINAS")</f>
        <v>MALVINAS ARGENTINAS</v>
      </c>
      <c r="Q202" s="30" t="str">
        <f ca="1">IFERROR(__xludf.DUMMYFUNCTION("""COMPUTED_VALUE"""),"-34.48313294")</f>
        <v>-34.48313294</v>
      </c>
      <c r="R202" s="30" t="str">
        <f ca="1">IFERROR(__xludf.DUMMYFUNCTION("""COMPUTED_VALUE"""),"-58.69630337")</f>
        <v>-58.69630337</v>
      </c>
      <c r="S202" s="30" t="str">
        <f ca="1">IFERROR(__xludf.DUMMYFUNCTION("""COMPUTED_VALUE"""),"Municipal")</f>
        <v>Municipal</v>
      </c>
      <c r="T202" s="30" t="str">
        <f ca="1">IFERROR(__xludf.DUMMYFUNCTION("""COMPUTED_VALUE"""),"MALVINAS ARGENTINAS")</f>
        <v>MALVINAS ARGENTINAS</v>
      </c>
    </row>
    <row r="203" spans="1:20" ht="15.75" customHeight="1" x14ac:dyDescent="0.25">
      <c r="A203" s="30" t="str">
        <f ca="1">IFERROR(__xludf.DUMMYFUNCTION("""COMPUTED_VALUE"""),"50065602201092")</f>
        <v>50065602201092</v>
      </c>
      <c r="B203" s="30" t="str">
        <f ca="1">IFERROR(__xludf.DUMMYFUNCTION("""COMPUTED_VALUE"""),"CENTRO ASISTENCIAL JURAMENTO")</f>
        <v>CENTRO ASISTENCIAL JURAMENTO</v>
      </c>
      <c r="C203" s="30" t="str">
        <f ca="1">IFERROR(__xludf.DUMMYFUNCTION("""COMPUTED_VALUE"""),"Buenos Aires")</f>
        <v>Buenos Aires</v>
      </c>
      <c r="D203" s="30" t="str">
        <f ca="1">IFERROR(__xludf.DUMMYFUNCTION("""COMPUTED_VALUE"""),"6")</f>
        <v>6</v>
      </c>
      <c r="E203" s="30" t="str">
        <f ca="1">IFERROR(__xludf.DUMMYFUNCTION("""COMPUTED_VALUE"""),"")</f>
        <v/>
      </c>
      <c r="F203" s="29"/>
      <c r="G203" s="29"/>
      <c r="H203" s="30" t="str">
        <f ca="1">IFERROR(__xludf.DUMMYFUNCTION("""COMPUTED_VALUE"""),"activo")</f>
        <v>activo</v>
      </c>
      <c r="I203" s="30" t="str">
        <f ca="1">IFERROR(__xludf.DUMMYFUNCTION("""COMPUTED_VALUE"""),"- fuera circular 2")</f>
        <v>- fuera circular 2</v>
      </c>
      <c r="J203" s="29"/>
      <c r="K203" s="29"/>
      <c r="L203" s="30" t="str">
        <f ca="1">IFERROR(__xludf.DUMMYFUNCTION("""COMPUTED_VALUE"""),"No")</f>
        <v>No</v>
      </c>
      <c r="M203" s="30" t="str">
        <f ca="1">IFERROR(__xludf.DUMMYFUNCTION("""COMPUTED_VALUE"""),"6560010004")</f>
        <v>6560010004</v>
      </c>
      <c r="N203" s="30" t="str">
        <f ca="1">IFERROR(__xludf.DUMMYFUNCTION("""COMPUTED_VALUE"""),"MORENO")</f>
        <v>MORENO</v>
      </c>
      <c r="O203" s="30" t="str">
        <f ca="1">IFERROR(__xludf.DUMMYFUNCTION("""COMPUTED_VALUE"""),"6560")</f>
        <v>6560</v>
      </c>
      <c r="P203" s="30" t="str">
        <f ca="1">IFERROR(__xludf.DUMMYFUNCTION("""COMPUTED_VALUE"""),"MORENO")</f>
        <v>MORENO</v>
      </c>
      <c r="Q203" s="30" t="str">
        <f ca="1">IFERROR(__xludf.DUMMYFUNCTION("""COMPUTED_VALUE"""),"-34.66494647")</f>
        <v>-34.66494647</v>
      </c>
      <c r="R203" s="30" t="str">
        <f ca="1">IFERROR(__xludf.DUMMYFUNCTION("""COMPUTED_VALUE"""),"-58.79466534")</f>
        <v>-58.79466534</v>
      </c>
      <c r="S203" s="30" t="str">
        <f ca="1">IFERROR(__xludf.DUMMYFUNCTION("""COMPUTED_VALUE"""),"Municipal")</f>
        <v>Municipal</v>
      </c>
      <c r="T203" s="30" t="str">
        <f ca="1">IFERROR(__xludf.DUMMYFUNCTION("""COMPUTED_VALUE"""),"MORENO")</f>
        <v>MORENO</v>
      </c>
    </row>
    <row r="204" spans="1:20" ht="15.75" customHeight="1" x14ac:dyDescent="0.25">
      <c r="A204" s="30" t="str">
        <f ca="1">IFERROR(__xludf.DUMMYFUNCTION("""COMPUTED_VALUE"""),"50065602202414")</f>
        <v>50065602202414</v>
      </c>
      <c r="B204" s="30" t="str">
        <f ca="1">IFERROR(__xludf.DUMMYFUNCTION("""COMPUTED_VALUE"""),"UNIDAD SANITARIA LOMAS DE CASASCO")</f>
        <v>UNIDAD SANITARIA LOMAS DE CASASCO</v>
      </c>
      <c r="C204" s="30" t="str">
        <f ca="1">IFERROR(__xludf.DUMMYFUNCTION("""COMPUTED_VALUE"""),"Buenos Aires")</f>
        <v>Buenos Aires</v>
      </c>
      <c r="D204" s="30" t="str">
        <f ca="1">IFERROR(__xludf.DUMMYFUNCTION("""COMPUTED_VALUE"""),"6")</f>
        <v>6</v>
      </c>
      <c r="E204" s="30" t="str">
        <f ca="1">IFERROR(__xludf.DUMMYFUNCTION("""COMPUTED_VALUE"""),"")</f>
        <v/>
      </c>
      <c r="F204" s="29"/>
      <c r="G204" s="29"/>
      <c r="H204" s="30" t="str">
        <f ca="1">IFERROR(__xludf.DUMMYFUNCTION("""COMPUTED_VALUE"""),"activo")</f>
        <v>activo</v>
      </c>
      <c r="I204" s="29"/>
      <c r="J204" s="29"/>
      <c r="K204" s="29"/>
      <c r="L204" s="30" t="str">
        <f ca="1">IFERROR(__xludf.DUMMYFUNCTION("""COMPUTED_VALUE"""),"No")</f>
        <v>No</v>
      </c>
      <c r="M204" s="30" t="str">
        <f ca="1">IFERROR(__xludf.DUMMYFUNCTION("""COMPUTED_VALUE"""),"6560010004")</f>
        <v>6560010004</v>
      </c>
      <c r="N204" s="30" t="str">
        <f ca="1">IFERROR(__xludf.DUMMYFUNCTION("""COMPUTED_VALUE"""),"MORENO")</f>
        <v>MORENO</v>
      </c>
      <c r="O204" s="30" t="str">
        <f ca="1">IFERROR(__xludf.DUMMYFUNCTION("""COMPUTED_VALUE"""),"6560")</f>
        <v>6560</v>
      </c>
      <c r="P204" s="30" t="str">
        <f ca="1">IFERROR(__xludf.DUMMYFUNCTION("""COMPUTED_VALUE"""),"MORENO")</f>
        <v>MORENO</v>
      </c>
      <c r="Q204" s="30" t="str">
        <f ca="1">IFERROR(__xludf.DUMMYFUNCTION("""COMPUTED_VALUE"""),"-34.665047")</f>
        <v>-34.665047</v>
      </c>
      <c r="R204" s="30" t="str">
        <f ca="1">IFERROR(__xludf.DUMMYFUNCTION("""COMPUTED_VALUE"""),"-58.82737")</f>
        <v>-58.82737</v>
      </c>
      <c r="S204" s="30" t="str">
        <f ca="1">IFERROR(__xludf.DUMMYFUNCTION("""COMPUTED_VALUE"""),"Municipal")</f>
        <v>Municipal</v>
      </c>
      <c r="T204" s="30" t="str">
        <f ca="1">IFERROR(__xludf.DUMMYFUNCTION("""COMPUTED_VALUE"""),"MORENO")</f>
        <v>MORENO</v>
      </c>
    </row>
    <row r="205" spans="1:20" ht="15.75" customHeight="1" x14ac:dyDescent="0.25">
      <c r="A205" s="30" t="str">
        <f ca="1">IFERROR(__xludf.DUMMYFUNCTION("""COMPUTED_VALUE"""),"50065602201780")</f>
        <v>50065602201780</v>
      </c>
      <c r="B205" s="30" t="str">
        <f ca="1">IFERROR(__xludf.DUMMYFUNCTION("""COMPUTED_VALUE"""),"SALA CORTEZ")</f>
        <v>SALA CORTEZ</v>
      </c>
      <c r="C205" s="30" t="str">
        <f ca="1">IFERROR(__xludf.DUMMYFUNCTION("""COMPUTED_VALUE"""),"Buenos Aires")</f>
        <v>Buenos Aires</v>
      </c>
      <c r="D205" s="30" t="str">
        <f ca="1">IFERROR(__xludf.DUMMYFUNCTION("""COMPUTED_VALUE"""),"6")</f>
        <v>6</v>
      </c>
      <c r="E205" s="30" t="str">
        <f ca="1">IFERROR(__xludf.DUMMYFUNCTION("""COMPUTED_VALUE"""),"")</f>
        <v/>
      </c>
      <c r="F205" s="29"/>
      <c r="G205" s="29"/>
      <c r="H205" s="30" t="str">
        <f ca="1">IFERROR(__xludf.DUMMYFUNCTION("""COMPUTED_VALUE"""),"activo")</f>
        <v>activo</v>
      </c>
      <c r="I205" s="30" t="str">
        <f ca="1">IFERROR(__xludf.DUMMYFUNCTION("""COMPUTED_VALUE"""),"- fuera circular 2")</f>
        <v>- fuera circular 2</v>
      </c>
      <c r="J205" s="29"/>
      <c r="K205" s="29"/>
      <c r="L205" s="30" t="str">
        <f ca="1">IFERROR(__xludf.DUMMYFUNCTION("""COMPUTED_VALUE"""),"No")</f>
        <v>No</v>
      </c>
      <c r="M205" s="30" t="str">
        <f ca="1">IFERROR(__xludf.DUMMYFUNCTION("""COMPUTED_VALUE"""),"6560010005")</f>
        <v>6560010005</v>
      </c>
      <c r="N205" s="30" t="str">
        <f ca="1">IFERROR(__xludf.DUMMYFUNCTION("""COMPUTED_VALUE"""),"PASO DEL REY")</f>
        <v>PASO DEL REY</v>
      </c>
      <c r="O205" s="30" t="str">
        <f ca="1">IFERROR(__xludf.DUMMYFUNCTION("""COMPUTED_VALUE"""),"6560")</f>
        <v>6560</v>
      </c>
      <c r="P205" s="30" t="str">
        <f ca="1">IFERROR(__xludf.DUMMYFUNCTION("""COMPUTED_VALUE"""),"MORENO")</f>
        <v>MORENO</v>
      </c>
      <c r="Q205" s="30" t="str">
        <f ca="1">IFERROR(__xludf.DUMMYFUNCTION("""COMPUTED_VALUE"""),"-34.6376561")</f>
        <v>-34.6376561</v>
      </c>
      <c r="R205" s="30" t="str">
        <f ca="1">IFERROR(__xludf.DUMMYFUNCTION("""COMPUTED_VALUE"""),"-58.74017143")</f>
        <v>-58.74017143</v>
      </c>
      <c r="S205" s="30" t="str">
        <f ca="1">IFERROR(__xludf.DUMMYFUNCTION("""COMPUTED_VALUE"""),"Municipal")</f>
        <v>Municipal</v>
      </c>
      <c r="T205" s="30" t="str">
        <f ca="1">IFERROR(__xludf.DUMMYFUNCTION("""COMPUTED_VALUE"""),"MORENO")</f>
        <v>MORENO</v>
      </c>
    </row>
    <row r="206" spans="1:20" ht="15.75" customHeight="1" x14ac:dyDescent="0.25">
      <c r="A206" s="30" t="str">
        <f ca="1">IFERROR(__xludf.DUMMYFUNCTION("""COMPUTED_VALUE"""),"50065602202364")</f>
        <v>50065602202364</v>
      </c>
      <c r="B206" s="30" t="str">
        <f ca="1">IFERROR(__xludf.DUMMYFUNCTION("""COMPUTED_VALUE"""),"UNIDAD SANITARIA LA ESPERANZA")</f>
        <v>UNIDAD SANITARIA LA ESPERANZA</v>
      </c>
      <c r="C206" s="30" t="str">
        <f ca="1">IFERROR(__xludf.DUMMYFUNCTION("""COMPUTED_VALUE"""),"Buenos Aires")</f>
        <v>Buenos Aires</v>
      </c>
      <c r="D206" s="30" t="str">
        <f ca="1">IFERROR(__xludf.DUMMYFUNCTION("""COMPUTED_VALUE"""),"6")</f>
        <v>6</v>
      </c>
      <c r="E206" s="30" t="str">
        <f ca="1">IFERROR(__xludf.DUMMYFUNCTION("""COMPUTED_VALUE"""),"")</f>
        <v/>
      </c>
      <c r="F206" s="29"/>
      <c r="G206" s="29"/>
      <c r="H206" s="30" t="str">
        <f ca="1">IFERROR(__xludf.DUMMYFUNCTION("""COMPUTED_VALUE"""),"activo")</f>
        <v>activo</v>
      </c>
      <c r="I206" s="30" t="str">
        <f ca="1">IFERROR(__xludf.DUMMYFUNCTION("""COMPUTED_VALUE"""),"- fuera circular 2")</f>
        <v>- fuera circular 2</v>
      </c>
      <c r="J206" s="29"/>
      <c r="K206" s="29"/>
      <c r="L206" s="30" t="str">
        <f ca="1">IFERROR(__xludf.DUMMYFUNCTION("""COMPUTED_VALUE"""),"No")</f>
        <v>No</v>
      </c>
      <c r="M206" s="30" t="str">
        <f ca="1">IFERROR(__xludf.DUMMYFUNCTION("""COMPUTED_VALUE"""),"6560010004")</f>
        <v>6560010004</v>
      </c>
      <c r="N206" s="30" t="str">
        <f ca="1">IFERROR(__xludf.DUMMYFUNCTION("""COMPUTED_VALUE"""),"MORENO")</f>
        <v>MORENO</v>
      </c>
      <c r="O206" s="30" t="str">
        <f ca="1">IFERROR(__xludf.DUMMYFUNCTION("""COMPUTED_VALUE"""),"6560")</f>
        <v>6560</v>
      </c>
      <c r="P206" s="30" t="str">
        <f ca="1">IFERROR(__xludf.DUMMYFUNCTION("""COMPUTED_VALUE"""),"MORENO")</f>
        <v>MORENO</v>
      </c>
      <c r="Q206" s="30" t="str">
        <f ca="1">IFERROR(__xludf.DUMMYFUNCTION("""COMPUTED_VALUE"""),"-34.57218477")</f>
        <v>-34.57218477</v>
      </c>
      <c r="R206" s="30" t="str">
        <f ca="1">IFERROR(__xludf.DUMMYFUNCTION("""COMPUTED_VALUE"""),"-58.86752272")</f>
        <v>-58.86752272</v>
      </c>
      <c r="S206" s="30" t="str">
        <f ca="1">IFERROR(__xludf.DUMMYFUNCTION("""COMPUTED_VALUE"""),"Municipal")</f>
        <v>Municipal</v>
      </c>
      <c r="T206" s="30" t="str">
        <f ca="1">IFERROR(__xludf.DUMMYFUNCTION("""COMPUTED_VALUE"""),"MORENO")</f>
        <v>MORENO</v>
      </c>
    </row>
    <row r="207" spans="1:20" ht="15.75" customHeight="1" x14ac:dyDescent="0.25">
      <c r="A207" s="30" t="str">
        <f ca="1">IFERROR(__xludf.DUMMYFUNCTION("""COMPUTED_VALUE"""),"50065602202710")</f>
        <v>50065602202710</v>
      </c>
      <c r="B207" s="30" t="str">
        <f ca="1">IFERROR(__xludf.DUMMYFUNCTION("""COMPUTED_VALUE"""),"UNIDAD SANITARIA POSTA PARQUE PASO DEL REY")</f>
        <v>UNIDAD SANITARIA POSTA PARQUE PASO DEL REY</v>
      </c>
      <c r="C207" s="30" t="str">
        <f ca="1">IFERROR(__xludf.DUMMYFUNCTION("""COMPUTED_VALUE"""),"Buenos Aires")</f>
        <v>Buenos Aires</v>
      </c>
      <c r="D207" s="30" t="str">
        <f ca="1">IFERROR(__xludf.DUMMYFUNCTION("""COMPUTED_VALUE"""),"6")</f>
        <v>6</v>
      </c>
      <c r="E207" s="30" t="str">
        <f ca="1">IFERROR(__xludf.DUMMYFUNCTION("""COMPUTED_VALUE"""),"")</f>
        <v/>
      </c>
      <c r="F207" s="29"/>
      <c r="G207" s="29"/>
      <c r="H207" s="30" t="str">
        <f ca="1">IFERROR(__xludf.DUMMYFUNCTION("""COMPUTED_VALUE"""),"activo")</f>
        <v>activo</v>
      </c>
      <c r="I207" s="30" t="str">
        <f ca="1">IFERROR(__xludf.DUMMYFUNCTION("""COMPUTED_VALUE"""),"- fuera circular 2")</f>
        <v>- fuera circular 2</v>
      </c>
      <c r="J207" s="29"/>
      <c r="K207" s="29"/>
      <c r="L207" s="30" t="str">
        <f ca="1">IFERROR(__xludf.DUMMYFUNCTION("""COMPUTED_VALUE"""),"No")</f>
        <v>No</v>
      </c>
      <c r="M207" s="30" t="str">
        <f ca="1">IFERROR(__xludf.DUMMYFUNCTION("""COMPUTED_VALUE"""),"6560010005")</f>
        <v>6560010005</v>
      </c>
      <c r="N207" s="30" t="str">
        <f ca="1">IFERROR(__xludf.DUMMYFUNCTION("""COMPUTED_VALUE"""),"PASO DEL REY")</f>
        <v>PASO DEL REY</v>
      </c>
      <c r="O207" s="30" t="str">
        <f ca="1">IFERROR(__xludf.DUMMYFUNCTION("""COMPUTED_VALUE"""),"6560")</f>
        <v>6560</v>
      </c>
      <c r="P207" s="30" t="str">
        <f ca="1">IFERROR(__xludf.DUMMYFUNCTION("""COMPUTED_VALUE"""),"MORENO")</f>
        <v>MORENO</v>
      </c>
      <c r="Q207" s="30" t="str">
        <f ca="1">IFERROR(__xludf.DUMMYFUNCTION("""COMPUTED_VALUE"""),"-34.622751")</f>
        <v>-34.622751</v>
      </c>
      <c r="R207" s="30" t="str">
        <f ca="1">IFERROR(__xludf.DUMMYFUNCTION("""COMPUTED_VALUE"""),"-58.759483")</f>
        <v>-58.759483</v>
      </c>
      <c r="S207" s="30" t="str">
        <f ca="1">IFERROR(__xludf.DUMMYFUNCTION("""COMPUTED_VALUE"""),"Municipal")</f>
        <v>Municipal</v>
      </c>
      <c r="T207" s="30" t="str">
        <f ca="1">IFERROR(__xludf.DUMMYFUNCTION("""COMPUTED_VALUE"""),"MORENO")</f>
        <v>MORENO</v>
      </c>
    </row>
    <row r="208" spans="1:20" ht="15.75" customHeight="1" x14ac:dyDescent="0.25">
      <c r="A208" s="30" t="str">
        <f ca="1">IFERROR(__xludf.DUMMYFUNCTION("""COMPUTED_VALUE"""),"50065602202731")</f>
        <v>50065602202731</v>
      </c>
      <c r="B208" s="30" t="str">
        <f ca="1">IFERROR(__xludf.DUMMYFUNCTION("""COMPUTED_VALUE"""),"UNIDAD SANITARIA POSTA JARDINES I")</f>
        <v>UNIDAD SANITARIA POSTA JARDINES I</v>
      </c>
      <c r="C208" s="30" t="str">
        <f ca="1">IFERROR(__xludf.DUMMYFUNCTION("""COMPUTED_VALUE"""),"Buenos Aires")</f>
        <v>Buenos Aires</v>
      </c>
      <c r="D208" s="30" t="str">
        <f ca="1">IFERROR(__xludf.DUMMYFUNCTION("""COMPUTED_VALUE"""),"6")</f>
        <v>6</v>
      </c>
      <c r="E208" s="30" t="str">
        <f ca="1">IFERROR(__xludf.DUMMYFUNCTION("""COMPUTED_VALUE"""),"")</f>
        <v/>
      </c>
      <c r="F208" s="29"/>
      <c r="G208" s="29"/>
      <c r="H208" s="30" t="str">
        <f ca="1">IFERROR(__xludf.DUMMYFUNCTION("""COMPUTED_VALUE"""),"activo")</f>
        <v>activo</v>
      </c>
      <c r="I208" s="30" t="str">
        <f ca="1">IFERROR(__xludf.DUMMYFUNCTION("""COMPUTED_VALUE"""),"- fuera circular 2")</f>
        <v>- fuera circular 2</v>
      </c>
      <c r="J208" s="29"/>
      <c r="K208" s="29"/>
      <c r="L208" s="30" t="str">
        <f ca="1">IFERROR(__xludf.DUMMYFUNCTION("""COMPUTED_VALUE"""),"No")</f>
        <v>No</v>
      </c>
      <c r="M208" s="30" t="str">
        <f ca="1">IFERROR(__xludf.DUMMYFUNCTION("""COMPUTED_VALUE"""),"6560010004")</f>
        <v>6560010004</v>
      </c>
      <c r="N208" s="30" t="str">
        <f ca="1">IFERROR(__xludf.DUMMYFUNCTION("""COMPUTED_VALUE"""),"MORENO")</f>
        <v>MORENO</v>
      </c>
      <c r="O208" s="30" t="str">
        <f ca="1">IFERROR(__xludf.DUMMYFUNCTION("""COMPUTED_VALUE"""),"6560")</f>
        <v>6560</v>
      </c>
      <c r="P208" s="30" t="str">
        <f ca="1">IFERROR(__xludf.DUMMYFUNCTION("""COMPUTED_VALUE"""),"MORENO")</f>
        <v>MORENO</v>
      </c>
      <c r="Q208" s="30" t="str">
        <f ca="1">IFERROR(__xludf.DUMMYFUNCTION("""COMPUTED_VALUE"""),"-34.6133365")</f>
        <v>-34.6133365</v>
      </c>
      <c r="R208" s="30" t="str">
        <f ca="1">IFERROR(__xludf.DUMMYFUNCTION("""COMPUTED_VALUE"""),"-58.7943774")</f>
        <v>-58.7943774</v>
      </c>
      <c r="S208" s="30" t="str">
        <f ca="1">IFERROR(__xludf.DUMMYFUNCTION("""COMPUTED_VALUE"""),"Municipal")</f>
        <v>Municipal</v>
      </c>
      <c r="T208" s="30" t="str">
        <f ca="1">IFERROR(__xludf.DUMMYFUNCTION("""COMPUTED_VALUE"""),"MORENO")</f>
        <v>MORENO</v>
      </c>
    </row>
    <row r="209" spans="1:20" ht="15.75" customHeight="1" x14ac:dyDescent="0.25">
      <c r="A209" s="30" t="str">
        <f ca="1">IFERROR(__xludf.DUMMYFUNCTION("""COMPUTED_VALUE"""),"50065602202768")</f>
        <v>50065602202768</v>
      </c>
      <c r="B209" s="30" t="str">
        <f ca="1">IFERROR(__xludf.DUMMYFUNCTION("""COMPUTED_VALUE"""),"UNIDAD SANITARIA SAMBRIZZI SANGUINETTI")</f>
        <v>UNIDAD SANITARIA SAMBRIZZI SANGUINETTI</v>
      </c>
      <c r="C209" s="30" t="str">
        <f ca="1">IFERROR(__xludf.DUMMYFUNCTION("""COMPUTED_VALUE"""),"Buenos Aires")</f>
        <v>Buenos Aires</v>
      </c>
      <c r="D209" s="30" t="str">
        <f ca="1">IFERROR(__xludf.DUMMYFUNCTION("""COMPUTED_VALUE"""),"6")</f>
        <v>6</v>
      </c>
      <c r="E209" s="30" t="str">
        <f ca="1">IFERROR(__xludf.DUMMYFUNCTION("""COMPUTED_VALUE"""),"")</f>
        <v/>
      </c>
      <c r="F209" s="29"/>
      <c r="G209" s="29"/>
      <c r="H209" s="30" t="str">
        <f ca="1">IFERROR(__xludf.DUMMYFUNCTION("""COMPUTED_VALUE"""),"activo")</f>
        <v>activo</v>
      </c>
      <c r="I209" s="30" t="str">
        <f ca="1">IFERROR(__xludf.DUMMYFUNCTION("""COMPUTED_VALUE"""),"- fuera circular 2")</f>
        <v>- fuera circular 2</v>
      </c>
      <c r="J209" s="29"/>
      <c r="K209" s="29"/>
      <c r="L209" s="30" t="str">
        <f ca="1">IFERROR(__xludf.DUMMYFUNCTION("""COMPUTED_VALUE"""),"No")</f>
        <v>No</v>
      </c>
      <c r="M209" s="30" t="str">
        <f ca="1">IFERROR(__xludf.DUMMYFUNCTION("""COMPUTED_VALUE"""),"6560010005")</f>
        <v>6560010005</v>
      </c>
      <c r="N209" s="30" t="str">
        <f ca="1">IFERROR(__xludf.DUMMYFUNCTION("""COMPUTED_VALUE"""),"PASO DEL REY")</f>
        <v>PASO DEL REY</v>
      </c>
      <c r="O209" s="30" t="str">
        <f ca="1">IFERROR(__xludf.DUMMYFUNCTION("""COMPUTED_VALUE"""),"6560")</f>
        <v>6560</v>
      </c>
      <c r="P209" s="30" t="str">
        <f ca="1">IFERROR(__xludf.DUMMYFUNCTION("""COMPUTED_VALUE"""),"MORENO")</f>
        <v>MORENO</v>
      </c>
      <c r="Q209" s="30" t="str">
        <f ca="1">IFERROR(__xludf.DUMMYFUNCTION("""COMPUTED_VALUE"""),"-34.64368084")</f>
        <v>-34.64368084</v>
      </c>
      <c r="R209" s="30" t="str">
        <f ca="1">IFERROR(__xludf.DUMMYFUNCTION("""COMPUTED_VALUE"""),"-58.75889003")</f>
        <v>-58.75889003</v>
      </c>
      <c r="S209" s="30" t="str">
        <f ca="1">IFERROR(__xludf.DUMMYFUNCTION("""COMPUTED_VALUE"""),"Municipal")</f>
        <v>Municipal</v>
      </c>
      <c r="T209" s="30" t="str">
        <f ca="1">IFERROR(__xludf.DUMMYFUNCTION("""COMPUTED_VALUE"""),"MORENO")</f>
        <v>MORENO</v>
      </c>
    </row>
    <row r="210" spans="1:20" ht="15.75" customHeight="1" x14ac:dyDescent="0.25">
      <c r="A210" s="30" t="str">
        <f ca="1">IFERROR(__xludf.DUMMYFUNCTION("""COMPUTED_VALUE"""),"50065812201205")</f>
        <v>50065812201205</v>
      </c>
      <c r="B210" s="30" t="str">
        <f ca="1">IFERROR(__xludf.DUMMYFUNCTION("""COMPUTED_VALUE"""),"CENTRO DE SALUD BARRIO 9 DE JULIO")</f>
        <v>CENTRO DE SALUD BARRIO 9 DE JULIO</v>
      </c>
      <c r="C210" s="30" t="str">
        <f ca="1">IFERROR(__xludf.DUMMYFUNCTION("""COMPUTED_VALUE"""),"Buenos Aires")</f>
        <v>Buenos Aires</v>
      </c>
      <c r="D210" s="30" t="str">
        <f ca="1">IFERROR(__xludf.DUMMYFUNCTION("""COMPUTED_VALUE"""),"6")</f>
        <v>6</v>
      </c>
      <c r="E210" s="30" t="str">
        <f ca="1">IFERROR(__xludf.DUMMYFUNCTION("""COMPUTED_VALUE"""),"")</f>
        <v/>
      </c>
      <c r="F210" s="29"/>
      <c r="G210" s="29"/>
      <c r="H210" s="30" t="str">
        <f ca="1">IFERROR(__xludf.DUMMYFUNCTION("""COMPUTED_VALUE"""),"activo")</f>
        <v>activo</v>
      </c>
      <c r="I210" s="30" t="str">
        <f ca="1">IFERROR(__xludf.DUMMYFUNCTION("""COMPUTED_VALUE"""),"- fuera circular 2")</f>
        <v>- fuera circular 2</v>
      </c>
      <c r="J210" s="29"/>
      <c r="K210" s="29"/>
      <c r="L210" s="30" t="str">
        <f ca="1">IFERROR(__xludf.DUMMYFUNCTION("""COMPUTED_VALUE"""),"No")</f>
        <v>No</v>
      </c>
      <c r="M210" s="30" t="str">
        <f ca="1">IFERROR(__xludf.DUMMYFUNCTION("""COMPUTED_VALUE"""),"6581040001")</f>
        <v>6581040001</v>
      </c>
      <c r="N210" s="30" t="str">
        <f ca="1">IFERROR(__xludf.DUMMYFUNCTION("""COMPUTED_VALUE"""),"NECOCHEA")</f>
        <v>NECOCHEA</v>
      </c>
      <c r="O210" s="30" t="str">
        <f ca="1">IFERROR(__xludf.DUMMYFUNCTION("""COMPUTED_VALUE"""),"6581")</f>
        <v>6581</v>
      </c>
      <c r="P210" s="30" t="str">
        <f ca="1">IFERROR(__xludf.DUMMYFUNCTION("""COMPUTED_VALUE"""),"NECOCHEA")</f>
        <v>NECOCHEA</v>
      </c>
      <c r="Q210" s="30" t="str">
        <f ca="1">IFERROR(__xludf.DUMMYFUNCTION("""COMPUTED_VALUE"""),"-38.54684385")</f>
        <v>-38.54684385</v>
      </c>
      <c r="R210" s="30" t="str">
        <f ca="1">IFERROR(__xludf.DUMMYFUNCTION("""COMPUTED_VALUE"""),"-58.76696348")</f>
        <v>-58.76696348</v>
      </c>
      <c r="S210" s="30" t="str">
        <f ca="1">IFERROR(__xludf.DUMMYFUNCTION("""COMPUTED_VALUE"""),"Municipal")</f>
        <v>Municipal</v>
      </c>
      <c r="T210" s="30" t="str">
        <f ca="1">IFERROR(__xludf.DUMMYFUNCTION("""COMPUTED_VALUE"""),"NECOCHEA")</f>
        <v>NECOCHEA</v>
      </c>
    </row>
    <row r="211" spans="1:20" ht="15.75" customHeight="1" x14ac:dyDescent="0.25">
      <c r="A211" s="30" t="str">
        <f ca="1">IFERROR(__xludf.DUMMYFUNCTION("""COMPUTED_VALUE"""),"50065812201261")</f>
        <v>50065812201261</v>
      </c>
      <c r="B211" s="30" t="str">
        <f ca="1">IFERROR(__xludf.DUMMYFUNCTION("""COMPUTED_VALUE"""),"CAPS TERESA DE CALCUTA")</f>
        <v>CAPS TERESA DE CALCUTA</v>
      </c>
      <c r="C211" s="30" t="str">
        <f ca="1">IFERROR(__xludf.DUMMYFUNCTION("""COMPUTED_VALUE"""),"Buenos Aires")</f>
        <v>Buenos Aires</v>
      </c>
      <c r="D211" s="30" t="str">
        <f ca="1">IFERROR(__xludf.DUMMYFUNCTION("""COMPUTED_VALUE"""),"6")</f>
        <v>6</v>
      </c>
      <c r="E211" s="30" t="str">
        <f ca="1">IFERROR(__xludf.DUMMYFUNCTION("""COMPUTED_VALUE"""),"")</f>
        <v/>
      </c>
      <c r="F211" s="29"/>
      <c r="G211" s="29"/>
      <c r="H211" s="30" t="str">
        <f ca="1">IFERROR(__xludf.DUMMYFUNCTION("""COMPUTED_VALUE"""),"activo")</f>
        <v>activo</v>
      </c>
      <c r="I211" s="30" t="str">
        <f ca="1">IFERROR(__xludf.DUMMYFUNCTION("""COMPUTED_VALUE"""),"- fuera circular 2 / agregado 2020")</f>
        <v>- fuera circular 2 / agregado 2020</v>
      </c>
      <c r="J211" s="29"/>
      <c r="K211" s="29"/>
      <c r="L211" s="30" t="str">
        <f ca="1">IFERROR(__xludf.DUMMYFUNCTION("""COMPUTED_VALUE"""),"No")</f>
        <v>No</v>
      </c>
      <c r="M211" s="30" t="str">
        <f ca="1">IFERROR(__xludf.DUMMYFUNCTION("""COMPUTED_VALUE"""),"6581040002")</f>
        <v>6581040002</v>
      </c>
      <c r="N211" s="30" t="str">
        <f ca="1">IFERROR(__xludf.DUMMYFUNCTION("""COMPUTED_VALUE"""),"QUEQUEN")</f>
        <v>QUEQUEN</v>
      </c>
      <c r="O211" s="30" t="str">
        <f ca="1">IFERROR(__xludf.DUMMYFUNCTION("""COMPUTED_VALUE"""),"6581")</f>
        <v>6581</v>
      </c>
      <c r="P211" s="30" t="str">
        <f ca="1">IFERROR(__xludf.DUMMYFUNCTION("""COMPUTED_VALUE"""),"NECOCHEA")</f>
        <v>NECOCHEA</v>
      </c>
      <c r="Q211" s="30" t="str">
        <f ca="1">IFERROR(__xludf.DUMMYFUNCTION("""COMPUTED_VALUE"""),"-38.54353247")</f>
        <v>-38.54353247</v>
      </c>
      <c r="R211" s="30" t="str">
        <f ca="1">IFERROR(__xludf.DUMMYFUNCTION("""COMPUTED_VALUE"""),"-58.71981829")</f>
        <v>-58.71981829</v>
      </c>
      <c r="S211" s="30" t="str">
        <f ca="1">IFERROR(__xludf.DUMMYFUNCTION("""COMPUTED_VALUE"""),"Municipal")</f>
        <v>Municipal</v>
      </c>
      <c r="T211" s="30" t="str">
        <f ca="1">IFERROR(__xludf.DUMMYFUNCTION("""COMPUTED_VALUE"""),"NECOCHEA")</f>
        <v>NECOCHEA</v>
      </c>
    </row>
    <row r="212" spans="1:20" ht="15.75" customHeight="1" x14ac:dyDescent="0.25">
      <c r="A212" s="30" t="str">
        <f ca="1">IFERROR(__xludf.DUMMYFUNCTION("""COMPUTED_VALUE"""),"50066382202910")</f>
        <v>50066382202910</v>
      </c>
      <c r="B212" s="30" t="str">
        <f ca="1">IFERROR(__xludf.DUMMYFUNCTION("""COMPUTED_VALUE"""),"UNIDAD SANITARIA VILLA VERDE")</f>
        <v>UNIDAD SANITARIA VILLA VERDE</v>
      </c>
      <c r="C212" s="30" t="str">
        <f ca="1">IFERROR(__xludf.DUMMYFUNCTION("""COMPUTED_VALUE"""),"Buenos Aires")</f>
        <v>Buenos Aires</v>
      </c>
      <c r="D212" s="30" t="str">
        <f ca="1">IFERROR(__xludf.DUMMYFUNCTION("""COMPUTED_VALUE"""),"6")</f>
        <v>6</v>
      </c>
      <c r="E212" s="30" t="str">
        <f ca="1">IFERROR(__xludf.DUMMYFUNCTION("""COMPUTED_VALUE"""),"")</f>
        <v/>
      </c>
      <c r="F212" s="29"/>
      <c r="G212" s="29"/>
      <c r="H212" s="30" t="str">
        <f ca="1">IFERROR(__xludf.DUMMYFUNCTION("""COMPUTED_VALUE"""),"activo")</f>
        <v>activo</v>
      </c>
      <c r="I212" s="29"/>
      <c r="J212" s="29"/>
      <c r="K212" s="29"/>
      <c r="L212" s="30" t="str">
        <f ca="1">IFERROR(__xludf.DUMMYFUNCTION("""COMPUTED_VALUE"""),"No")</f>
        <v>No</v>
      </c>
      <c r="M212" s="30" t="str">
        <f ca="1">IFERROR(__xludf.DUMMYFUNCTION("""COMPUTED_VALUE"""),"6638040008")</f>
        <v>6638040008</v>
      </c>
      <c r="N212" s="30" t="str">
        <f ca="1">IFERROR(__xludf.DUMMYFUNCTION("""COMPUTED_VALUE"""),"PILAR")</f>
        <v>PILAR</v>
      </c>
      <c r="O212" s="30" t="str">
        <f ca="1">IFERROR(__xludf.DUMMYFUNCTION("""COMPUTED_VALUE"""),"6638")</f>
        <v>6638</v>
      </c>
      <c r="P212" s="30" t="str">
        <f ca="1">IFERROR(__xludf.DUMMYFUNCTION("""COMPUTED_VALUE"""),"PILAR")</f>
        <v>PILAR</v>
      </c>
      <c r="Q212" s="30" t="str">
        <f ca="1">IFERROR(__xludf.DUMMYFUNCTION("""COMPUTED_VALUE"""),"-34.471696")</f>
        <v>-34.471696</v>
      </c>
      <c r="R212" s="30" t="str">
        <f ca="1">IFERROR(__xludf.DUMMYFUNCTION("""COMPUTED_VALUE"""),"-58.914368")</f>
        <v>-58.914368</v>
      </c>
      <c r="S212" s="30" t="str">
        <f ca="1">IFERROR(__xludf.DUMMYFUNCTION("""COMPUTED_VALUE"""),"Municipal")</f>
        <v>Municipal</v>
      </c>
      <c r="T212" s="30" t="str">
        <f ca="1">IFERROR(__xludf.DUMMYFUNCTION("""COMPUTED_VALUE"""),"PILAR")</f>
        <v>PILAR</v>
      </c>
    </row>
    <row r="213" spans="1:20" ht="15.75" customHeight="1" x14ac:dyDescent="0.25">
      <c r="A213" s="30" t="str">
        <f ca="1">IFERROR(__xludf.DUMMYFUNCTION("""COMPUTED_VALUE"""),"50066382202369")</f>
        <v>50066382202369</v>
      </c>
      <c r="B213" s="30" t="str">
        <f ca="1">IFERROR(__xludf.DUMMYFUNCTION("""COMPUTED_VALUE"""),"UNIDAD SANITARIA LA LONJA")</f>
        <v>UNIDAD SANITARIA LA LONJA</v>
      </c>
      <c r="C213" s="30" t="str">
        <f ca="1">IFERROR(__xludf.DUMMYFUNCTION("""COMPUTED_VALUE"""),"Buenos Aires")</f>
        <v>Buenos Aires</v>
      </c>
      <c r="D213" s="30" t="str">
        <f ca="1">IFERROR(__xludf.DUMMYFUNCTION("""COMPUTED_VALUE"""),"6")</f>
        <v>6</v>
      </c>
      <c r="E213" s="30" t="str">
        <f ca="1">IFERROR(__xludf.DUMMYFUNCTION("""COMPUTED_VALUE"""),"")</f>
        <v/>
      </c>
      <c r="F213" s="29"/>
      <c r="G213" s="29"/>
      <c r="H213" s="30" t="str">
        <f ca="1">IFERROR(__xludf.DUMMYFUNCTION("""COMPUTED_VALUE"""),"activo")</f>
        <v>activo</v>
      </c>
      <c r="I213" s="29"/>
      <c r="J213" s="29"/>
      <c r="K213" s="29"/>
      <c r="L213" s="30" t="str">
        <f ca="1">IFERROR(__xludf.DUMMYFUNCTION("""COMPUTED_VALUE"""),"No")</f>
        <v>No</v>
      </c>
      <c r="M213" s="30" t="str">
        <f ca="1">IFERROR(__xludf.DUMMYFUNCTION("""COMPUTED_VALUE"""),"6638040008")</f>
        <v>6638040008</v>
      </c>
      <c r="N213" s="30" t="str">
        <f ca="1">IFERROR(__xludf.DUMMYFUNCTION("""COMPUTED_VALUE"""),"PILAR")</f>
        <v>PILAR</v>
      </c>
      <c r="O213" s="30" t="str">
        <f ca="1">IFERROR(__xludf.DUMMYFUNCTION("""COMPUTED_VALUE"""),"6638")</f>
        <v>6638</v>
      </c>
      <c r="P213" s="30" t="str">
        <f ca="1">IFERROR(__xludf.DUMMYFUNCTION("""COMPUTED_VALUE"""),"PILAR")</f>
        <v>PILAR</v>
      </c>
      <c r="Q213" s="30" t="str">
        <f ca="1">IFERROR(__xludf.DUMMYFUNCTION("""COMPUTED_VALUE"""),"-34.454407")</f>
        <v>-34.454407</v>
      </c>
      <c r="R213" s="30" t="str">
        <f ca="1">IFERROR(__xludf.DUMMYFUNCTION("""COMPUTED_VALUE"""),"-58.82795")</f>
        <v>-58.82795</v>
      </c>
      <c r="S213" s="30" t="str">
        <f ca="1">IFERROR(__xludf.DUMMYFUNCTION("""COMPUTED_VALUE"""),"Municipal")</f>
        <v>Municipal</v>
      </c>
      <c r="T213" s="30" t="str">
        <f ca="1">IFERROR(__xludf.DUMMYFUNCTION("""COMPUTED_VALUE"""),"PILAR")</f>
        <v>PILAR</v>
      </c>
    </row>
    <row r="214" spans="1:20" ht="15.75" customHeight="1" x14ac:dyDescent="0.25">
      <c r="A214" s="30" t="str">
        <f ca="1">IFERROR(__xludf.DUMMYFUNCTION("""COMPUTED_VALUE"""),"50066382202781")</f>
        <v>50066382202781</v>
      </c>
      <c r="B214" s="30" t="str">
        <f ca="1">IFERROR(__xludf.DUMMYFUNCTION("""COMPUTED_VALUE"""),"UNIDAD SANITARIA SAN CAYETANO DE PILAR")</f>
        <v>UNIDAD SANITARIA SAN CAYETANO DE PILAR</v>
      </c>
      <c r="C214" s="30" t="str">
        <f ca="1">IFERROR(__xludf.DUMMYFUNCTION("""COMPUTED_VALUE"""),"Buenos Aires")</f>
        <v>Buenos Aires</v>
      </c>
      <c r="D214" s="30" t="str">
        <f ca="1">IFERROR(__xludf.DUMMYFUNCTION("""COMPUTED_VALUE"""),"6")</f>
        <v>6</v>
      </c>
      <c r="E214" s="30" t="str">
        <f ca="1">IFERROR(__xludf.DUMMYFUNCTION("""COMPUTED_VALUE"""),"")</f>
        <v/>
      </c>
      <c r="F214" s="29"/>
      <c r="G214" s="29"/>
      <c r="H214" s="30" t="str">
        <f ca="1">IFERROR(__xludf.DUMMYFUNCTION("""COMPUTED_VALUE"""),"activo")</f>
        <v>activo</v>
      </c>
      <c r="I214" s="30" t="str">
        <f ca="1">IFERROR(__xludf.DUMMYFUNCTION("""COMPUTED_VALUE"""),"- fuera circular 2")</f>
        <v>- fuera circular 2</v>
      </c>
      <c r="J214" s="29"/>
      <c r="K214" s="29"/>
      <c r="L214" s="30" t="str">
        <f ca="1">IFERROR(__xludf.DUMMYFUNCTION("""COMPUTED_VALUE"""),"No")</f>
        <v>No</v>
      </c>
      <c r="M214" s="30" t="str">
        <f ca="1">IFERROR(__xludf.DUMMYFUNCTION("""COMPUTED_VALUE"""),"6638040007")</f>
        <v>6638040007</v>
      </c>
      <c r="N214" s="30" t="str">
        <f ca="1">IFERROR(__xludf.DUMMYFUNCTION("""COMPUTED_VALUE"""),"MAQUINISTA F. SAVIO (OESTE)")</f>
        <v>MAQUINISTA F. SAVIO (OESTE)</v>
      </c>
      <c r="O214" s="30" t="str">
        <f ca="1">IFERROR(__xludf.DUMMYFUNCTION("""COMPUTED_VALUE"""),"6638")</f>
        <v>6638</v>
      </c>
      <c r="P214" s="30" t="str">
        <f ca="1">IFERROR(__xludf.DUMMYFUNCTION("""COMPUTED_VALUE"""),"PILAR")</f>
        <v>PILAR</v>
      </c>
      <c r="Q214" s="30" t="str">
        <f ca="1">IFERROR(__xludf.DUMMYFUNCTION("""COMPUTED_VALUE"""),"-34.405844")</f>
        <v>-34.405844</v>
      </c>
      <c r="R214" s="30" t="str">
        <f ca="1">IFERROR(__xludf.DUMMYFUNCTION("""COMPUTED_VALUE"""),"-58.782226")</f>
        <v>-58.782226</v>
      </c>
      <c r="S214" s="30" t="str">
        <f ca="1">IFERROR(__xludf.DUMMYFUNCTION("""COMPUTED_VALUE"""),"Municipal")</f>
        <v>Municipal</v>
      </c>
      <c r="T214" s="30" t="str">
        <f ca="1">IFERROR(__xludf.DUMMYFUNCTION("""COMPUTED_VALUE"""),"PILAR")</f>
        <v>PILAR</v>
      </c>
    </row>
    <row r="215" spans="1:20" ht="15.75" customHeight="1" x14ac:dyDescent="0.25">
      <c r="A215" s="30" t="str">
        <f ca="1">IFERROR(__xludf.DUMMYFUNCTION("""COMPUTED_VALUE"""),"50066382202436")</f>
        <v>50066382202436</v>
      </c>
      <c r="B215" s="30" t="str">
        <f ca="1">IFERROR(__xludf.DUMMYFUNCTION("""COMPUTED_VALUE"""),"UNIDAD SANITARIA MANZANARES")</f>
        <v>UNIDAD SANITARIA MANZANARES</v>
      </c>
      <c r="C215" s="30" t="str">
        <f ca="1">IFERROR(__xludf.DUMMYFUNCTION("""COMPUTED_VALUE"""),"Buenos Aires")</f>
        <v>Buenos Aires</v>
      </c>
      <c r="D215" s="30" t="str">
        <f ca="1">IFERROR(__xludf.DUMMYFUNCTION("""COMPUTED_VALUE"""),"6")</f>
        <v>6</v>
      </c>
      <c r="E215" s="30" t="str">
        <f ca="1">IFERROR(__xludf.DUMMYFUNCTION("""COMPUTED_VALUE"""),"")</f>
        <v/>
      </c>
      <c r="F215" s="29"/>
      <c r="G215" s="29"/>
      <c r="H215" s="30" t="str">
        <f ca="1">IFERROR(__xludf.DUMMYFUNCTION("""COMPUTED_VALUE"""),"activo")</f>
        <v>activo</v>
      </c>
      <c r="I215" s="29"/>
      <c r="J215" s="29"/>
      <c r="K215" s="29"/>
      <c r="L215" s="30" t="str">
        <f ca="1">IFERROR(__xludf.DUMMYFUNCTION("""COMPUTED_VALUE"""),"No")</f>
        <v>No</v>
      </c>
      <c r="M215" s="30" t="str">
        <f ca="1">IFERROR(__xludf.DUMMYFUNCTION("""COMPUTED_VALUE"""),"6638040005")</f>
        <v>6638040005</v>
      </c>
      <c r="N215" s="30" t="str">
        <f ca="1">IFERROR(__xludf.DUMMYFUNCTION("""COMPUTED_VALUE"""),"MANZANARES")</f>
        <v>MANZANARES</v>
      </c>
      <c r="O215" s="30" t="str">
        <f ca="1">IFERROR(__xludf.DUMMYFUNCTION("""COMPUTED_VALUE"""),"6638")</f>
        <v>6638</v>
      </c>
      <c r="P215" s="30" t="str">
        <f ca="1">IFERROR(__xludf.DUMMYFUNCTION("""COMPUTED_VALUE"""),"PILAR")</f>
        <v>PILAR</v>
      </c>
      <c r="Q215" s="30" t="str">
        <f ca="1">IFERROR(__xludf.DUMMYFUNCTION("""COMPUTED_VALUE"""),"-34.4539496")</f>
        <v>-34.4539496</v>
      </c>
      <c r="R215" s="30" t="str">
        <f ca="1">IFERROR(__xludf.DUMMYFUNCTION("""COMPUTED_VALUE"""),"-59.0045473")</f>
        <v>-59.0045473</v>
      </c>
      <c r="S215" s="30" t="str">
        <f ca="1">IFERROR(__xludf.DUMMYFUNCTION("""COMPUTED_VALUE"""),"Municipal")</f>
        <v>Municipal</v>
      </c>
      <c r="T215" s="30" t="str">
        <f ca="1">IFERROR(__xludf.DUMMYFUNCTION("""COMPUTED_VALUE"""),"PILAR")</f>
        <v>PILAR</v>
      </c>
    </row>
    <row r="216" spans="1:20" ht="15.75" customHeight="1" x14ac:dyDescent="0.25">
      <c r="A216" s="30" t="str">
        <f ca="1">IFERROR(__xludf.DUMMYFUNCTION("""COMPUTED_VALUE"""),"50060582201652")</f>
        <v>50060582201652</v>
      </c>
      <c r="B216" s="30" t="str">
        <f ca="1">IFERROR(__xludf.DUMMYFUNCTION("""COMPUTED_VALUE"""),"INSTITUTO MUNICIPAL DE SALUD Y MEDICINA PREVENTIVA")</f>
        <v>INSTITUTO MUNICIPAL DE SALUD Y MEDICINA PREVENTIVA</v>
      </c>
      <c r="C216" s="30" t="str">
        <f ca="1">IFERROR(__xludf.DUMMYFUNCTION("""COMPUTED_VALUE"""),"Buenos Aires")</f>
        <v>Buenos Aires</v>
      </c>
      <c r="D216" s="30" t="str">
        <f ca="1">IFERROR(__xludf.DUMMYFUNCTION("""COMPUTED_VALUE"""),"6")</f>
        <v>6</v>
      </c>
      <c r="E216" s="30" t="str">
        <f ca="1">IFERROR(__xludf.DUMMYFUNCTION("""COMPUTED_VALUE"""),"")</f>
        <v/>
      </c>
      <c r="F216" s="29"/>
      <c r="G216" s="29"/>
      <c r="H216" s="30" t="str">
        <f ca="1">IFERROR(__xludf.DUMMYFUNCTION("""COMPUTED_VALUE"""),"activo")</f>
        <v>activo</v>
      </c>
      <c r="I216" s="30" t="str">
        <f ca="1">IFERROR(__xludf.DUMMYFUNCTION("""COMPUTED_VALUE"""),"No se encuentra sisa ni por nombre INSTITUTO MUNICIPAL DE SALUD Y MEDICINA PREVENTIVA")</f>
        <v>No se encuentra sisa ni por nombre INSTITUTO MUNICIPAL DE SALUD Y MEDICINA PREVENTIVA</v>
      </c>
      <c r="J216" s="29"/>
      <c r="K216" s="29"/>
      <c r="L216" s="30" t="str">
        <f ca="1">IFERROR(__xludf.DUMMYFUNCTION("""COMPUTED_VALUE"""),"No")</f>
        <v>No</v>
      </c>
      <c r="M216" s="30" t="str">
        <f ca="1">IFERROR(__xludf.DUMMYFUNCTION("""COMPUTED_VALUE"""),"6658010007")</f>
        <v>6658010007</v>
      </c>
      <c r="N216" s="30" t="str">
        <f ca="1">IFERROR(__xludf.DUMMYFUNCTION("""COMPUTED_VALUE"""),"QUILMES OESTE")</f>
        <v>QUILMES OESTE</v>
      </c>
      <c r="O216" s="30" t="str">
        <f ca="1">IFERROR(__xludf.DUMMYFUNCTION("""COMPUTED_VALUE"""),"658")</f>
        <v>658</v>
      </c>
      <c r="P216" s="30" t="str">
        <f ca="1">IFERROR(__xludf.DUMMYFUNCTION("""COMPUTED_VALUE"""),"QUILMES")</f>
        <v>QUILMES</v>
      </c>
      <c r="Q216" s="30" t="str">
        <f ca="1">IFERROR(__xludf.DUMMYFUNCTION("""COMPUTED_VALUE"""),"-34.726642")</f>
        <v>-34.726642</v>
      </c>
      <c r="R216" s="30" t="str">
        <f ca="1">IFERROR(__xludf.DUMMYFUNCTION("""COMPUTED_VALUE"""),"-58.269956")</f>
        <v>-58.269956</v>
      </c>
      <c r="S216" s="30" t="str">
        <f ca="1">IFERROR(__xludf.DUMMYFUNCTION("""COMPUTED_VALUE"""),"Municipal")</f>
        <v>Municipal</v>
      </c>
      <c r="T216" s="30" t="str">
        <f ca="1">IFERROR(__xludf.DUMMYFUNCTION("""COMPUTED_VALUE"""),"QUILMES")</f>
        <v>QUILMES</v>
      </c>
    </row>
    <row r="217" spans="1:20" ht="15.75" customHeight="1" x14ac:dyDescent="0.25">
      <c r="A217" s="30" t="str">
        <f ca="1">IFERROR(__xludf.DUMMYFUNCTION("""COMPUTED_VALUE"""),"50060582202365")</f>
        <v>50060582202365</v>
      </c>
      <c r="B217" s="30" t="str">
        <f ca="1">IFERROR(__xludf.DUMMYFUNCTION("""COMPUTED_VALUE"""),"UNIDAD SANITARIA LA FLORIDA")</f>
        <v>UNIDAD SANITARIA LA FLORIDA</v>
      </c>
      <c r="C217" s="30" t="str">
        <f ca="1">IFERROR(__xludf.DUMMYFUNCTION("""COMPUTED_VALUE"""),"Buenos Aires")</f>
        <v>Buenos Aires</v>
      </c>
      <c r="D217" s="30" t="str">
        <f ca="1">IFERROR(__xludf.DUMMYFUNCTION("""COMPUTED_VALUE"""),"6")</f>
        <v>6</v>
      </c>
      <c r="E217" s="30" t="str">
        <f ca="1">IFERROR(__xludf.DUMMYFUNCTION("""COMPUTED_VALUE"""),"")</f>
        <v/>
      </c>
      <c r="F217" s="29"/>
      <c r="G217" s="29"/>
      <c r="H217" s="30" t="str">
        <f ca="1">IFERROR(__xludf.DUMMYFUNCTION("""COMPUTED_VALUE"""),"activo")</f>
        <v>activo</v>
      </c>
      <c r="I217" s="29"/>
      <c r="J217" s="29"/>
      <c r="K217" s="29"/>
      <c r="L217" s="30" t="str">
        <f ca="1">IFERROR(__xludf.DUMMYFUNCTION("""COMPUTED_VALUE"""),"No")</f>
        <v>No</v>
      </c>
      <c r="M217" s="30" t="str">
        <f ca="1">IFERROR(__xludf.DUMMYFUNCTION("""COMPUTED_VALUE"""),"6658010008")</f>
        <v>6658010008</v>
      </c>
      <c r="N217" s="30" t="str">
        <f ca="1">IFERROR(__xludf.DUMMYFUNCTION("""COMPUTED_VALUE"""),"SAN FRANCISCO SOLANO")</f>
        <v>SAN FRANCISCO SOLANO</v>
      </c>
      <c r="O217" s="30" t="str">
        <f ca="1">IFERROR(__xludf.DUMMYFUNCTION("""COMPUTED_VALUE"""),"658")</f>
        <v>658</v>
      </c>
      <c r="P217" s="30" t="str">
        <f ca="1">IFERROR(__xludf.DUMMYFUNCTION("""COMPUTED_VALUE"""),"QUILMES")</f>
        <v>QUILMES</v>
      </c>
      <c r="Q217" s="30" t="str">
        <f ca="1">IFERROR(__xludf.DUMMYFUNCTION("""COMPUTED_VALUE"""),"-34.764017")</f>
        <v>-34.764017</v>
      </c>
      <c r="R217" s="30" t="str">
        <f ca="1">IFERROR(__xludf.DUMMYFUNCTION("""COMPUTED_VALUE"""),"-58.3007")</f>
        <v>-58.3007</v>
      </c>
      <c r="S217" s="30" t="str">
        <f ca="1">IFERROR(__xludf.DUMMYFUNCTION("""COMPUTED_VALUE"""),"Municipal")</f>
        <v>Municipal</v>
      </c>
      <c r="T217" s="30" t="str">
        <f ca="1">IFERROR(__xludf.DUMMYFUNCTION("""COMPUTED_VALUE"""),"QUILMES")</f>
        <v>QUILMES</v>
      </c>
    </row>
    <row r="218" spans="1:20" ht="15.75" customHeight="1" x14ac:dyDescent="0.25">
      <c r="A218" s="30" t="str">
        <f ca="1">IFERROR(__xludf.DUMMYFUNCTION("""COMPUTED_VALUE"""),"50060582202480")</f>
        <v>50060582202480</v>
      </c>
      <c r="B218" s="30" t="str">
        <f ca="1">IFERROR(__xludf.DUMMYFUNCTION("""COMPUTED_VALUE"""),"UNIDAD SANITARIA N° 11 ANTARTIDA ARGENTINA DE EZPELETA")</f>
        <v>UNIDAD SANITARIA N° 11 ANTARTIDA ARGENTINA DE EZPELETA</v>
      </c>
      <c r="C218" s="30" t="str">
        <f ca="1">IFERROR(__xludf.DUMMYFUNCTION("""COMPUTED_VALUE"""),"Buenos Aires")</f>
        <v>Buenos Aires</v>
      </c>
      <c r="D218" s="30" t="str">
        <f ca="1">IFERROR(__xludf.DUMMYFUNCTION("""COMPUTED_VALUE"""),"6")</f>
        <v>6</v>
      </c>
      <c r="E218" s="30" t="str">
        <f ca="1">IFERROR(__xludf.DUMMYFUNCTION("""COMPUTED_VALUE"""),"")</f>
        <v/>
      </c>
      <c r="F218" s="29"/>
      <c r="G218" s="29"/>
      <c r="H218" s="30" t="str">
        <f ca="1">IFERROR(__xludf.DUMMYFUNCTION("""COMPUTED_VALUE"""),"activo")</f>
        <v>activo</v>
      </c>
      <c r="I218" s="29"/>
      <c r="J218" s="29"/>
      <c r="K218" s="29"/>
      <c r="L218" s="30" t="str">
        <f ca="1">IFERROR(__xludf.DUMMYFUNCTION("""COMPUTED_VALUE"""),"No")</f>
        <v>No</v>
      </c>
      <c r="M218" s="30" t="str">
        <f ca="1">IFERROR(__xludf.DUMMYFUNCTION("""COMPUTED_VALUE"""),"6058030")</f>
        <v>6058030</v>
      </c>
      <c r="N218" s="30" t="str">
        <f ca="1">IFERROR(__xludf.DUMMYFUNCTION("""COMPUTED_VALUE"""),"EZPELETA")</f>
        <v>EZPELETA</v>
      </c>
      <c r="O218" s="30" t="str">
        <f ca="1">IFERROR(__xludf.DUMMYFUNCTION("""COMPUTED_VALUE"""),"658")</f>
        <v>658</v>
      </c>
      <c r="P218" s="30" t="str">
        <f ca="1">IFERROR(__xludf.DUMMYFUNCTION("""COMPUTED_VALUE"""),"QUILMES")</f>
        <v>QUILMES</v>
      </c>
      <c r="Q218" s="30" t="str">
        <f ca="1">IFERROR(__xludf.DUMMYFUNCTION("""COMPUTED_VALUE"""),"-34.7373397")</f>
        <v>-34.7373397</v>
      </c>
      <c r="R218" s="30" t="str">
        <f ca="1">IFERROR(__xludf.DUMMYFUNCTION("""COMPUTED_VALUE"""),"-58.2298153")</f>
        <v>-58.2298153</v>
      </c>
      <c r="S218" s="30" t="str">
        <f ca="1">IFERROR(__xludf.DUMMYFUNCTION("""COMPUTED_VALUE"""),"Municipal")</f>
        <v>Municipal</v>
      </c>
      <c r="T218" s="30" t="str">
        <f ca="1">IFERROR(__xludf.DUMMYFUNCTION("""COMPUTED_VALUE"""),"QUILMES")</f>
        <v>QUILMES</v>
      </c>
    </row>
    <row r="219" spans="1:20" ht="15.75" customHeight="1" x14ac:dyDescent="0.25">
      <c r="A219" s="30" t="str">
        <f ca="1">IFERROR(__xludf.DUMMYFUNCTION("""COMPUTED_VALUE"""),"50060582201103")</f>
        <v>50060582201103</v>
      </c>
      <c r="B219" s="30" t="str">
        <f ca="1">IFERROR(__xludf.DUMMYFUNCTION("""COMPUTED_VALUE"""),"CENTRO ASISTENCIAL VILLA DEL CARMEN")</f>
        <v>CENTRO ASISTENCIAL VILLA DEL CARMEN</v>
      </c>
      <c r="C219" s="30" t="str">
        <f ca="1">IFERROR(__xludf.DUMMYFUNCTION("""COMPUTED_VALUE"""),"Buenos Aires")</f>
        <v>Buenos Aires</v>
      </c>
      <c r="D219" s="30" t="str">
        <f ca="1">IFERROR(__xludf.DUMMYFUNCTION("""COMPUTED_VALUE"""),"6")</f>
        <v>6</v>
      </c>
      <c r="E219" s="30" t="str">
        <f ca="1">IFERROR(__xludf.DUMMYFUNCTION("""COMPUTED_VALUE"""),"")</f>
        <v/>
      </c>
      <c r="F219" s="29"/>
      <c r="G219" s="29"/>
      <c r="H219" s="30" t="str">
        <f ca="1">IFERROR(__xludf.DUMMYFUNCTION("""COMPUTED_VALUE"""),"activo")</f>
        <v>activo</v>
      </c>
      <c r="I219" s="29"/>
      <c r="J219" s="29"/>
      <c r="K219" s="29"/>
      <c r="L219" s="30" t="str">
        <f ca="1">IFERROR(__xludf.DUMMYFUNCTION("""COMPUTED_VALUE"""),"No")</f>
        <v>No</v>
      </c>
      <c r="M219" s="30" t="str">
        <f ca="1">IFERROR(__xludf.DUMMYFUNCTION("""COMPUTED_VALUE"""),"6658010007")</f>
        <v>6658010007</v>
      </c>
      <c r="N219" s="30" t="str">
        <f ca="1">IFERROR(__xludf.DUMMYFUNCTION("""COMPUTED_VALUE"""),"QUILMES OESTE")</f>
        <v>QUILMES OESTE</v>
      </c>
      <c r="O219" s="30" t="str">
        <f ca="1">IFERROR(__xludf.DUMMYFUNCTION("""COMPUTED_VALUE"""),"658")</f>
        <v>658</v>
      </c>
      <c r="P219" s="30" t="str">
        <f ca="1">IFERROR(__xludf.DUMMYFUNCTION("""COMPUTED_VALUE"""),"QUILMES")</f>
        <v>QUILMES</v>
      </c>
      <c r="Q219" s="30" t="str">
        <f ca="1">IFERROR(__xludf.DUMMYFUNCTION("""COMPUTED_VALUE"""),"-34.721286")</f>
        <v>-34.721286</v>
      </c>
      <c r="R219" s="30" t="str">
        <f ca="1">IFERROR(__xludf.DUMMYFUNCTION("""COMPUTED_VALUE"""),"-58.249515")</f>
        <v>-58.249515</v>
      </c>
      <c r="S219" s="30" t="str">
        <f ca="1">IFERROR(__xludf.DUMMYFUNCTION("""COMPUTED_VALUE"""),"Municipal")</f>
        <v>Municipal</v>
      </c>
      <c r="T219" s="30" t="str">
        <f ca="1">IFERROR(__xludf.DUMMYFUNCTION("""COMPUTED_VALUE"""),"QUILMES")</f>
        <v>QUILMES</v>
      </c>
    </row>
    <row r="220" spans="1:20" ht="15.75" customHeight="1" x14ac:dyDescent="0.25">
      <c r="A220" s="30" t="str">
        <f ca="1">IFERROR(__xludf.DUMMYFUNCTION("""COMPUTED_VALUE"""),"50060582201520")</f>
        <v>50060582201520</v>
      </c>
      <c r="B220" s="30" t="str">
        <f ca="1">IFERROR(__xludf.DUMMYFUNCTION("""COMPUTED_VALUE"""),"CIC LA PAZ")</f>
        <v>CIC LA PAZ</v>
      </c>
      <c r="C220" s="30" t="str">
        <f ca="1">IFERROR(__xludf.DUMMYFUNCTION("""COMPUTED_VALUE"""),"Buenos Aires")</f>
        <v>Buenos Aires</v>
      </c>
      <c r="D220" s="30" t="str">
        <f ca="1">IFERROR(__xludf.DUMMYFUNCTION("""COMPUTED_VALUE"""),"6")</f>
        <v>6</v>
      </c>
      <c r="E220" s="30" t="str">
        <f ca="1">IFERROR(__xludf.DUMMYFUNCTION("""COMPUTED_VALUE"""),"")</f>
        <v/>
      </c>
      <c r="F220" s="29"/>
      <c r="G220" s="29"/>
      <c r="H220" s="30" t="str">
        <f ca="1">IFERROR(__xludf.DUMMYFUNCTION("""COMPUTED_VALUE"""),"activo")</f>
        <v>activo</v>
      </c>
      <c r="I220" s="29"/>
      <c r="J220" s="29"/>
      <c r="K220" s="29"/>
      <c r="L220" s="30" t="str">
        <f ca="1">IFERROR(__xludf.DUMMYFUNCTION("""COMPUTED_VALUE"""),"No")</f>
        <v>No</v>
      </c>
      <c r="M220" s="30" t="str">
        <f ca="1">IFERROR(__xludf.DUMMYFUNCTION("""COMPUTED_VALUE"""),"6658010008")</f>
        <v>6658010008</v>
      </c>
      <c r="N220" s="30" t="str">
        <f ca="1">IFERROR(__xludf.DUMMYFUNCTION("""COMPUTED_VALUE"""),"SAN FRANCISCO SOLANO")</f>
        <v>SAN FRANCISCO SOLANO</v>
      </c>
      <c r="O220" s="30" t="str">
        <f ca="1">IFERROR(__xludf.DUMMYFUNCTION("""COMPUTED_VALUE"""),"658")</f>
        <v>658</v>
      </c>
      <c r="P220" s="30" t="str">
        <f ca="1">IFERROR(__xludf.DUMMYFUNCTION("""COMPUTED_VALUE"""),"QUILMES")</f>
        <v>QUILMES</v>
      </c>
      <c r="Q220" s="30" t="str">
        <f ca="1">IFERROR(__xludf.DUMMYFUNCTION("""COMPUTED_VALUE"""),"-34.748292")</f>
        <v>-34.748292</v>
      </c>
      <c r="R220" s="30" t="str">
        <f ca="1">IFERROR(__xludf.DUMMYFUNCTION("""COMPUTED_VALUE"""),"-58.329771")</f>
        <v>-58.329771</v>
      </c>
      <c r="S220" s="30" t="str">
        <f ca="1">IFERROR(__xludf.DUMMYFUNCTION("""COMPUTED_VALUE"""),"Municipal")</f>
        <v>Municipal</v>
      </c>
      <c r="T220" s="30" t="str">
        <f ca="1">IFERROR(__xludf.DUMMYFUNCTION("""COMPUTED_VALUE"""),"QUILMES")</f>
        <v>QUILMES</v>
      </c>
    </row>
    <row r="221" spans="1:20" ht="15.75" customHeight="1" x14ac:dyDescent="0.25">
      <c r="A221" s="30" t="str">
        <f ca="1">IFERROR(__xludf.DUMMYFUNCTION("""COMPUTED_VALUE"""),"50067562201457")</f>
        <v>50067562201457</v>
      </c>
      <c r="B221" s="30" t="str">
        <f ca="1">IFERROR(__xludf.DUMMYFUNCTION("""COMPUTED_VALUE"""),"CAPS BECCAR")</f>
        <v>CAPS BECCAR</v>
      </c>
      <c r="C221" s="30" t="str">
        <f ca="1">IFERROR(__xludf.DUMMYFUNCTION("""COMPUTED_VALUE"""),"Buenos Aires")</f>
        <v>Buenos Aires</v>
      </c>
      <c r="D221" s="30" t="str">
        <f ca="1">IFERROR(__xludf.DUMMYFUNCTION("""COMPUTED_VALUE"""),"6")</f>
        <v>6</v>
      </c>
      <c r="E221" s="30" t="str">
        <f ca="1">IFERROR(__xludf.DUMMYFUNCTION("""COMPUTED_VALUE"""),"")</f>
        <v/>
      </c>
      <c r="F221" s="29"/>
      <c r="G221" s="29"/>
      <c r="H221" s="30" t="str">
        <f ca="1">IFERROR(__xludf.DUMMYFUNCTION("""COMPUTED_VALUE"""),"activo")</f>
        <v>activo</v>
      </c>
      <c r="I221" s="29"/>
      <c r="J221" s="29"/>
      <c r="K221" s="29"/>
      <c r="L221" s="30" t="str">
        <f ca="1">IFERROR(__xludf.DUMMYFUNCTION("""COMPUTED_VALUE"""),"No")</f>
        <v>No</v>
      </c>
      <c r="M221" s="30" t="str">
        <f ca="1">IFERROR(__xludf.DUMMYFUNCTION("""COMPUTED_VALUE"""),"6756010002")</f>
        <v>6756010002</v>
      </c>
      <c r="N221" s="30" t="str">
        <f ca="1">IFERROR(__xludf.DUMMYFUNCTION("""COMPUTED_VALUE"""),"BECCAR")</f>
        <v>BECCAR</v>
      </c>
      <c r="O221" s="30" t="str">
        <f ca="1">IFERROR(__xludf.DUMMYFUNCTION("""COMPUTED_VALUE"""),"6756")</f>
        <v>6756</v>
      </c>
      <c r="P221" s="30" t="str">
        <f ca="1">IFERROR(__xludf.DUMMYFUNCTION("""COMPUTED_VALUE"""),"SAN ISIDRO")</f>
        <v>SAN ISIDRO</v>
      </c>
      <c r="Q221" s="30" t="str">
        <f ca="1">IFERROR(__xludf.DUMMYFUNCTION("""COMPUTED_VALUE"""),"-34.46360597")</f>
        <v>-34.46360597</v>
      </c>
      <c r="R221" s="30" t="str">
        <f ca="1">IFERROR(__xludf.DUMMYFUNCTION("""COMPUTED_VALUE"""),"-58.54729736")</f>
        <v>-58.54729736</v>
      </c>
      <c r="S221" s="30" t="str">
        <f ca="1">IFERROR(__xludf.DUMMYFUNCTION("""COMPUTED_VALUE"""),"Municipal")</f>
        <v>Municipal</v>
      </c>
      <c r="T221" s="30" t="str">
        <f ca="1">IFERROR(__xludf.DUMMYFUNCTION("""COMPUTED_VALUE"""),"SAN ISIDRO")</f>
        <v>SAN ISIDRO</v>
      </c>
    </row>
    <row r="222" spans="1:20" ht="15.75" customHeight="1" x14ac:dyDescent="0.25">
      <c r="A222" s="30" t="str">
        <f ca="1">IFERROR(__xludf.DUMMYFUNCTION("""COMPUTED_VALUE"""),"50067562201471")</f>
        <v>50067562201471</v>
      </c>
      <c r="B222" s="30" t="str">
        <f ca="1">IFERROR(__xludf.DUMMYFUNCTION("""COMPUTED_VALUE"""),"CAPS LA RIBERA")</f>
        <v>CAPS LA RIBERA</v>
      </c>
      <c r="C222" s="30" t="str">
        <f ca="1">IFERROR(__xludf.DUMMYFUNCTION("""COMPUTED_VALUE"""),"Buenos Aires")</f>
        <v>Buenos Aires</v>
      </c>
      <c r="D222" s="30" t="str">
        <f ca="1">IFERROR(__xludf.DUMMYFUNCTION("""COMPUTED_VALUE"""),"6")</f>
        <v>6</v>
      </c>
      <c r="E222" s="30" t="str">
        <f ca="1">IFERROR(__xludf.DUMMYFUNCTION("""COMPUTED_VALUE"""),"")</f>
        <v/>
      </c>
      <c r="F222" s="29"/>
      <c r="G222" s="29"/>
      <c r="H222" s="30" t="str">
        <f ca="1">IFERROR(__xludf.DUMMYFUNCTION("""COMPUTED_VALUE"""),"activo")</f>
        <v>activo</v>
      </c>
      <c r="I222" s="29"/>
      <c r="J222" s="29"/>
      <c r="K222" s="29"/>
      <c r="L222" s="30" t="str">
        <f ca="1">IFERROR(__xludf.DUMMYFUNCTION("""COMPUTED_VALUE"""),"No")</f>
        <v>No</v>
      </c>
      <c r="M222" s="30" t="str">
        <f ca="1">IFERROR(__xludf.DUMMYFUNCTION("""COMPUTED_VALUE"""),"6756010005")</f>
        <v>6756010005</v>
      </c>
      <c r="N222" s="30" t="str">
        <f ca="1">IFERROR(__xludf.DUMMYFUNCTION("""COMPUTED_VALUE"""),"SAN ISIDRO")</f>
        <v>SAN ISIDRO</v>
      </c>
      <c r="O222" s="30" t="str">
        <f ca="1">IFERROR(__xludf.DUMMYFUNCTION("""COMPUTED_VALUE"""),"6756")</f>
        <v>6756</v>
      </c>
      <c r="P222" s="30" t="str">
        <f ca="1">IFERROR(__xludf.DUMMYFUNCTION("""COMPUTED_VALUE"""),"SAN ISIDRO")</f>
        <v>SAN ISIDRO</v>
      </c>
      <c r="Q222" s="30" t="str">
        <f ca="1">IFERROR(__xludf.DUMMYFUNCTION("""COMPUTED_VALUE"""),"-34.4666194")</f>
        <v>-34.4666194</v>
      </c>
      <c r="R222" s="30" t="str">
        <f ca="1">IFERROR(__xludf.DUMMYFUNCTION("""COMPUTED_VALUE"""),"-58.5011448")</f>
        <v>-58.5011448</v>
      </c>
      <c r="S222" s="30" t="str">
        <f ca="1">IFERROR(__xludf.DUMMYFUNCTION("""COMPUTED_VALUE"""),"Municipal")</f>
        <v>Municipal</v>
      </c>
      <c r="T222" s="30" t="str">
        <f ca="1">IFERROR(__xludf.DUMMYFUNCTION("""COMPUTED_VALUE"""),"SAN ISIDRO")</f>
        <v>SAN ISIDRO</v>
      </c>
    </row>
    <row r="223" spans="1:20" ht="15.75" customHeight="1" x14ac:dyDescent="0.25">
      <c r="A223" s="30" t="str">
        <f ca="1">IFERROR(__xludf.DUMMYFUNCTION("""COMPUTED_VALUE"""),"50063712201367")</f>
        <v>50063712201367</v>
      </c>
      <c r="B223" s="30" t="str">
        <f ca="1">IFERROR(__xludf.DUMMYFUNCTION("""COMPUTED_VALUE"""),"CENTRO DE SALUD VILLA CONCEPCION")</f>
        <v>CENTRO DE SALUD VILLA CONCEPCION</v>
      </c>
      <c r="C223" s="30" t="str">
        <f ca="1">IFERROR(__xludf.DUMMYFUNCTION("""COMPUTED_VALUE"""),"Buenos Aires")</f>
        <v>Buenos Aires</v>
      </c>
      <c r="D223" s="30" t="str">
        <f ca="1">IFERROR(__xludf.DUMMYFUNCTION("""COMPUTED_VALUE"""),"6")</f>
        <v>6</v>
      </c>
      <c r="E223" s="30" t="str">
        <f ca="1">IFERROR(__xludf.DUMMYFUNCTION("""COMPUTED_VALUE"""),"")</f>
        <v/>
      </c>
      <c r="F223" s="29"/>
      <c r="G223" s="29"/>
      <c r="H223" s="30" t="str">
        <f ca="1">IFERROR(__xludf.DUMMYFUNCTION("""COMPUTED_VALUE"""),"activo")</f>
        <v>activo</v>
      </c>
      <c r="I223" s="29"/>
      <c r="J223" s="29"/>
      <c r="K223" s="29"/>
      <c r="L223" s="30" t="str">
        <f ca="1">IFERROR(__xludf.DUMMYFUNCTION("""COMPUTED_VALUE"""),"No")</f>
        <v>No</v>
      </c>
      <c r="M223" s="30" t="str">
        <f ca="1">IFERROR(__xludf.DUMMYFUNCTION("""COMPUTED_VALUE"""),"6371010")</f>
        <v>6371010</v>
      </c>
      <c r="N223" s="30" t="str">
        <f ca="1">IFERROR(__xludf.DUMMYFUNCTION("""COMPUTED_VALUE"""),"GENERAL SAN MARTÍN")</f>
        <v>GENERAL SAN MARTÍN</v>
      </c>
      <c r="O223" s="30" t="str">
        <f ca="1">IFERROR(__xludf.DUMMYFUNCTION("""COMPUTED_VALUE"""),"6371")</f>
        <v>6371</v>
      </c>
      <c r="P223" s="30" t="str">
        <f ca="1">IFERROR(__xludf.DUMMYFUNCTION("""COMPUTED_VALUE"""),"GENERAL SAN MARTÍN")</f>
        <v>GENERAL SAN MARTÍN</v>
      </c>
      <c r="Q223" s="30" t="str">
        <f ca="1">IFERROR(__xludf.DUMMYFUNCTION("""COMPUTED_VALUE"""),"-34.5460564")</f>
        <v>-34.5460564</v>
      </c>
      <c r="R223" s="30" t="str">
        <f ca="1">IFERROR(__xludf.DUMMYFUNCTION("""COMPUTED_VALUE"""),"-58.5300543")</f>
        <v>-58.5300543</v>
      </c>
      <c r="S223" s="30" t="str">
        <f ca="1">IFERROR(__xludf.DUMMYFUNCTION("""COMPUTED_VALUE"""),"Municipal")</f>
        <v>Municipal</v>
      </c>
      <c r="T223" s="30" t="str">
        <f ca="1">IFERROR(__xludf.DUMMYFUNCTION("""COMPUTED_VALUE"""),"GENERAL SAN MARTÍN")</f>
        <v>GENERAL SAN MARTÍN</v>
      </c>
    </row>
    <row r="224" spans="1:20" ht="15.75" customHeight="1" x14ac:dyDescent="0.25">
      <c r="A224" s="30" t="str">
        <f ca="1">IFERROR(__xludf.DUMMYFUNCTION("""COMPUTED_VALUE"""),"50063712201231")</f>
        <v>50063712201231</v>
      </c>
      <c r="B224" s="30" t="str">
        <f ca="1">IFERROR(__xludf.DUMMYFUNCTION("""COMPUTED_VALUE"""),"CENTRO DE SALUD DR. LUIS AGOTE")</f>
        <v>CENTRO DE SALUD DR. LUIS AGOTE</v>
      </c>
      <c r="C224" s="30" t="str">
        <f ca="1">IFERROR(__xludf.DUMMYFUNCTION("""COMPUTED_VALUE"""),"Buenos Aires")</f>
        <v>Buenos Aires</v>
      </c>
      <c r="D224" s="30" t="str">
        <f ca="1">IFERROR(__xludf.DUMMYFUNCTION("""COMPUTED_VALUE"""),"6")</f>
        <v>6</v>
      </c>
      <c r="E224" s="30" t="str">
        <f ca="1">IFERROR(__xludf.DUMMYFUNCTION("""COMPUTED_VALUE"""),"")</f>
        <v/>
      </c>
      <c r="F224" s="29"/>
      <c r="G224" s="29"/>
      <c r="H224" s="30" t="str">
        <f ca="1">IFERROR(__xludf.DUMMYFUNCTION("""COMPUTED_VALUE"""),"activo")</f>
        <v>activo</v>
      </c>
      <c r="I224" s="29"/>
      <c r="J224" s="29"/>
      <c r="K224" s="29"/>
      <c r="L224" s="30" t="str">
        <f ca="1">IFERROR(__xludf.DUMMYFUNCTION("""COMPUTED_VALUE"""),"No")</f>
        <v>No</v>
      </c>
      <c r="M224" s="30" t="str">
        <f ca="1">IFERROR(__xludf.DUMMYFUNCTION("""COMPUTED_VALUE"""),"6371020")</f>
        <v>6371020</v>
      </c>
      <c r="N224" s="30" t="str">
        <f ca="1">IFERROR(__xludf.DUMMYFUNCTION("""COMPUTED_VALUE"""),"JOSÉ LEÓN SUAREZ")</f>
        <v>JOSÉ LEÓN SUAREZ</v>
      </c>
      <c r="O224" s="30" t="str">
        <f ca="1">IFERROR(__xludf.DUMMYFUNCTION("""COMPUTED_VALUE"""),"6371")</f>
        <v>6371</v>
      </c>
      <c r="P224" s="30" t="str">
        <f ca="1">IFERROR(__xludf.DUMMYFUNCTION("""COMPUTED_VALUE"""),"GENERAL SAN MARTÍN")</f>
        <v>GENERAL SAN MARTÍN</v>
      </c>
      <c r="Q224" s="30" t="str">
        <f ca="1">IFERROR(__xludf.DUMMYFUNCTION("""COMPUTED_VALUE"""),"-34.5301621")</f>
        <v>-34.5301621</v>
      </c>
      <c r="R224" s="30" t="str">
        <f ca="1">IFERROR(__xludf.DUMMYFUNCTION("""COMPUTED_VALUE"""),"-58.5752056")</f>
        <v>-58.5752056</v>
      </c>
      <c r="S224" s="30" t="str">
        <f ca="1">IFERROR(__xludf.DUMMYFUNCTION("""COMPUTED_VALUE"""),"Municipal")</f>
        <v>Municipal</v>
      </c>
      <c r="T224" s="30" t="str">
        <f ca="1">IFERROR(__xludf.DUMMYFUNCTION("""COMPUTED_VALUE"""),"GENERAL SAN MARTÍN")</f>
        <v>GENERAL SAN MARTÍN</v>
      </c>
    </row>
    <row r="225" spans="1:20" ht="15.75" customHeight="1" x14ac:dyDescent="0.25">
      <c r="A225" s="30" t="str">
        <f ca="1">IFERROR(__xludf.DUMMYFUNCTION("""COMPUTED_VALUE"""),"50063712202500")</f>
        <v>50063712202500</v>
      </c>
      <c r="B225" s="30" t="str">
        <f ca="1">IFERROR(__xludf.DUMMYFUNCTION("""COMPUTED_VALUE"""),"UNIDAD SANITARIA N° 13 DE VILLA LYNCH")</f>
        <v>UNIDAD SANITARIA N° 13 DE VILLA LYNCH</v>
      </c>
      <c r="C225" s="30" t="str">
        <f ca="1">IFERROR(__xludf.DUMMYFUNCTION("""COMPUTED_VALUE"""),"Buenos Aires")</f>
        <v>Buenos Aires</v>
      </c>
      <c r="D225" s="30" t="str">
        <f ca="1">IFERROR(__xludf.DUMMYFUNCTION("""COMPUTED_VALUE"""),"6")</f>
        <v>6</v>
      </c>
      <c r="E225" s="30" t="str">
        <f ca="1">IFERROR(__xludf.DUMMYFUNCTION("""COMPUTED_VALUE"""),"")</f>
        <v/>
      </c>
      <c r="F225" s="29"/>
      <c r="G225" s="29"/>
      <c r="H225" s="30" t="str">
        <f ca="1">IFERROR(__xludf.DUMMYFUNCTION("""COMPUTED_VALUE"""),"activo")</f>
        <v>activo</v>
      </c>
      <c r="I225" s="29"/>
      <c r="J225" s="29"/>
      <c r="K225" s="29"/>
      <c r="L225" s="30" t="str">
        <f ca="1">IFERROR(__xludf.DUMMYFUNCTION("""COMPUTED_VALUE"""),"No")</f>
        <v>No</v>
      </c>
      <c r="M225" s="30" t="str">
        <f ca="1">IFERROR(__xludf.DUMMYFUNCTION("""COMPUTED_VALUE"""),"6371010020")</f>
        <v>6371010020</v>
      </c>
      <c r="N225" s="30" t="str">
        <f ca="1">IFERROR(__xludf.DUMMYFUNCTION("""COMPUTED_VALUE"""),"VILLA LYNCH")</f>
        <v>VILLA LYNCH</v>
      </c>
      <c r="O225" s="30" t="str">
        <f ca="1">IFERROR(__xludf.DUMMYFUNCTION("""COMPUTED_VALUE"""),"6371")</f>
        <v>6371</v>
      </c>
      <c r="P225" s="30" t="str">
        <f ca="1">IFERROR(__xludf.DUMMYFUNCTION("""COMPUTED_VALUE"""),"GENERAL SAN MARTÍN")</f>
        <v>GENERAL SAN MARTÍN</v>
      </c>
      <c r="Q225" s="30" t="str">
        <f ca="1">IFERROR(__xludf.DUMMYFUNCTION("""COMPUTED_VALUE"""),"-34.592762")</f>
        <v>-34.592762</v>
      </c>
      <c r="R225" s="30" t="str">
        <f ca="1">IFERROR(__xludf.DUMMYFUNCTION("""COMPUTED_VALUE"""),"-58.524667")</f>
        <v>-58.524667</v>
      </c>
      <c r="S225" s="30" t="str">
        <f ca="1">IFERROR(__xludf.DUMMYFUNCTION("""COMPUTED_VALUE"""),"Municipal")</f>
        <v>Municipal</v>
      </c>
      <c r="T225" s="30" t="str">
        <f ca="1">IFERROR(__xludf.DUMMYFUNCTION("""COMPUTED_VALUE"""),"GENERAL SAN MARTÍN")</f>
        <v>GENERAL SAN MARTÍN</v>
      </c>
    </row>
    <row r="226" spans="1:20" ht="15.75" customHeight="1" x14ac:dyDescent="0.25">
      <c r="A226" s="30" t="str">
        <f ca="1">IFERROR(__xludf.DUMMYFUNCTION("""COMPUTED_VALUE"""),"50063712202441")</f>
        <v>50063712202441</v>
      </c>
      <c r="B226" s="30" t="str">
        <f ca="1">IFERROR(__xludf.DUMMYFUNCTION("""COMPUTED_VALUE"""),"UNIDAD SANITARIA MARENGO")</f>
        <v>UNIDAD SANITARIA MARENGO</v>
      </c>
      <c r="C226" s="30" t="str">
        <f ca="1">IFERROR(__xludf.DUMMYFUNCTION("""COMPUTED_VALUE"""),"Buenos Aires")</f>
        <v>Buenos Aires</v>
      </c>
      <c r="D226" s="30" t="str">
        <f ca="1">IFERROR(__xludf.DUMMYFUNCTION("""COMPUTED_VALUE"""),"6")</f>
        <v>6</v>
      </c>
      <c r="E226" s="30" t="str">
        <f ca="1">IFERROR(__xludf.DUMMYFUNCTION("""COMPUTED_VALUE"""),"")</f>
        <v/>
      </c>
      <c r="F226" s="29"/>
      <c r="G226" s="29"/>
      <c r="H226" s="30" t="str">
        <f ca="1">IFERROR(__xludf.DUMMYFUNCTION("""COMPUTED_VALUE"""),"activo")</f>
        <v>activo</v>
      </c>
      <c r="I226" s="29"/>
      <c r="J226" s="29"/>
      <c r="K226" s="29"/>
      <c r="L226" s="30" t="str">
        <f ca="1">IFERROR(__xludf.DUMMYFUNCTION("""COMPUTED_VALUE"""),"No")</f>
        <v>No</v>
      </c>
      <c r="M226" s="30" t="str">
        <f ca="1">IFERROR(__xludf.DUMMYFUNCTION("""COMPUTED_VALUE"""),"6371010006")</f>
        <v>6371010006</v>
      </c>
      <c r="N226" s="30" t="str">
        <f ca="1">IFERROR(__xludf.DUMMYFUNCTION("""COMPUTED_VALUE"""),"VILLA BALLESTER")</f>
        <v>VILLA BALLESTER</v>
      </c>
      <c r="O226" s="30" t="str">
        <f ca="1">IFERROR(__xludf.DUMMYFUNCTION("""COMPUTED_VALUE"""),"6371")</f>
        <v>6371</v>
      </c>
      <c r="P226" s="30" t="str">
        <f ca="1">IFERROR(__xludf.DUMMYFUNCTION("""COMPUTED_VALUE"""),"GENERAL SAN MARTÍN")</f>
        <v>GENERAL SAN MARTÍN</v>
      </c>
      <c r="Q226" s="30" t="str">
        <f ca="1">IFERROR(__xludf.DUMMYFUNCTION("""COMPUTED_VALUE"""),"-34.547635")</f>
        <v>-34.547635</v>
      </c>
      <c r="R226" s="30" t="str">
        <f ca="1">IFERROR(__xludf.DUMMYFUNCTION("""COMPUTED_VALUE"""),"-58.549558")</f>
        <v>-58.549558</v>
      </c>
      <c r="S226" s="30" t="str">
        <f ca="1">IFERROR(__xludf.DUMMYFUNCTION("""COMPUTED_VALUE"""),"Municipal")</f>
        <v>Municipal</v>
      </c>
      <c r="T226" s="30" t="str">
        <f ca="1">IFERROR(__xludf.DUMMYFUNCTION("""COMPUTED_VALUE"""),"GENERAL SAN MARTÍN")</f>
        <v>GENERAL SAN MARTÍN</v>
      </c>
    </row>
    <row r="227" spans="1:20" ht="15.75" customHeight="1" x14ac:dyDescent="0.25">
      <c r="A227" s="30" t="str">
        <f ca="1">IFERROR(__xludf.DUMMYFUNCTION("""COMPUTED_VALUE"""),"50063712202472")</f>
        <v>50063712202472</v>
      </c>
      <c r="B227" s="30" t="str">
        <f ca="1">IFERROR(__xludf.DUMMYFUNCTION("""COMPUTED_VALUE"""),"UNIDAD SANITARIA N° 10 VILLA ESPERANZA DE JOSE LEON SUAREZ")</f>
        <v>UNIDAD SANITARIA N° 10 VILLA ESPERANZA DE JOSE LEON SUAREZ</v>
      </c>
      <c r="C227" s="30" t="str">
        <f ca="1">IFERROR(__xludf.DUMMYFUNCTION("""COMPUTED_VALUE"""),"Buenos Aires")</f>
        <v>Buenos Aires</v>
      </c>
      <c r="D227" s="30" t="str">
        <f ca="1">IFERROR(__xludf.DUMMYFUNCTION("""COMPUTED_VALUE"""),"6")</f>
        <v>6</v>
      </c>
      <c r="E227" s="30" t="str">
        <f ca="1">IFERROR(__xludf.DUMMYFUNCTION("""COMPUTED_VALUE"""),"")</f>
        <v/>
      </c>
      <c r="F227" s="29"/>
      <c r="G227" s="29"/>
      <c r="H227" s="30" t="str">
        <f ca="1">IFERROR(__xludf.DUMMYFUNCTION("""COMPUTED_VALUE"""),"activo")</f>
        <v>activo</v>
      </c>
      <c r="I227" s="29"/>
      <c r="J227" s="29"/>
      <c r="K227" s="29"/>
      <c r="L227" s="30" t="str">
        <f ca="1">IFERROR(__xludf.DUMMYFUNCTION("""COMPUTED_VALUE"""),"No")</f>
        <v>No</v>
      </c>
      <c r="M227" s="30" t="str">
        <f ca="1">IFERROR(__xludf.DUMMYFUNCTION("""COMPUTED_VALUE"""),"6371020")</f>
        <v>6371020</v>
      </c>
      <c r="N227" s="30" t="str">
        <f ca="1">IFERROR(__xludf.DUMMYFUNCTION("""COMPUTED_VALUE"""),"JOSÉ LEÓN SUAREZ")</f>
        <v>JOSÉ LEÓN SUAREZ</v>
      </c>
      <c r="O227" s="30" t="str">
        <f ca="1">IFERROR(__xludf.DUMMYFUNCTION("""COMPUTED_VALUE"""),"6371")</f>
        <v>6371</v>
      </c>
      <c r="P227" s="30" t="str">
        <f ca="1">IFERROR(__xludf.DUMMYFUNCTION("""COMPUTED_VALUE"""),"GENERAL SAN MARTÍN")</f>
        <v>GENERAL SAN MARTÍN</v>
      </c>
      <c r="Q227" s="30" t="str">
        <f ca="1">IFERROR(__xludf.DUMMYFUNCTION("""COMPUTED_VALUE"""),"-34.52816972")</f>
        <v>-34.52816972</v>
      </c>
      <c r="R227" s="30" t="str">
        <f ca="1">IFERROR(__xludf.DUMMYFUNCTION("""COMPUTED_VALUE"""),"-58.56679344")</f>
        <v>-58.56679344</v>
      </c>
      <c r="S227" s="30" t="str">
        <f ca="1">IFERROR(__xludf.DUMMYFUNCTION("""COMPUTED_VALUE"""),"Municipal")</f>
        <v>Municipal</v>
      </c>
      <c r="T227" s="30" t="str">
        <f ca="1">IFERROR(__xludf.DUMMYFUNCTION("""COMPUTED_VALUE"""),"GENERAL SAN MARTÍN")</f>
        <v>GENERAL SAN MARTÍN</v>
      </c>
    </row>
    <row r="228" spans="1:20" ht="15.75" customHeight="1" x14ac:dyDescent="0.25">
      <c r="A228" s="30" t="str">
        <f ca="1">IFERROR(__xludf.DUMMYFUNCTION("""COMPUTED_VALUE"""),"50067602202416")</f>
        <v>50067602202416</v>
      </c>
      <c r="B228" s="30" t="str">
        <f ca="1">IFERROR(__xludf.DUMMYFUNCTION("""COMPUTED_VALUE"""),"CAPS DR. RAUL MATERA")</f>
        <v>CAPS DR. RAUL MATERA</v>
      </c>
      <c r="C228" s="30" t="str">
        <f ca="1">IFERROR(__xludf.DUMMYFUNCTION("""COMPUTED_VALUE"""),"Buenos Aires")</f>
        <v>Buenos Aires</v>
      </c>
      <c r="D228" s="30" t="str">
        <f ca="1">IFERROR(__xludf.DUMMYFUNCTION("""COMPUTED_VALUE"""),"6")</f>
        <v>6</v>
      </c>
      <c r="E228" s="30" t="str">
        <f ca="1">IFERROR(__xludf.DUMMYFUNCTION("""COMPUTED_VALUE"""),"si")</f>
        <v>si</v>
      </c>
      <c r="F228" s="29"/>
      <c r="G228" s="29"/>
      <c r="H228" s="30" t="str">
        <f ca="1">IFERROR(__xludf.DUMMYFUNCTION("""COMPUTED_VALUE"""),"activo")</f>
        <v>activo</v>
      </c>
      <c r="I228" s="29"/>
      <c r="J228" s="29"/>
      <c r="K228" s="29"/>
      <c r="L228" s="30" t="str">
        <f ca="1">IFERROR(__xludf.DUMMYFUNCTION("""COMPUTED_VALUE"""),"No")</f>
        <v>No</v>
      </c>
      <c r="M228" s="30" t="str">
        <f ca="1">IFERROR(__xludf.DUMMYFUNCTION("""COMPUTED_VALUE"""),"6760010001")</f>
        <v>6760010001</v>
      </c>
      <c r="N228" s="30" t="str">
        <f ca="1">IFERROR(__xludf.DUMMYFUNCTION("""COMPUTED_VALUE"""),"BELLA VISTA")</f>
        <v>BELLA VISTA</v>
      </c>
      <c r="O228" s="30" t="str">
        <f ca="1">IFERROR(__xludf.DUMMYFUNCTION("""COMPUTED_VALUE"""),"6760")</f>
        <v>6760</v>
      </c>
      <c r="P228" s="30" t="str">
        <f ca="1">IFERROR(__xludf.DUMMYFUNCTION("""COMPUTED_VALUE"""),"SAN MIGUEL")</f>
        <v>SAN MIGUEL</v>
      </c>
      <c r="Q228" s="30" t="str">
        <f ca="1">IFERROR(__xludf.DUMMYFUNCTION("""COMPUTED_VALUE"""),"-34.5970842")</f>
        <v>-34.5970842</v>
      </c>
      <c r="R228" s="30" t="str">
        <f ca="1">IFERROR(__xludf.DUMMYFUNCTION("""COMPUTED_VALUE"""),"-58.7186485")</f>
        <v>-58.7186485</v>
      </c>
      <c r="S228" s="30" t="str">
        <f ca="1">IFERROR(__xludf.DUMMYFUNCTION("""COMPUTED_VALUE"""),"Municipal")</f>
        <v>Municipal</v>
      </c>
      <c r="T228" s="30" t="str">
        <f ca="1">IFERROR(__xludf.DUMMYFUNCTION("""COMPUTED_VALUE"""),"SAN MIGUEL")</f>
        <v>SAN MIGUEL</v>
      </c>
    </row>
    <row r="229" spans="1:20" ht="15.75" customHeight="1" x14ac:dyDescent="0.25">
      <c r="A229" s="30" t="str">
        <f ca="1">IFERROR(__xludf.DUMMYFUNCTION("""COMPUTED_VALUE"""),"50067602202734")</f>
        <v>50067602202734</v>
      </c>
      <c r="B229" s="30" t="str">
        <f ca="1">IFERROR(__xludf.DUMMYFUNCTION("""COMPUTED_VALUE"""),"UNIDAD SANITARIA PRESIDENTE PERON DE SAN MIGUEL")</f>
        <v>UNIDAD SANITARIA PRESIDENTE PERON DE SAN MIGUEL</v>
      </c>
      <c r="C229" s="30" t="str">
        <f ca="1">IFERROR(__xludf.DUMMYFUNCTION("""COMPUTED_VALUE"""),"Buenos Aires")</f>
        <v>Buenos Aires</v>
      </c>
      <c r="D229" s="30" t="str">
        <f ca="1">IFERROR(__xludf.DUMMYFUNCTION("""COMPUTED_VALUE"""),"6")</f>
        <v>6</v>
      </c>
      <c r="E229" s="30" t="str">
        <f ca="1">IFERROR(__xludf.DUMMYFUNCTION("""COMPUTED_VALUE"""),"si")</f>
        <v>si</v>
      </c>
      <c r="F229" s="29"/>
      <c r="G229" s="29"/>
      <c r="H229" s="30" t="str">
        <f ca="1">IFERROR(__xludf.DUMMYFUNCTION("""COMPUTED_VALUE"""),"activo")</f>
        <v>activo</v>
      </c>
      <c r="I229" s="29"/>
      <c r="J229" s="29"/>
      <c r="K229" s="29"/>
      <c r="L229" s="30" t="str">
        <f ca="1">IFERROR(__xludf.DUMMYFUNCTION("""COMPUTED_VALUE"""),"No")</f>
        <v>No</v>
      </c>
      <c r="M229" s="30" t="str">
        <f ca="1">IFERROR(__xludf.DUMMYFUNCTION("""COMPUTED_VALUE"""),"6760010004")</f>
        <v>6760010004</v>
      </c>
      <c r="N229" s="30" t="str">
        <f ca="1">IFERROR(__xludf.DUMMYFUNCTION("""COMPUTED_VALUE"""),"SAN MIGUEL")</f>
        <v>SAN MIGUEL</v>
      </c>
      <c r="O229" s="30" t="str">
        <f ca="1">IFERROR(__xludf.DUMMYFUNCTION("""COMPUTED_VALUE"""),"6760")</f>
        <v>6760</v>
      </c>
      <c r="P229" s="30" t="str">
        <f ca="1">IFERROR(__xludf.DUMMYFUNCTION("""COMPUTED_VALUE"""),"SAN MIGUEL")</f>
        <v>SAN MIGUEL</v>
      </c>
      <c r="Q229" s="30" t="str">
        <f ca="1">IFERROR(__xludf.DUMMYFUNCTION("""COMPUTED_VALUE"""),"-34.562727")</f>
        <v>-34.562727</v>
      </c>
      <c r="R229" s="30" t="str">
        <f ca="1">IFERROR(__xludf.DUMMYFUNCTION("""COMPUTED_VALUE"""),"-58.766946")</f>
        <v>-58.766946</v>
      </c>
      <c r="S229" s="30" t="str">
        <f ca="1">IFERROR(__xludf.DUMMYFUNCTION("""COMPUTED_VALUE"""),"Municipal")</f>
        <v>Municipal</v>
      </c>
      <c r="T229" s="30" t="str">
        <f ca="1">IFERROR(__xludf.DUMMYFUNCTION("""COMPUTED_VALUE"""),"SAN MIGUEL")</f>
        <v>SAN MIGUEL</v>
      </c>
    </row>
    <row r="230" spans="1:20" ht="15.75" customHeight="1" x14ac:dyDescent="0.25">
      <c r="A230" s="30" t="str">
        <f ca="1">IFERROR(__xludf.DUMMYFUNCTION("""COMPUTED_VALUE"""),"50067602201613")</f>
        <v>50067602201613</v>
      </c>
      <c r="B230" s="30" t="str">
        <f ca="1">IFERROR(__xludf.DUMMYFUNCTION("""COMPUTED_VALUE"""),"DR. LUIS DOMINGO SUAREZ PARIS")</f>
        <v>DR. LUIS DOMINGO SUAREZ PARIS</v>
      </c>
      <c r="C230" s="30" t="str">
        <f ca="1">IFERROR(__xludf.DUMMYFUNCTION("""COMPUTED_VALUE"""),"Buenos Aires")</f>
        <v>Buenos Aires</v>
      </c>
      <c r="D230" s="30" t="str">
        <f ca="1">IFERROR(__xludf.DUMMYFUNCTION("""COMPUTED_VALUE"""),"6")</f>
        <v>6</v>
      </c>
      <c r="E230" s="30" t="str">
        <f ca="1">IFERROR(__xludf.DUMMYFUNCTION("""COMPUTED_VALUE"""),"si")</f>
        <v>si</v>
      </c>
      <c r="F230" s="29"/>
      <c r="G230" s="29"/>
      <c r="H230" s="30" t="str">
        <f ca="1">IFERROR(__xludf.DUMMYFUNCTION("""COMPUTED_VALUE"""),"activo")</f>
        <v>activo</v>
      </c>
      <c r="I230" s="29"/>
      <c r="J230" s="29"/>
      <c r="K230" s="29"/>
      <c r="L230" s="30" t="str">
        <f ca="1">IFERROR(__xludf.DUMMYFUNCTION("""COMPUTED_VALUE"""),"No")</f>
        <v>No</v>
      </c>
      <c r="M230" s="30" t="str">
        <f ca="1">IFERROR(__xludf.DUMMYFUNCTION("""COMPUTED_VALUE"""),"6760010004")</f>
        <v>6760010004</v>
      </c>
      <c r="N230" s="30" t="str">
        <f ca="1">IFERROR(__xludf.DUMMYFUNCTION("""COMPUTED_VALUE"""),"SAN MIGUEL")</f>
        <v>SAN MIGUEL</v>
      </c>
      <c r="O230" s="30" t="str">
        <f ca="1">IFERROR(__xludf.DUMMYFUNCTION("""COMPUTED_VALUE"""),"6760")</f>
        <v>6760</v>
      </c>
      <c r="P230" s="30" t="str">
        <f ca="1">IFERROR(__xludf.DUMMYFUNCTION("""COMPUTED_VALUE"""),"SAN MIGUEL")</f>
        <v>SAN MIGUEL</v>
      </c>
      <c r="Q230" s="30" t="str">
        <f ca="1">IFERROR(__xludf.DUMMYFUNCTION("""COMPUTED_VALUE"""),"-34.54742839")</f>
        <v>-34.54742839</v>
      </c>
      <c r="R230" s="30" t="str">
        <f ca="1">IFERROR(__xludf.DUMMYFUNCTION("""COMPUTED_VALUE"""),"-58.74363899")</f>
        <v>-58.74363899</v>
      </c>
      <c r="S230" s="30" t="str">
        <f ca="1">IFERROR(__xludf.DUMMYFUNCTION("""COMPUTED_VALUE"""),"Municipal")</f>
        <v>Municipal</v>
      </c>
      <c r="T230" s="30" t="str">
        <f ca="1">IFERROR(__xludf.DUMMYFUNCTION("""COMPUTED_VALUE"""),"SAN MIGUEL")</f>
        <v>SAN MIGUEL</v>
      </c>
    </row>
    <row r="231" spans="1:20" ht="15.75" customHeight="1" x14ac:dyDescent="0.25">
      <c r="A231" s="30" t="str">
        <f ca="1">IFERROR(__xludf.DUMMYFUNCTION("""COMPUTED_VALUE"""),"50067602201211")</f>
        <v>50067602201211</v>
      </c>
      <c r="B231" s="30" t="str">
        <f ca="1">IFERROR(__xludf.DUMMYFUNCTION("""COMPUTED_VALUE"""),"CENTRO DE SALUD CANDIDO CASTELO")</f>
        <v>CENTRO DE SALUD CANDIDO CASTELO</v>
      </c>
      <c r="C231" s="30" t="str">
        <f ca="1">IFERROR(__xludf.DUMMYFUNCTION("""COMPUTED_VALUE"""),"Buenos Aires")</f>
        <v>Buenos Aires</v>
      </c>
      <c r="D231" s="30" t="str">
        <f ca="1">IFERROR(__xludf.DUMMYFUNCTION("""COMPUTED_VALUE"""),"6")</f>
        <v>6</v>
      </c>
      <c r="E231" s="30" t="str">
        <f ca="1">IFERROR(__xludf.DUMMYFUNCTION("""COMPUTED_VALUE"""),"si")</f>
        <v>si</v>
      </c>
      <c r="F231" s="29"/>
      <c r="G231" s="29"/>
      <c r="H231" s="30" t="str">
        <f ca="1">IFERROR(__xludf.DUMMYFUNCTION("""COMPUTED_VALUE"""),"activo")</f>
        <v>activo</v>
      </c>
      <c r="I231" s="29"/>
      <c r="J231" s="29"/>
      <c r="K231" s="29"/>
      <c r="L231" s="30" t="str">
        <f ca="1">IFERROR(__xludf.DUMMYFUNCTION("""COMPUTED_VALUE"""),"No")</f>
        <v>No</v>
      </c>
      <c r="M231" s="30" t="str">
        <f ca="1">IFERROR(__xludf.DUMMYFUNCTION("""COMPUTED_VALUE"""),"6760010004")</f>
        <v>6760010004</v>
      </c>
      <c r="N231" s="30" t="str">
        <f ca="1">IFERROR(__xludf.DUMMYFUNCTION("""COMPUTED_VALUE"""),"SAN MIGUEL")</f>
        <v>SAN MIGUEL</v>
      </c>
      <c r="O231" s="30" t="str">
        <f ca="1">IFERROR(__xludf.DUMMYFUNCTION("""COMPUTED_VALUE"""),"6760")</f>
        <v>6760</v>
      </c>
      <c r="P231" s="30" t="str">
        <f ca="1">IFERROR(__xludf.DUMMYFUNCTION("""COMPUTED_VALUE"""),"SAN MIGUEL")</f>
        <v>SAN MIGUEL</v>
      </c>
      <c r="Q231" s="30" t="str">
        <f ca="1">IFERROR(__xludf.DUMMYFUNCTION("""COMPUTED_VALUE"""),"-34.57361679")</f>
        <v>-34.57361679</v>
      </c>
      <c r="R231" s="30" t="str">
        <f ca="1">IFERROR(__xludf.DUMMYFUNCTION("""COMPUTED_VALUE"""),"-58.72158051")</f>
        <v>-58.72158051</v>
      </c>
      <c r="S231" s="30" t="str">
        <f ca="1">IFERROR(__xludf.DUMMYFUNCTION("""COMPUTED_VALUE"""),"Municipal")</f>
        <v>Municipal</v>
      </c>
      <c r="T231" s="30" t="str">
        <f ca="1">IFERROR(__xludf.DUMMYFUNCTION("""COMPUTED_VALUE"""),"SAN MIGUEL")</f>
        <v>SAN MIGUEL</v>
      </c>
    </row>
    <row r="232" spans="1:20" ht="15.75" customHeight="1" x14ac:dyDescent="0.25">
      <c r="A232" s="30" t="str">
        <f ca="1">IFERROR(__xludf.DUMMYFUNCTION("""COMPUTED_VALUE"""),"50067602202139")</f>
        <v>50067602202139</v>
      </c>
      <c r="B232" s="30" t="str">
        <f ca="1">IFERROR(__xludf.DUMMYFUNCTION("""COMPUTED_VALUE"""),"UNIDAD SANITARIA BARRIO TRUJUY")</f>
        <v>UNIDAD SANITARIA BARRIO TRUJUY</v>
      </c>
      <c r="C232" s="30" t="str">
        <f ca="1">IFERROR(__xludf.DUMMYFUNCTION("""COMPUTED_VALUE"""),"Buenos Aires")</f>
        <v>Buenos Aires</v>
      </c>
      <c r="D232" s="30" t="str">
        <f ca="1">IFERROR(__xludf.DUMMYFUNCTION("""COMPUTED_VALUE"""),"6")</f>
        <v>6</v>
      </c>
      <c r="E232" s="30" t="str">
        <f ca="1">IFERROR(__xludf.DUMMYFUNCTION("""COMPUTED_VALUE"""),"")</f>
        <v/>
      </c>
      <c r="F232" s="29"/>
      <c r="G232" s="29"/>
      <c r="H232" s="30" t="str">
        <f ca="1">IFERROR(__xludf.DUMMYFUNCTION("""COMPUTED_VALUE"""),"activo")</f>
        <v>activo</v>
      </c>
      <c r="I232" s="29"/>
      <c r="J232" s="29"/>
      <c r="K232" s="29"/>
      <c r="L232" s="30" t="str">
        <f ca="1">IFERROR(__xludf.DUMMYFUNCTION("""COMPUTED_VALUE"""),"No")</f>
        <v>No</v>
      </c>
      <c r="M232" s="30" t="str">
        <f ca="1">IFERROR(__xludf.DUMMYFUNCTION("""COMPUTED_VALUE"""),"6760010004")</f>
        <v>6760010004</v>
      </c>
      <c r="N232" s="30" t="str">
        <f ca="1">IFERROR(__xludf.DUMMYFUNCTION("""COMPUTED_VALUE"""),"SAN MIGUEL")</f>
        <v>SAN MIGUEL</v>
      </c>
      <c r="O232" s="30" t="str">
        <f ca="1">IFERROR(__xludf.DUMMYFUNCTION("""COMPUTED_VALUE"""),"6760")</f>
        <v>6760</v>
      </c>
      <c r="P232" s="30" t="str">
        <f ca="1">IFERROR(__xludf.DUMMYFUNCTION("""COMPUTED_VALUE"""),"SAN MIGUEL")</f>
        <v>SAN MIGUEL</v>
      </c>
      <c r="Q232" s="30" t="str">
        <f ca="1">IFERROR(__xludf.DUMMYFUNCTION("""COMPUTED_VALUE"""),"-34.583129")</f>
        <v>-34.583129</v>
      </c>
      <c r="R232" s="30" t="str">
        <f ca="1">IFERROR(__xludf.DUMMYFUNCTION("""COMPUTED_VALUE"""),"-58.732403")</f>
        <v>-58.732403</v>
      </c>
      <c r="S232" s="30" t="str">
        <f ca="1">IFERROR(__xludf.DUMMYFUNCTION("""COMPUTED_VALUE"""),"Municipal")</f>
        <v>Municipal</v>
      </c>
      <c r="T232" s="30" t="str">
        <f ca="1">IFERROR(__xludf.DUMMYFUNCTION("""COMPUTED_VALUE"""),"SAN MIGUEL")</f>
        <v>SAN MIGUEL</v>
      </c>
    </row>
    <row r="233" spans="1:20" ht="15.75" customHeight="1" x14ac:dyDescent="0.25">
      <c r="A233" s="30" t="str">
        <f ca="1">IFERROR(__xludf.DUMMYFUNCTION("""COMPUTED_VALUE"""),"50067632201180")</f>
        <v>50067632201180</v>
      </c>
      <c r="B233" s="30" t="str">
        <f ca="1">IFERROR(__xludf.DUMMYFUNCTION("""COMPUTED_VALUE"""),"CENTRO DE MEDICINA PREVENTIVA DR. FERREYRA")</f>
        <v>CENTRO DE MEDICINA PREVENTIVA DR. FERREYRA</v>
      </c>
      <c r="C233" s="30" t="str">
        <f ca="1">IFERROR(__xludf.DUMMYFUNCTION("""COMPUTED_VALUE"""),"Buenos Aires")</f>
        <v>Buenos Aires</v>
      </c>
      <c r="D233" s="30" t="str">
        <f ca="1">IFERROR(__xludf.DUMMYFUNCTION("""COMPUTED_VALUE"""),"6")</f>
        <v>6</v>
      </c>
      <c r="E233" s="30" t="str">
        <f ca="1">IFERROR(__xludf.DUMMYFUNCTION("""COMPUTED_VALUE"""),"")</f>
        <v/>
      </c>
      <c r="F233" s="29"/>
      <c r="G233" s="29"/>
      <c r="H233" s="30" t="str">
        <f ca="1">IFERROR(__xludf.DUMMYFUNCTION("""COMPUTED_VALUE"""),"activo")</f>
        <v>activo</v>
      </c>
      <c r="I233" s="29"/>
      <c r="J233" s="29"/>
      <c r="K233" s="29"/>
      <c r="L233" s="30" t="str">
        <f ca="1">IFERROR(__xludf.DUMMYFUNCTION("""COMPUTED_VALUE"""),"No")</f>
        <v>No</v>
      </c>
      <c r="M233" s="30" t="str">
        <f ca="1">IFERROR(__xludf.DUMMYFUNCTION("""COMPUTED_VALUE"""),"6763050002")</f>
        <v>6763050002</v>
      </c>
      <c r="N233" s="30" t="str">
        <f ca="1">IFERROR(__xludf.DUMMYFUNCTION("""COMPUTED_VALUE"""),"SAN NICOLAS DE LOS ARROYOS")</f>
        <v>SAN NICOLAS DE LOS ARROYOS</v>
      </c>
      <c r="O233" s="30" t="str">
        <f ca="1">IFERROR(__xludf.DUMMYFUNCTION("""COMPUTED_VALUE"""),"6763")</f>
        <v>6763</v>
      </c>
      <c r="P233" s="30" t="str">
        <f ca="1">IFERROR(__xludf.DUMMYFUNCTION("""COMPUTED_VALUE"""),"SAN NICOLÁS")</f>
        <v>SAN NICOLÁS</v>
      </c>
      <c r="Q233" s="30" t="str">
        <f ca="1">IFERROR(__xludf.DUMMYFUNCTION("""COMPUTED_VALUE"""),"-33.3300667")</f>
        <v>-33.3300667</v>
      </c>
      <c r="R233" s="30" t="str">
        <f ca="1">IFERROR(__xludf.DUMMYFUNCTION("""COMPUTED_VALUE"""),"-60.2147074")</f>
        <v>-60.2147074</v>
      </c>
      <c r="S233" s="30" t="str">
        <f ca="1">IFERROR(__xludf.DUMMYFUNCTION("""COMPUTED_VALUE"""),"Municipal")</f>
        <v>Municipal</v>
      </c>
      <c r="T233" s="30" t="str">
        <f ca="1">IFERROR(__xludf.DUMMYFUNCTION("""COMPUTED_VALUE"""),"SAN NICOLÁS")</f>
        <v>SAN NICOLÁS</v>
      </c>
    </row>
    <row r="234" spans="1:20" ht="15.75" customHeight="1" x14ac:dyDescent="0.25">
      <c r="A234" s="30" t="str">
        <f ca="1">IFERROR(__xludf.DUMMYFUNCTION("""COMPUTED_VALUE"""),"50067632201469")</f>
        <v>50067632201469</v>
      </c>
      <c r="B234" s="30" t="str">
        <f ca="1">IFERROR(__xludf.DUMMYFUNCTION("""COMPUTED_VALUE"""),"#N/A")</f>
        <v>#N/A</v>
      </c>
      <c r="C234" s="30" t="str">
        <f ca="1">IFERROR(__xludf.DUMMYFUNCTION("""COMPUTED_VALUE"""),"#N/A")</f>
        <v>#N/A</v>
      </c>
      <c r="D234" s="30" t="str">
        <f ca="1">IFERROR(__xludf.DUMMYFUNCTION("""COMPUTED_VALUE"""),"#N/A")</f>
        <v>#N/A</v>
      </c>
      <c r="E234" s="30" t="str">
        <f ca="1">IFERROR(__xludf.DUMMYFUNCTION("""COMPUTED_VALUE"""),"")</f>
        <v/>
      </c>
      <c r="F234" s="29"/>
      <c r="G234" s="30" t="str">
        <f ca="1">IFERROR(__xludf.DUMMYFUNCTION("""COMPUTED_VALUE"""),"50068402202461")</f>
        <v>50068402202461</v>
      </c>
      <c r="H234" s="30" t="str">
        <f ca="1">IFERROR(__xludf.DUMMYFUNCTION("""COMPUTED_VALUE"""),"inactivo")</f>
        <v>inactivo</v>
      </c>
      <c r="I234" s="29"/>
      <c r="J234" s="29"/>
      <c r="K234" s="29"/>
      <c r="L234" s="30" t="str">
        <f ca="1">IFERROR(__xludf.DUMMYFUNCTION("""COMPUTED_VALUE"""),"No")</f>
        <v>No</v>
      </c>
      <c r="M234" s="30" t="str">
        <f ca="1">IFERROR(__xludf.DUMMYFUNCTION("""COMPUTED_VALUE"""),"#N/A")</f>
        <v>#N/A</v>
      </c>
      <c r="N234" s="30" t="str">
        <f ca="1">IFERROR(__xludf.DUMMYFUNCTION("""COMPUTED_VALUE"""),"#N/A")</f>
        <v>#N/A</v>
      </c>
      <c r="O234" s="30" t="str">
        <f ca="1">IFERROR(__xludf.DUMMYFUNCTION("""COMPUTED_VALUE"""),"#N/A")</f>
        <v>#N/A</v>
      </c>
      <c r="P234" s="30" t="str">
        <f ca="1">IFERROR(__xludf.DUMMYFUNCTION("""COMPUTED_VALUE"""),"#N/A")</f>
        <v>#N/A</v>
      </c>
      <c r="Q234" s="30" t="str">
        <f ca="1">IFERROR(__xludf.DUMMYFUNCTION("""COMPUTED_VALUE"""),"#N/A")</f>
        <v>#N/A</v>
      </c>
      <c r="R234" s="30" t="str">
        <f ca="1">IFERROR(__xludf.DUMMYFUNCTION("""COMPUTED_VALUE"""),"#N/A")</f>
        <v>#N/A</v>
      </c>
      <c r="S234" s="30" t="str">
        <f ca="1">IFERROR(__xludf.DUMMYFUNCTION("""COMPUTED_VALUE"""),"#N/A")</f>
        <v>#N/A</v>
      </c>
      <c r="T234" s="30" t="str">
        <f ca="1">IFERROR(__xludf.DUMMYFUNCTION("""COMPUTED_VALUE"""),"#N/A")</f>
        <v>#N/A</v>
      </c>
    </row>
    <row r="235" spans="1:20" ht="15.75" customHeight="1" x14ac:dyDescent="0.25">
      <c r="A235" s="30" t="str">
        <f ca="1">IFERROR(__xludf.DUMMYFUNCTION("""COMPUTED_VALUE"""),"50068402202461")</f>
        <v>50068402202461</v>
      </c>
      <c r="B235" s="30" t="str">
        <f ca="1">IFERROR(__xludf.DUMMYFUNCTION("""COMPUTED_VALUE"""),"UNIDAD SANITARIA N° 1 DE CIUDADELA")</f>
        <v>UNIDAD SANITARIA N° 1 DE CIUDADELA</v>
      </c>
      <c r="C235" s="30" t="str">
        <f ca="1">IFERROR(__xludf.DUMMYFUNCTION("""COMPUTED_VALUE"""),"Buenos Aires")</f>
        <v>Buenos Aires</v>
      </c>
      <c r="D235" s="30" t="str">
        <f ca="1">IFERROR(__xludf.DUMMYFUNCTION("""COMPUTED_VALUE"""),"6")</f>
        <v>6</v>
      </c>
      <c r="E235" s="30" t="str">
        <f ca="1">IFERROR(__xludf.DUMMYFUNCTION("""COMPUTED_VALUE"""),"")</f>
        <v/>
      </c>
      <c r="F235" s="30" t="str">
        <f ca="1">IFERROR(__xludf.DUMMYFUNCTION("""COMPUTED_VALUE"""),"50067632201469")</f>
        <v>50067632201469</v>
      </c>
      <c r="G235" s="29"/>
      <c r="H235" s="30" t="str">
        <f ca="1">IFERROR(__xludf.DUMMYFUNCTION("""COMPUTED_VALUE"""),"activo")</f>
        <v>activo</v>
      </c>
      <c r="I235" s="29"/>
      <c r="J235" s="29"/>
      <c r="K235" s="29"/>
      <c r="L235" s="30" t="str">
        <f ca="1">IFERROR(__xludf.DUMMYFUNCTION("""COMPUTED_VALUE"""),"No")</f>
        <v>No</v>
      </c>
      <c r="M235" s="30" t="str">
        <f ca="1">IFERROR(__xludf.DUMMYFUNCTION("""COMPUTED_VALUE"""),"6840010004")</f>
        <v>6840010004</v>
      </c>
      <c r="N235" s="30" t="str">
        <f ca="1">IFERROR(__xludf.DUMMYFUNCTION("""COMPUTED_VALUE"""),"CIUDADELA")</f>
        <v>CIUDADELA</v>
      </c>
      <c r="O235" s="30" t="str">
        <f ca="1">IFERROR(__xludf.DUMMYFUNCTION("""COMPUTED_VALUE"""),"6840")</f>
        <v>6840</v>
      </c>
      <c r="P235" s="30" t="str">
        <f ca="1">IFERROR(__xludf.DUMMYFUNCTION("""COMPUTED_VALUE"""),"TRES DE FEBRERO")</f>
        <v>TRES DE FEBRERO</v>
      </c>
      <c r="Q235" s="30" t="str">
        <f ca="1">IFERROR(__xludf.DUMMYFUNCTION("""COMPUTED_VALUE"""),"-34.6378488")</f>
        <v>-34.6378488</v>
      </c>
      <c r="R235" s="30" t="str">
        <f ca="1">IFERROR(__xludf.DUMMYFUNCTION("""COMPUTED_VALUE"""),"-58.535984")</f>
        <v>-58.535984</v>
      </c>
      <c r="S235" s="30" t="str">
        <f ca="1">IFERROR(__xludf.DUMMYFUNCTION("""COMPUTED_VALUE"""),"Municipal")</f>
        <v>Municipal</v>
      </c>
      <c r="T235" s="30" t="str">
        <f ca="1">IFERROR(__xludf.DUMMYFUNCTION("""COMPUTED_VALUE"""),"TRES DE FEBRERO")</f>
        <v>TRES DE FEBRERO</v>
      </c>
    </row>
    <row r="236" spans="1:20" ht="15.75" customHeight="1" x14ac:dyDescent="0.25">
      <c r="A236" s="30" t="str">
        <f ca="1">IFERROR(__xludf.DUMMYFUNCTION("""COMPUTED_VALUE"""),"50068052206758")</f>
        <v>50068052206758</v>
      </c>
      <c r="B236" s="30" t="str">
        <f ca="1">IFERROR(__xludf.DUMMYFUNCTION("""COMPUTED_VALUE"""),"CAPS TRONCOS DEL TALAR")</f>
        <v>CAPS TRONCOS DEL TALAR</v>
      </c>
      <c r="C236" s="30" t="str">
        <f ca="1">IFERROR(__xludf.DUMMYFUNCTION("""COMPUTED_VALUE"""),"Buenos Aires")</f>
        <v>Buenos Aires</v>
      </c>
      <c r="D236" s="30" t="str">
        <f ca="1">IFERROR(__xludf.DUMMYFUNCTION("""COMPUTED_VALUE"""),"6")</f>
        <v>6</v>
      </c>
      <c r="E236" s="30" t="str">
        <f ca="1">IFERROR(__xludf.DUMMYFUNCTION("""COMPUTED_VALUE"""),"")</f>
        <v/>
      </c>
      <c r="F236" s="29"/>
      <c r="G236" s="29"/>
      <c r="H236" s="30" t="str">
        <f ca="1">IFERROR(__xludf.DUMMYFUNCTION("""COMPUTED_VALUE"""),"activo")</f>
        <v>activo</v>
      </c>
      <c r="I236" s="29"/>
      <c r="J236" s="29"/>
      <c r="K236" s="29"/>
      <c r="L236" s="30" t="str">
        <f ca="1">IFERROR(__xludf.DUMMYFUNCTION("""COMPUTED_VALUE"""),"No")</f>
        <v>No</v>
      </c>
      <c r="M236" s="30" t="str">
        <f ca="1">IFERROR(__xludf.DUMMYFUNCTION("""COMPUTED_VALUE"""),"6805010007")</f>
        <v>6805010007</v>
      </c>
      <c r="N236" s="30" t="str">
        <f ca="1">IFERROR(__xludf.DUMMYFUNCTION("""COMPUTED_VALUE"""),"LOS TRONCOS DEL TALAR")</f>
        <v>LOS TRONCOS DEL TALAR</v>
      </c>
      <c r="O236" s="30" t="str">
        <f ca="1">IFERROR(__xludf.DUMMYFUNCTION("""COMPUTED_VALUE"""),"6805")</f>
        <v>6805</v>
      </c>
      <c r="P236" s="30" t="str">
        <f ca="1">IFERROR(__xludf.DUMMYFUNCTION("""COMPUTED_VALUE"""),"TIGRE")</f>
        <v>TIGRE</v>
      </c>
      <c r="Q236" s="30" t="str">
        <f ca="1">IFERROR(__xludf.DUMMYFUNCTION("""COMPUTED_VALUE"""),"-34.459556")</f>
        <v>-34.459556</v>
      </c>
      <c r="R236" s="30" t="str">
        <f ca="1">IFERROR(__xludf.DUMMYFUNCTION("""COMPUTED_VALUE"""),"-58.61552")</f>
        <v>-58.61552</v>
      </c>
      <c r="S236" s="30" t="str">
        <f ca="1">IFERROR(__xludf.DUMMYFUNCTION("""COMPUTED_VALUE"""),"Municipal")</f>
        <v>Municipal</v>
      </c>
      <c r="T236" s="30" t="str">
        <f ca="1">IFERROR(__xludf.DUMMYFUNCTION("""COMPUTED_VALUE"""),"TIGRE")</f>
        <v>TIGRE</v>
      </c>
    </row>
    <row r="237" spans="1:20" ht="15.75" customHeight="1" x14ac:dyDescent="0.25">
      <c r="A237" s="30" t="str">
        <f ca="1">IFERROR(__xludf.DUMMYFUNCTION("""COMPUTED_VALUE"""),"50068052201190")</f>
        <v>50068052201190</v>
      </c>
      <c r="B237" s="30" t="str">
        <f ca="1">IFERROR(__xludf.DUMMYFUNCTION("""COMPUTED_VALUE"""),"CENTRO DE SALUD ALMIRANTE BROWN")</f>
        <v>CENTRO DE SALUD ALMIRANTE BROWN</v>
      </c>
      <c r="C237" s="30" t="str">
        <f ca="1">IFERROR(__xludf.DUMMYFUNCTION("""COMPUTED_VALUE"""),"Buenos Aires")</f>
        <v>Buenos Aires</v>
      </c>
      <c r="D237" s="30" t="str">
        <f ca="1">IFERROR(__xludf.DUMMYFUNCTION("""COMPUTED_VALUE"""),"6")</f>
        <v>6</v>
      </c>
      <c r="E237" s="30" t="str">
        <f ca="1">IFERROR(__xludf.DUMMYFUNCTION("""COMPUTED_VALUE"""),"")</f>
        <v/>
      </c>
      <c r="F237" s="29"/>
      <c r="G237" s="29"/>
      <c r="H237" s="30" t="str">
        <f ca="1">IFERROR(__xludf.DUMMYFUNCTION("""COMPUTED_VALUE"""),"activo")</f>
        <v>activo</v>
      </c>
      <c r="I237" s="29"/>
      <c r="J237" s="29"/>
      <c r="K237" s="29"/>
      <c r="L237" s="30" t="str">
        <f ca="1">IFERROR(__xludf.DUMMYFUNCTION("""COMPUTED_VALUE"""),"No")</f>
        <v>No</v>
      </c>
      <c r="M237" s="30" t="str">
        <f ca="1">IFERROR(__xludf.DUMMYFUNCTION("""COMPUTED_VALUE"""),"6805010005")</f>
        <v>6805010005</v>
      </c>
      <c r="N237" s="30" t="str">
        <f ca="1">IFERROR(__xludf.DUMMYFUNCTION("""COMPUTED_VALUE"""),"EL TALAR")</f>
        <v>EL TALAR</v>
      </c>
      <c r="O237" s="30" t="str">
        <f ca="1">IFERROR(__xludf.DUMMYFUNCTION("""COMPUTED_VALUE"""),"6805")</f>
        <v>6805</v>
      </c>
      <c r="P237" s="30" t="str">
        <f ca="1">IFERROR(__xludf.DUMMYFUNCTION("""COMPUTED_VALUE"""),"TIGRE")</f>
        <v>TIGRE</v>
      </c>
      <c r="Q237" s="30" t="str">
        <f ca="1">IFERROR(__xludf.DUMMYFUNCTION("""COMPUTED_VALUE"""),"-34.48403499")</f>
        <v>-34.48403499</v>
      </c>
      <c r="R237" s="30" t="str">
        <f ca="1">IFERROR(__xludf.DUMMYFUNCTION("""COMPUTED_VALUE"""),"-58.66076946")</f>
        <v>-58.66076946</v>
      </c>
      <c r="S237" s="30" t="str">
        <f ca="1">IFERROR(__xludf.DUMMYFUNCTION("""COMPUTED_VALUE"""),"Municipal")</f>
        <v>Municipal</v>
      </c>
      <c r="T237" s="30" t="str">
        <f ca="1">IFERROR(__xludf.DUMMYFUNCTION("""COMPUTED_VALUE"""),"TIGRE")</f>
        <v>TIGRE</v>
      </c>
    </row>
    <row r="238" spans="1:20" ht="15.75" customHeight="1" x14ac:dyDescent="0.25">
      <c r="A238" s="30" t="str">
        <f ca="1">IFERROR(__xludf.DUMMYFUNCTION("""COMPUTED_VALUE"""),"50068052202068")</f>
        <v>50068052202068</v>
      </c>
      <c r="B238" s="30" t="str">
        <f ca="1">IFERROR(__xludf.DUMMYFUNCTION("""COMPUTED_VALUE"""),"CENTRO DE SALUD BAIRES")</f>
        <v>CENTRO DE SALUD BAIRES</v>
      </c>
      <c r="C238" s="30" t="str">
        <f ca="1">IFERROR(__xludf.DUMMYFUNCTION("""COMPUTED_VALUE"""),"Buenos Aires")</f>
        <v>Buenos Aires</v>
      </c>
      <c r="D238" s="30" t="str">
        <f ca="1">IFERROR(__xludf.DUMMYFUNCTION("""COMPUTED_VALUE"""),"6")</f>
        <v>6</v>
      </c>
      <c r="E238" s="30" t="str">
        <f ca="1">IFERROR(__xludf.DUMMYFUNCTION("""COMPUTED_VALUE"""),"")</f>
        <v/>
      </c>
      <c r="F238" s="29"/>
      <c r="G238" s="29"/>
      <c r="H238" s="30" t="str">
        <f ca="1">IFERROR(__xludf.DUMMYFUNCTION("""COMPUTED_VALUE"""),"activo")</f>
        <v>activo</v>
      </c>
      <c r="I238" s="29"/>
      <c r="J238" s="29"/>
      <c r="K238" s="29"/>
      <c r="L238" s="30" t="str">
        <f ca="1">IFERROR(__xludf.DUMMYFUNCTION("""COMPUTED_VALUE"""),"No")</f>
        <v>No</v>
      </c>
      <c r="M238" s="30" t="str">
        <f ca="1">IFERROR(__xludf.DUMMYFUNCTION("""COMPUTED_VALUE"""),"6805010003")</f>
        <v>6805010003</v>
      </c>
      <c r="N238" s="30" t="str">
        <f ca="1">IFERROR(__xludf.DUMMYFUNCTION("""COMPUTED_VALUE"""),"DON TORCUATO ESTE")</f>
        <v>DON TORCUATO ESTE</v>
      </c>
      <c r="O238" s="30" t="str">
        <f ca="1">IFERROR(__xludf.DUMMYFUNCTION("""COMPUTED_VALUE"""),"6805")</f>
        <v>6805</v>
      </c>
      <c r="P238" s="30" t="str">
        <f ca="1">IFERROR(__xludf.DUMMYFUNCTION("""COMPUTED_VALUE"""),"TIGRE")</f>
        <v>TIGRE</v>
      </c>
      <c r="Q238" s="30" t="str">
        <f ca="1">IFERROR(__xludf.DUMMYFUNCTION("""COMPUTED_VALUE"""),"-34.47818806")</f>
        <v>-34.47818806</v>
      </c>
      <c r="R238" s="30" t="str">
        <f ca="1">IFERROR(__xludf.DUMMYFUNCTION("""COMPUTED_VALUE"""),"-58.61435384")</f>
        <v>-58.61435384</v>
      </c>
      <c r="S238" s="30" t="str">
        <f ca="1">IFERROR(__xludf.DUMMYFUNCTION("""COMPUTED_VALUE"""),"Municipal")</f>
        <v>Municipal</v>
      </c>
      <c r="T238" s="30" t="str">
        <f ca="1">IFERROR(__xludf.DUMMYFUNCTION("""COMPUTED_VALUE"""),"TIGRE")</f>
        <v>TIGRE</v>
      </c>
    </row>
    <row r="239" spans="1:20" ht="15.75" customHeight="1" x14ac:dyDescent="0.25">
      <c r="A239" s="30" t="str">
        <f ca="1">IFERROR(__xludf.DUMMYFUNCTION("""COMPUTED_VALUE"""),"50068052201257")</f>
        <v>50068052201257</v>
      </c>
      <c r="B239" s="30" t="str">
        <f ca="1">IFERROR(__xludf.DUMMYFUNCTION("""COMPUTED_VALUE"""),"CENTRO DE SALUD LAS TUNAS Y A. DEL TALAR")</f>
        <v>CENTRO DE SALUD LAS TUNAS Y A. DEL TALAR</v>
      </c>
      <c r="C239" s="30" t="str">
        <f ca="1">IFERROR(__xludf.DUMMYFUNCTION("""COMPUTED_VALUE"""),"Buenos Aires")</f>
        <v>Buenos Aires</v>
      </c>
      <c r="D239" s="30" t="str">
        <f ca="1">IFERROR(__xludf.DUMMYFUNCTION("""COMPUTED_VALUE"""),"6")</f>
        <v>6</v>
      </c>
      <c r="E239" s="30" t="str">
        <f ca="1">IFERROR(__xludf.DUMMYFUNCTION("""COMPUTED_VALUE"""),"")</f>
        <v/>
      </c>
      <c r="F239" s="29"/>
      <c r="G239" s="29"/>
      <c r="H239" s="30" t="str">
        <f ca="1">IFERROR(__xludf.DUMMYFUNCTION("""COMPUTED_VALUE"""),"activo")</f>
        <v>activo</v>
      </c>
      <c r="I239" s="29"/>
      <c r="J239" s="29"/>
      <c r="K239" s="29"/>
      <c r="L239" s="30" t="str">
        <f ca="1">IFERROR(__xludf.DUMMYFUNCTION("""COMPUTED_VALUE"""),"No")</f>
        <v>No</v>
      </c>
      <c r="M239" s="30" t="str">
        <f ca="1">IFERROR(__xludf.DUMMYFUNCTION("""COMPUTED_VALUE"""),"6805010006")</f>
        <v>6805010006</v>
      </c>
      <c r="N239" s="30" t="str">
        <f ca="1">IFERROR(__xludf.DUMMYFUNCTION("""COMPUTED_VALUE"""),"GENERAL PACHECO")</f>
        <v>GENERAL PACHECO</v>
      </c>
      <c r="O239" s="30" t="str">
        <f ca="1">IFERROR(__xludf.DUMMYFUNCTION("""COMPUTED_VALUE"""),"6805")</f>
        <v>6805</v>
      </c>
      <c r="P239" s="30" t="str">
        <f ca="1">IFERROR(__xludf.DUMMYFUNCTION("""COMPUTED_VALUE"""),"TIGRE")</f>
        <v>TIGRE</v>
      </c>
      <c r="Q239" s="30" t="str">
        <f ca="1">IFERROR(__xludf.DUMMYFUNCTION("""COMPUTED_VALUE"""),"-34.43987602")</f>
        <v>-34.43987602</v>
      </c>
      <c r="R239" s="30" t="str">
        <f ca="1">IFERROR(__xludf.DUMMYFUNCTION("""COMPUTED_VALUE"""),"-58.66418123")</f>
        <v>-58.66418123</v>
      </c>
      <c r="S239" s="30" t="str">
        <f ca="1">IFERROR(__xludf.DUMMYFUNCTION("""COMPUTED_VALUE"""),"Municipal")</f>
        <v>Municipal</v>
      </c>
      <c r="T239" s="30" t="str">
        <f ca="1">IFERROR(__xludf.DUMMYFUNCTION("""COMPUTED_VALUE"""),"TIGRE")</f>
        <v>TIGRE</v>
      </c>
    </row>
    <row r="240" spans="1:20" ht="15.75" customHeight="1" x14ac:dyDescent="0.25">
      <c r="A240" s="30" t="str">
        <f ca="1">IFERROR(__xludf.DUMMYFUNCTION("""COMPUTED_VALUE"""),"50068612201999")</f>
        <v>50068612201999</v>
      </c>
      <c r="B240" s="30" t="str">
        <f ca="1">IFERROR(__xludf.DUMMYFUNCTION("""COMPUTED_VALUE"""),"UNIDAD DE ATENCION PRIMARIA DR. B. AGUIRRE")</f>
        <v>UNIDAD DE ATENCION PRIMARIA DR. B. AGUIRRE</v>
      </c>
      <c r="C240" s="30" t="str">
        <f ca="1">IFERROR(__xludf.DUMMYFUNCTION("""COMPUTED_VALUE"""),"Buenos Aires")</f>
        <v>Buenos Aires</v>
      </c>
      <c r="D240" s="30" t="str">
        <f ca="1">IFERROR(__xludf.DUMMYFUNCTION("""COMPUTED_VALUE"""),"6")</f>
        <v>6</v>
      </c>
      <c r="E240" s="30" t="str">
        <f ca="1">IFERROR(__xludf.DUMMYFUNCTION("""COMPUTED_VALUE"""),"")</f>
        <v/>
      </c>
      <c r="F240" s="29"/>
      <c r="G240" s="29"/>
      <c r="H240" s="30" t="str">
        <f ca="1">IFERROR(__xludf.DUMMYFUNCTION("""COMPUTED_VALUE"""),"activo")</f>
        <v>activo</v>
      </c>
      <c r="I240" s="29"/>
      <c r="J240" s="29"/>
      <c r="K240" s="29"/>
      <c r="L240" s="30" t="str">
        <f ca="1">IFERROR(__xludf.DUMMYFUNCTION("""COMPUTED_VALUE"""),"No")</f>
        <v>No</v>
      </c>
      <c r="M240" s="30" t="str">
        <f ca="1">IFERROR(__xludf.DUMMYFUNCTION("""COMPUTED_VALUE"""),"6861010005")</f>
        <v>6861010005</v>
      </c>
      <c r="N240" s="30" t="str">
        <f ca="1">IFERROR(__xludf.DUMMYFUNCTION("""COMPUTED_VALUE"""),"MUNRO")</f>
        <v>MUNRO</v>
      </c>
      <c r="O240" s="30" t="str">
        <f ca="1">IFERROR(__xludf.DUMMYFUNCTION("""COMPUTED_VALUE"""),"6861")</f>
        <v>6861</v>
      </c>
      <c r="P240" s="30" t="str">
        <f ca="1">IFERROR(__xludf.DUMMYFUNCTION("""COMPUTED_VALUE"""),"VICENTE LÓPEZ")</f>
        <v>VICENTE LÓPEZ</v>
      </c>
      <c r="Q240" s="30" t="str">
        <f ca="1">IFERROR(__xludf.DUMMYFUNCTION("""COMPUTED_VALUE"""),"-34.5311953")</f>
        <v>-34.5311953</v>
      </c>
      <c r="R240" s="30" t="str">
        <f ca="1">IFERROR(__xludf.DUMMYFUNCTION("""COMPUTED_VALUE"""),"-58.5242157")</f>
        <v>-58.5242157</v>
      </c>
      <c r="S240" s="30" t="str">
        <f ca="1">IFERROR(__xludf.DUMMYFUNCTION("""COMPUTED_VALUE"""),"Municipal")</f>
        <v>Municipal</v>
      </c>
      <c r="T240" s="30" t="str">
        <f ca="1">IFERROR(__xludf.DUMMYFUNCTION("""COMPUTED_VALUE"""),"VICENTE LÓPEZ")</f>
        <v>VICENTE LÓPEZ</v>
      </c>
    </row>
    <row r="241" spans="1:20" ht="15.75" customHeight="1" x14ac:dyDescent="0.25">
      <c r="A241" s="30" t="str">
        <f ca="1">IFERROR(__xludf.DUMMYFUNCTION("""COMPUTED_VALUE"""),"50068612202701")</f>
        <v>50068612202701</v>
      </c>
      <c r="B241" s="30" t="str">
        <f ca="1">IFERROR(__xludf.DUMMYFUNCTION("""COMPUTED_VALUE"""),"CENTRO DE ATENCION PRIMARIA DE LA SALUD UAP PADRE BARBERO")</f>
        <v>CENTRO DE ATENCION PRIMARIA DE LA SALUD UAP PADRE BARBERO</v>
      </c>
      <c r="C241" s="30" t="str">
        <f ca="1">IFERROR(__xludf.DUMMYFUNCTION("""COMPUTED_VALUE"""),"Buenos Aires")</f>
        <v>Buenos Aires</v>
      </c>
      <c r="D241" s="30" t="str">
        <f ca="1">IFERROR(__xludf.DUMMYFUNCTION("""COMPUTED_VALUE"""),"6")</f>
        <v>6</v>
      </c>
      <c r="E241" s="30" t="str">
        <f ca="1">IFERROR(__xludf.DUMMYFUNCTION("""COMPUTED_VALUE"""),"")</f>
        <v/>
      </c>
      <c r="F241" s="29"/>
      <c r="G241" s="29"/>
      <c r="H241" s="30" t="str">
        <f ca="1">IFERROR(__xludf.DUMMYFUNCTION("""COMPUTED_VALUE"""),"activo")</f>
        <v>activo</v>
      </c>
      <c r="I241" s="29"/>
      <c r="J241" s="29"/>
      <c r="K241" s="29"/>
      <c r="L241" s="30" t="str">
        <f ca="1">IFERROR(__xludf.DUMMYFUNCTION("""COMPUTED_VALUE"""),"No")</f>
        <v>No</v>
      </c>
      <c r="M241" s="30" t="str">
        <f ca="1">IFERROR(__xludf.DUMMYFUNCTION("""COMPUTED_VALUE"""),"6861010005")</f>
        <v>6861010005</v>
      </c>
      <c r="N241" s="30" t="str">
        <f ca="1">IFERROR(__xludf.DUMMYFUNCTION("""COMPUTED_VALUE"""),"MUNRO")</f>
        <v>MUNRO</v>
      </c>
      <c r="O241" s="30" t="str">
        <f ca="1">IFERROR(__xludf.DUMMYFUNCTION("""COMPUTED_VALUE"""),"6861")</f>
        <v>6861</v>
      </c>
      <c r="P241" s="30" t="str">
        <f ca="1">IFERROR(__xludf.DUMMYFUNCTION("""COMPUTED_VALUE"""),"VICENTE LÓPEZ")</f>
        <v>VICENTE LÓPEZ</v>
      </c>
      <c r="Q241" s="30" t="str">
        <f ca="1">IFERROR(__xludf.DUMMYFUNCTION("""COMPUTED_VALUE"""),"-34.5265268")</f>
        <v>-34.5265268</v>
      </c>
      <c r="R241" s="30" t="str">
        <f ca="1">IFERROR(__xludf.DUMMYFUNCTION("""COMPUTED_VALUE"""),"-58.5304542")</f>
        <v>-58.5304542</v>
      </c>
      <c r="S241" s="30" t="str">
        <f ca="1">IFERROR(__xludf.DUMMYFUNCTION("""COMPUTED_VALUE"""),"Municipal")</f>
        <v>Municipal</v>
      </c>
      <c r="T241" s="30" t="str">
        <f ca="1">IFERROR(__xludf.DUMMYFUNCTION("""COMPUTED_VALUE"""),"VICENTE LÓPEZ")</f>
        <v>VICENTE LÓPEZ</v>
      </c>
    </row>
    <row r="242" spans="1:20" ht="15.75" customHeight="1" x14ac:dyDescent="0.25">
      <c r="A242" s="30" t="str">
        <f ca="1">IFERROR(__xludf.DUMMYFUNCTION("""COMPUTED_VALUE"""),"50068612201998")</f>
        <v>50068612201998</v>
      </c>
      <c r="B242" s="30" t="str">
        <f ca="1">IFERROR(__xludf.DUMMYFUNCTION("""COMPUTED_VALUE"""),"CENTRO DE ATENCION PRIMARIA DE LA SALUD UAP RAVAZZOLI")</f>
        <v>CENTRO DE ATENCION PRIMARIA DE LA SALUD UAP RAVAZZOLI</v>
      </c>
      <c r="C242" s="30" t="str">
        <f ca="1">IFERROR(__xludf.DUMMYFUNCTION("""COMPUTED_VALUE"""),"Buenos Aires")</f>
        <v>Buenos Aires</v>
      </c>
      <c r="D242" s="30" t="str">
        <f ca="1">IFERROR(__xludf.DUMMYFUNCTION("""COMPUTED_VALUE"""),"6")</f>
        <v>6</v>
      </c>
      <c r="E242" s="30" t="str">
        <f ca="1">IFERROR(__xludf.DUMMYFUNCTION("""COMPUTED_VALUE"""),"")</f>
        <v/>
      </c>
      <c r="F242" s="29"/>
      <c r="G242" s="29"/>
      <c r="H242" s="30" t="str">
        <f ca="1">IFERROR(__xludf.DUMMYFUNCTION("""COMPUTED_VALUE"""),"activo")</f>
        <v>activo</v>
      </c>
      <c r="I242" s="29"/>
      <c r="J242" s="29"/>
      <c r="K242" s="29"/>
      <c r="L242" s="30" t="str">
        <f ca="1">IFERROR(__xludf.DUMMYFUNCTION("""COMPUTED_VALUE"""),"No")</f>
        <v>No</v>
      </c>
      <c r="M242" s="30" t="str">
        <f ca="1">IFERROR(__xludf.DUMMYFUNCTION("""COMPUTED_VALUE"""),"6861010009")</f>
        <v>6861010009</v>
      </c>
      <c r="N242" s="30" t="str">
        <f ca="1">IFERROR(__xludf.DUMMYFUNCTION("""COMPUTED_VALUE"""),"VILLA MARTELLI")</f>
        <v>VILLA MARTELLI</v>
      </c>
      <c r="O242" s="30" t="str">
        <f ca="1">IFERROR(__xludf.DUMMYFUNCTION("""COMPUTED_VALUE"""),"6861")</f>
        <v>6861</v>
      </c>
      <c r="P242" s="30" t="str">
        <f ca="1">IFERROR(__xludf.DUMMYFUNCTION("""COMPUTED_VALUE"""),"VICENTE LÓPEZ")</f>
        <v>VICENTE LÓPEZ</v>
      </c>
      <c r="Q242" s="30" t="str">
        <f ca="1">IFERROR(__xludf.DUMMYFUNCTION("""COMPUTED_VALUE"""),"-34.541324")</f>
        <v>-34.541324</v>
      </c>
      <c r="R242" s="30" t="str">
        <f ca="1">IFERROR(__xludf.DUMMYFUNCTION("""COMPUTED_VALUE"""),"-58.4760605")</f>
        <v>-58.4760605</v>
      </c>
      <c r="S242" s="30" t="str">
        <f ca="1">IFERROR(__xludf.DUMMYFUNCTION("""COMPUTED_VALUE"""),"Municipal")</f>
        <v>Municipal</v>
      </c>
      <c r="T242" s="30" t="str">
        <f ca="1">IFERROR(__xludf.DUMMYFUNCTION("""COMPUTED_VALUE"""),"VICENTE LÓPEZ")</f>
        <v>VICENTE LÓPEZ</v>
      </c>
    </row>
    <row r="243" spans="1:20" ht="15.75" customHeight="1" x14ac:dyDescent="0.25">
      <c r="A243" s="30" t="str">
        <f ca="1">IFERROR(__xludf.DUMMYFUNCTION("""COMPUTED_VALUE"""),"10061342200198")</f>
        <v>10061342200198</v>
      </c>
      <c r="B243" s="30" t="str">
        <f ca="1">IFERROR(__xludf.DUMMYFUNCTION("""COMPUTED_VALUE"""),"ENTE DESCENTRALIZADO HOSPITAL DR. ANGEL MARZETTI")</f>
        <v>ENTE DESCENTRALIZADO HOSPITAL DR. ANGEL MARZETTI</v>
      </c>
      <c r="C243" s="30" t="str">
        <f ca="1">IFERROR(__xludf.DUMMYFUNCTION("""COMPUTED_VALUE"""),"Buenos Aires")</f>
        <v>Buenos Aires</v>
      </c>
      <c r="D243" s="30" t="str">
        <f ca="1">IFERROR(__xludf.DUMMYFUNCTION("""COMPUTED_VALUE"""),"6")</f>
        <v>6</v>
      </c>
      <c r="E243" s="30" t="str">
        <f ca="1">IFERROR(__xludf.DUMMYFUNCTION("""COMPUTED_VALUE"""),"")</f>
        <v/>
      </c>
      <c r="F243" s="29"/>
      <c r="G243" s="30" t="str">
        <f ca="1">IFERROR(__xludf.DUMMYFUNCTION("""COMPUTED_VALUE"""),"50060282201664")</f>
        <v>50060282201664</v>
      </c>
      <c r="H243" s="30" t="str">
        <f ca="1">IFERROR(__xludf.DUMMYFUNCTION("""COMPUTED_VALUE"""),"inactivo")</f>
        <v>inactivo</v>
      </c>
      <c r="I243" s="29"/>
      <c r="J243" s="29"/>
      <c r="K243" s="29"/>
      <c r="L243" s="30" t="str">
        <f ca="1">IFERROR(__xludf.DUMMYFUNCTION("""COMPUTED_VALUE"""),"No")</f>
        <v>No</v>
      </c>
      <c r="M243" s="30" t="str">
        <f ca="1">IFERROR(__xludf.DUMMYFUNCTION("""COMPUTED_VALUE"""),"6134030000")</f>
        <v>6134030000</v>
      </c>
      <c r="N243" s="30" t="str">
        <f ca="1">IFERROR(__xludf.DUMMYFUNCTION("""COMPUTED_VALUE"""),"CAÑUELAS")</f>
        <v>CAÑUELAS</v>
      </c>
      <c r="O243" s="30" t="str">
        <f ca="1">IFERROR(__xludf.DUMMYFUNCTION("""COMPUTED_VALUE"""),"6134")</f>
        <v>6134</v>
      </c>
      <c r="P243" s="30" t="str">
        <f ca="1">IFERROR(__xludf.DUMMYFUNCTION("""COMPUTED_VALUE"""),"CAÑUELAS")</f>
        <v>CAÑUELAS</v>
      </c>
      <c r="Q243" s="30" t="str">
        <f ca="1">IFERROR(__xludf.DUMMYFUNCTION("""COMPUTED_VALUE"""),"-35.060044")</f>
        <v>-35.060044</v>
      </c>
      <c r="R243" s="30" t="str">
        <f ca="1">IFERROR(__xludf.DUMMYFUNCTION("""COMPUTED_VALUE"""),"-58.763251")</f>
        <v>-58.763251</v>
      </c>
      <c r="S243" s="30" t="str">
        <f ca="1">IFERROR(__xludf.DUMMYFUNCTION("""COMPUTED_VALUE"""),"Municipal")</f>
        <v>Municipal</v>
      </c>
      <c r="T243" s="30" t="str">
        <f ca="1">IFERROR(__xludf.DUMMYFUNCTION("""COMPUTED_VALUE"""),"CAÑUELAS")</f>
        <v>CAÑUELAS</v>
      </c>
    </row>
    <row r="244" spans="1:20" ht="15.75" customHeight="1" x14ac:dyDescent="0.25">
      <c r="A244" s="30" t="str">
        <f ca="1">IFERROR(__xludf.DUMMYFUNCTION("""COMPUTED_VALUE"""),"50060282201664")</f>
        <v>50060282201664</v>
      </c>
      <c r="B244" s="30" t="str">
        <f ca="1">IFERROR(__xludf.DUMMYFUNCTION("""COMPUTED_VALUE"""),"Nº 22 LOMA VERDE")</f>
        <v>Nº 22 LOMA VERDE</v>
      </c>
      <c r="C244" s="30" t="str">
        <f ca="1">IFERROR(__xludf.DUMMYFUNCTION("""COMPUTED_VALUE"""),"Buenos Aires")</f>
        <v>Buenos Aires</v>
      </c>
      <c r="D244" s="30" t="str">
        <f ca="1">IFERROR(__xludf.DUMMYFUNCTION("""COMPUTED_VALUE"""),"6")</f>
        <v>6</v>
      </c>
      <c r="E244" s="30" t="str">
        <f ca="1">IFERROR(__xludf.DUMMYFUNCTION("""COMPUTED_VALUE"""),"")</f>
        <v/>
      </c>
      <c r="F244" s="30" t="str">
        <f ca="1">IFERROR(__xludf.DUMMYFUNCTION("""COMPUTED_VALUE"""),"10061342200198")</f>
        <v>10061342200198</v>
      </c>
      <c r="G244" s="29"/>
      <c r="H244" s="30" t="str">
        <f ca="1">IFERROR(__xludf.DUMMYFUNCTION("""COMPUTED_VALUE"""),"activo")</f>
        <v>activo</v>
      </c>
      <c r="I244" s="29"/>
      <c r="J244" s="29"/>
      <c r="K244" s="29"/>
      <c r="L244" s="30" t="str">
        <f ca="1">IFERROR(__xludf.DUMMYFUNCTION("""COMPUTED_VALUE"""),"No")</f>
        <v>No</v>
      </c>
      <c r="M244" s="30" t="str">
        <f ca="1">IFERROR(__xludf.DUMMYFUNCTION("""COMPUTED_VALUE"""),"6028010008")</f>
        <v>6028010008</v>
      </c>
      <c r="N244" s="30" t="str">
        <f ca="1">IFERROR(__xludf.DUMMYFUNCTION("""COMPUTED_VALUE"""),"MALVINAS ARGENTINAS")</f>
        <v>MALVINAS ARGENTINAS</v>
      </c>
      <c r="O244" s="30" t="str">
        <f ca="1">IFERROR(__xludf.DUMMYFUNCTION("""COMPUTED_VALUE"""),"628")</f>
        <v>628</v>
      </c>
      <c r="P244" s="30" t="str">
        <f ca="1">IFERROR(__xludf.DUMMYFUNCTION("""COMPUTED_VALUE"""),"ALMIRANTE BROWN")</f>
        <v>ALMIRANTE BROWN</v>
      </c>
      <c r="Q244" s="30" t="str">
        <f ca="1">IFERROR(__xludf.DUMMYFUNCTION("""COMPUTED_VALUE"""),"-34.816889")</f>
        <v>-34.816889</v>
      </c>
      <c r="R244" s="30" t="str">
        <f ca="1">IFERROR(__xludf.DUMMYFUNCTION("""COMPUTED_VALUE"""),"-58.4248293")</f>
        <v>-58.4248293</v>
      </c>
      <c r="S244" s="30" t="str">
        <f ca="1">IFERROR(__xludf.DUMMYFUNCTION("""COMPUTED_VALUE"""),"Municipal")</f>
        <v>Municipal</v>
      </c>
      <c r="T244" s="30" t="str">
        <f ca="1">IFERROR(__xludf.DUMMYFUNCTION("""COMPUTED_VALUE"""),"ALMIRANTE BROWN")</f>
        <v>ALMIRANTE BROWN</v>
      </c>
    </row>
    <row r="245" spans="1:20" ht="15.75" customHeight="1" x14ac:dyDescent="0.25">
      <c r="A245" s="30" t="str">
        <f ca="1">IFERROR(__xludf.DUMMYFUNCTION("""COMPUTED_VALUE"""),"10062942200304")</f>
        <v>10062942200304</v>
      </c>
      <c r="B245" s="30" t="str">
        <f ca="1">IFERROR(__xludf.DUMMYFUNCTION("""COMPUTED_VALUE"""),"HOSPITAL MUNICIPAL DR. IGNACIO PIROVANO")</f>
        <v>HOSPITAL MUNICIPAL DR. IGNACIO PIROVANO</v>
      </c>
      <c r="C245" s="30" t="str">
        <f ca="1">IFERROR(__xludf.DUMMYFUNCTION("""COMPUTED_VALUE"""),"Buenos Aires")</f>
        <v>Buenos Aires</v>
      </c>
      <c r="D245" s="30" t="str">
        <f ca="1">IFERROR(__xludf.DUMMYFUNCTION("""COMPUTED_VALUE"""),"6")</f>
        <v>6</v>
      </c>
      <c r="E245" s="30" t="str">
        <f ca="1">IFERROR(__xludf.DUMMYFUNCTION("""COMPUTED_VALUE"""),"")</f>
        <v/>
      </c>
      <c r="F245" s="29"/>
      <c r="G245" s="30" t="str">
        <f ca="1">IFERROR(__xludf.DUMMYFUNCTION("""COMPUTED_VALUE"""),"50064342201589")</f>
        <v>50064342201589</v>
      </c>
      <c r="H245" s="30" t="str">
        <f ca="1">IFERROR(__xludf.DUMMYFUNCTION("""COMPUTED_VALUE"""),"inactivo")</f>
        <v>inactivo</v>
      </c>
      <c r="I245" s="29"/>
      <c r="J245" s="29"/>
      <c r="K245" s="29"/>
      <c r="L245" s="30" t="str">
        <f ca="1">IFERROR(__xludf.DUMMYFUNCTION("""COMPUTED_VALUE"""),"No")</f>
        <v>No</v>
      </c>
      <c r="M245" s="30" t="str">
        <f ca="1">IFERROR(__xludf.DUMMYFUNCTION("""COMPUTED_VALUE"""),"6294050000")</f>
        <v>6294050000</v>
      </c>
      <c r="N245" s="30" t="str">
        <f ca="1">IFERROR(__xludf.DUMMYFUNCTION("""COMPUTED_VALUE"""),"GENERAL ARENALES")</f>
        <v>GENERAL ARENALES</v>
      </c>
      <c r="O245" s="30" t="str">
        <f ca="1">IFERROR(__xludf.DUMMYFUNCTION("""COMPUTED_VALUE"""),"6294")</f>
        <v>6294</v>
      </c>
      <c r="P245" s="30" t="str">
        <f ca="1">IFERROR(__xludf.DUMMYFUNCTION("""COMPUTED_VALUE"""),"GENERAL ARENALES")</f>
        <v>GENERAL ARENALES</v>
      </c>
      <c r="Q245" s="30" t="str">
        <f ca="1">IFERROR(__xludf.DUMMYFUNCTION("""COMPUTED_VALUE"""),"-34.3030405")</f>
        <v>-34.3030405</v>
      </c>
      <c r="R245" s="30" t="str">
        <f ca="1">IFERROR(__xludf.DUMMYFUNCTION("""COMPUTED_VALUE"""),"-61.31053448")</f>
        <v>-61.31053448</v>
      </c>
      <c r="S245" s="30" t="str">
        <f ca="1">IFERROR(__xludf.DUMMYFUNCTION("""COMPUTED_VALUE"""),"Municipal")</f>
        <v>Municipal</v>
      </c>
      <c r="T245" s="30" t="str">
        <f ca="1">IFERROR(__xludf.DUMMYFUNCTION("""COMPUTED_VALUE"""),"GENERAL ARENALES")</f>
        <v>GENERAL ARENALES</v>
      </c>
    </row>
    <row r="246" spans="1:20" ht="15.75" customHeight="1" x14ac:dyDescent="0.25">
      <c r="A246" s="30" t="str">
        <f ca="1">IFERROR(__xludf.DUMMYFUNCTION("""COMPUTED_VALUE"""),"50064342201589")</f>
        <v>50064342201589</v>
      </c>
      <c r="B246" s="30" t="str">
        <f ca="1">IFERROR(__xludf.DUMMYFUNCTION("""COMPUTED_VALUE"""),"CENTRO DE MEDICINA PREVENTIVA DR. FLOREAL FERRARA (EX RENE FAVALORO)")</f>
        <v>CENTRO DE MEDICINA PREVENTIVA DR. FLOREAL FERRARA (EX RENE FAVALORO)</v>
      </c>
      <c r="C246" s="30" t="str">
        <f ca="1">IFERROR(__xludf.DUMMYFUNCTION("""COMPUTED_VALUE"""),"Buenos Aires")</f>
        <v>Buenos Aires</v>
      </c>
      <c r="D246" s="30" t="str">
        <f ca="1">IFERROR(__xludf.DUMMYFUNCTION("""COMPUTED_VALUE"""),"6")</f>
        <v>6</v>
      </c>
      <c r="E246" s="30" t="str">
        <f ca="1">IFERROR(__xludf.DUMMYFUNCTION("""COMPUTED_VALUE"""),"")</f>
        <v/>
      </c>
      <c r="F246" s="30" t="str">
        <f ca="1">IFERROR(__xludf.DUMMYFUNCTION("""COMPUTED_VALUE"""),"10062942200304")</f>
        <v>10062942200304</v>
      </c>
      <c r="G246" s="29"/>
      <c r="H246" s="30" t="str">
        <f ca="1">IFERROR(__xludf.DUMMYFUNCTION("""COMPUTED_VALUE"""),"activo")</f>
        <v>activo</v>
      </c>
      <c r="I246" s="29"/>
      <c r="J246" s="29"/>
      <c r="K246" s="29"/>
      <c r="L246" s="30" t="str">
        <f ca="1">IFERROR(__xludf.DUMMYFUNCTION("""COMPUTED_VALUE"""),"No")</f>
        <v>No</v>
      </c>
      <c r="M246" s="30" t="str">
        <f ca="1">IFERROR(__xludf.DUMMYFUNCTION("""COMPUTED_VALUE"""),"6434010003")</f>
        <v>6434010003</v>
      </c>
      <c r="N246" s="30" t="str">
        <f ca="1">IFERROR(__xludf.DUMMYFUNCTION("""COMPUTED_VALUE"""),"LANUS OESTE")</f>
        <v>LANUS OESTE</v>
      </c>
      <c r="O246" s="30" t="str">
        <f ca="1">IFERROR(__xludf.DUMMYFUNCTION("""COMPUTED_VALUE"""),"6434")</f>
        <v>6434</v>
      </c>
      <c r="P246" s="30" t="str">
        <f ca="1">IFERROR(__xludf.DUMMYFUNCTION("""COMPUTED_VALUE"""),"LANÚS")</f>
        <v>LANÚS</v>
      </c>
      <c r="Q246" s="30" t="str">
        <f ca="1">IFERROR(__xludf.DUMMYFUNCTION("""COMPUTED_VALUE"""),"-34.7113727")</f>
        <v>-34.7113727</v>
      </c>
      <c r="R246" s="30" t="str">
        <f ca="1">IFERROR(__xludf.DUMMYFUNCTION("""COMPUTED_VALUE"""),"-58.3815199")</f>
        <v>-58.3815199</v>
      </c>
      <c r="S246" s="30" t="str">
        <f ca="1">IFERROR(__xludf.DUMMYFUNCTION("""COMPUTED_VALUE"""),"Municipal")</f>
        <v>Municipal</v>
      </c>
      <c r="T246" s="30" t="str">
        <f ca="1">IFERROR(__xludf.DUMMYFUNCTION("""COMPUTED_VALUE"""),"LANÚS")</f>
        <v>LANÚS</v>
      </c>
    </row>
    <row r="247" spans="1:20" ht="15.75" customHeight="1" x14ac:dyDescent="0.25">
      <c r="A247" s="30" t="str">
        <f ca="1">IFERROR(__xludf.DUMMYFUNCTION("""COMPUTED_VALUE"""),"10063432200251")</f>
        <v>10063432200251</v>
      </c>
      <c r="B247" s="30" t="str">
        <f ca="1">IFERROR(__xludf.DUMMYFUNCTION("""COMPUTED_VALUE"""),"HOSPITAL MUNICIPAL JUAN Y MARIA SCASSO DE CAMPOMAR")</f>
        <v>HOSPITAL MUNICIPAL JUAN Y MARIA SCASSO DE CAMPOMAR</v>
      </c>
      <c r="C247" s="30" t="str">
        <f ca="1">IFERROR(__xludf.DUMMYFUNCTION("""COMPUTED_VALUE"""),"Buenos Aires")</f>
        <v>Buenos Aires</v>
      </c>
      <c r="D247" s="30" t="str">
        <f ca="1">IFERROR(__xludf.DUMMYFUNCTION("""COMPUTED_VALUE"""),"6")</f>
        <v>6</v>
      </c>
      <c r="E247" s="30" t="str">
        <f ca="1">IFERROR(__xludf.DUMMYFUNCTION("""COMPUTED_VALUE"""),"")</f>
        <v/>
      </c>
      <c r="F247" s="29"/>
      <c r="G247" s="30" t="str">
        <f ca="1">IFERROR(__xludf.DUMMYFUNCTION("""COMPUTED_VALUE"""),"50064342201392")</f>
        <v>50064342201392</v>
      </c>
      <c r="H247" s="30" t="str">
        <f ca="1">IFERROR(__xludf.DUMMYFUNCTION("""COMPUTED_VALUE"""),"inactivo")</f>
        <v>inactivo</v>
      </c>
      <c r="I247" s="29"/>
      <c r="J247" s="29"/>
      <c r="K247" s="29"/>
      <c r="L247" s="30" t="str">
        <f ca="1">IFERROR(__xludf.DUMMYFUNCTION("""COMPUTED_VALUE"""),"No")</f>
        <v>No</v>
      </c>
      <c r="M247" s="30" t="str">
        <f ca="1">IFERROR(__xludf.DUMMYFUNCTION("""COMPUTED_VALUE"""),"6343030000")</f>
        <v>6343030000</v>
      </c>
      <c r="N247" s="30" t="str">
        <f ca="1">IFERROR(__xludf.DUMMYFUNCTION("""COMPUTED_VALUE"""),"RANCHOS")</f>
        <v>RANCHOS</v>
      </c>
      <c r="O247" s="30" t="str">
        <f ca="1">IFERROR(__xludf.DUMMYFUNCTION("""COMPUTED_VALUE"""),"6343")</f>
        <v>6343</v>
      </c>
      <c r="P247" s="30" t="str">
        <f ca="1">IFERROR(__xludf.DUMMYFUNCTION("""COMPUTED_VALUE"""),"GENERAL PAZ")</f>
        <v>GENERAL PAZ</v>
      </c>
      <c r="Q247" s="30" t="str">
        <f ca="1">IFERROR(__xludf.DUMMYFUNCTION("""COMPUTED_VALUE"""),"-35.5205135")</f>
        <v>-35.5205135</v>
      </c>
      <c r="R247" s="30" t="str">
        <f ca="1">IFERROR(__xludf.DUMMYFUNCTION("""COMPUTED_VALUE"""),"-58.3170331")</f>
        <v>-58.3170331</v>
      </c>
      <c r="S247" s="30" t="str">
        <f ca="1">IFERROR(__xludf.DUMMYFUNCTION("""COMPUTED_VALUE"""),"Municipal")</f>
        <v>Municipal</v>
      </c>
      <c r="T247" s="30" t="str">
        <f ca="1">IFERROR(__xludf.DUMMYFUNCTION("""COMPUTED_VALUE"""),"GENERAL PAZ")</f>
        <v>GENERAL PAZ</v>
      </c>
    </row>
    <row r="248" spans="1:20" ht="15.75" customHeight="1" x14ac:dyDescent="0.25">
      <c r="A248" s="30" t="str">
        <f ca="1">IFERROR(__xludf.DUMMYFUNCTION("""COMPUTED_VALUE"""),"10065182206734")</f>
        <v>10065182206734</v>
      </c>
      <c r="B248" s="30" t="str">
        <f ca="1">IFERROR(__xludf.DUMMYFUNCTION("""COMPUTED_VALUE"""),"UNIDAD SANITARIA DR. LUIS SAGASTA")</f>
        <v>UNIDAD SANITARIA DR. LUIS SAGASTA</v>
      </c>
      <c r="C248" s="30" t="str">
        <f ca="1">IFERROR(__xludf.DUMMYFUNCTION("""COMPUTED_VALUE"""),"Buenos Aires")</f>
        <v>Buenos Aires</v>
      </c>
      <c r="D248" s="30" t="str">
        <f ca="1">IFERROR(__xludf.DUMMYFUNCTION("""COMPUTED_VALUE"""),"6")</f>
        <v>6</v>
      </c>
      <c r="E248" s="30" t="str">
        <f ca="1">IFERROR(__xludf.DUMMYFUNCTION("""COMPUTED_VALUE"""),"")</f>
        <v/>
      </c>
      <c r="F248" s="29"/>
      <c r="G248" s="29"/>
      <c r="H248" s="30" t="str">
        <f ca="1">IFERROR(__xludf.DUMMYFUNCTION("""COMPUTED_VALUE"""),"inactivo")</f>
        <v>inactivo</v>
      </c>
      <c r="I248" s="29"/>
      <c r="J248" s="29"/>
      <c r="K248" s="29"/>
      <c r="L248" s="30" t="str">
        <f ca="1">IFERROR(__xludf.DUMMYFUNCTION("""COMPUTED_VALUE"""),"No")</f>
        <v>No</v>
      </c>
      <c r="M248" s="30" t="str">
        <f ca="1">IFERROR(__xludf.DUMMYFUNCTION("""COMPUTED_VALUE"""),"6518020000")</f>
        <v>6518020000</v>
      </c>
      <c r="N248" s="30" t="str">
        <f ca="1">IFERROR(__xludf.DUMMYFUNCTION("""COMPUTED_VALUE"""),"GENERAL PIRAN")</f>
        <v>GENERAL PIRAN</v>
      </c>
      <c r="O248" s="30" t="str">
        <f ca="1">IFERROR(__xludf.DUMMYFUNCTION("""COMPUTED_VALUE"""),"6518")</f>
        <v>6518</v>
      </c>
      <c r="P248" s="30" t="str">
        <f ca="1">IFERROR(__xludf.DUMMYFUNCTION("""COMPUTED_VALUE"""),"MAR CHIQUITA")</f>
        <v>MAR CHIQUITA</v>
      </c>
      <c r="Q248" s="30" t="str">
        <f ca="1">IFERROR(__xludf.DUMMYFUNCTION("""COMPUTED_VALUE"""),"-37.2728101")</f>
        <v>-37.2728101</v>
      </c>
      <c r="R248" s="30" t="str">
        <f ca="1">IFERROR(__xludf.DUMMYFUNCTION("""COMPUTED_VALUE"""),"-57.777729")</f>
        <v>-57.777729</v>
      </c>
      <c r="S248" s="30" t="str">
        <f ca="1">IFERROR(__xludf.DUMMYFUNCTION("""COMPUTED_VALUE"""),"Municipal")</f>
        <v>Municipal</v>
      </c>
      <c r="T248" s="30" t="str">
        <f ca="1">IFERROR(__xludf.DUMMYFUNCTION("""COMPUTED_VALUE"""),"MAR CHIQUITA")</f>
        <v>MAR CHIQUITA</v>
      </c>
    </row>
    <row r="249" spans="1:20" ht="15.75" customHeight="1" x14ac:dyDescent="0.25">
      <c r="A249" s="30" t="str">
        <f ca="1">IFERROR(__xludf.DUMMYFUNCTION("""COMPUTED_VALUE"""),"10065882200318")</f>
        <v>10065882200318</v>
      </c>
      <c r="B249" s="30" t="str">
        <f ca="1">IFERROR(__xludf.DUMMYFUNCTION("""COMPUTED_VALUE"""),"HOSPITAL MUNICIPAL ENRIQUETA DUDIGNAC")</f>
        <v>HOSPITAL MUNICIPAL ENRIQUETA DUDIGNAC</v>
      </c>
      <c r="C249" s="30" t="str">
        <f ca="1">IFERROR(__xludf.DUMMYFUNCTION("""COMPUTED_VALUE"""),"Buenos Aires")</f>
        <v>Buenos Aires</v>
      </c>
      <c r="D249" s="30" t="str">
        <f ca="1">IFERROR(__xludf.DUMMYFUNCTION("""COMPUTED_VALUE"""),"6")</f>
        <v>6</v>
      </c>
      <c r="E249" s="30" t="str">
        <f ca="1">IFERROR(__xludf.DUMMYFUNCTION("""COMPUTED_VALUE"""),"")</f>
        <v/>
      </c>
      <c r="F249" s="29"/>
      <c r="G249" s="29"/>
      <c r="H249" s="30" t="str">
        <f ca="1">IFERROR(__xludf.DUMMYFUNCTION("""COMPUTED_VALUE"""),"inactivo")</f>
        <v>inactivo</v>
      </c>
      <c r="I249" s="29"/>
      <c r="J249" s="29"/>
      <c r="K249" s="29"/>
      <c r="L249" s="30" t="str">
        <f ca="1">IFERROR(__xludf.DUMMYFUNCTION("""COMPUTED_VALUE"""),"No")</f>
        <v>No</v>
      </c>
      <c r="M249" s="30" t="str">
        <f ca="1">IFERROR(__xludf.DUMMYFUNCTION("""COMPUTED_VALUE"""),"6588040000")</f>
        <v>6588040000</v>
      </c>
      <c r="N249" s="30" t="str">
        <f ca="1">IFERROR(__xludf.DUMMYFUNCTION("""COMPUTED_VALUE"""),"DUDIGNAC")</f>
        <v>DUDIGNAC</v>
      </c>
      <c r="O249" s="30" t="str">
        <f ca="1">IFERROR(__xludf.DUMMYFUNCTION("""COMPUTED_VALUE"""),"6588")</f>
        <v>6588</v>
      </c>
      <c r="P249" s="30" t="str">
        <f ca="1">IFERROR(__xludf.DUMMYFUNCTION("""COMPUTED_VALUE"""),"9 DE JULIO")</f>
        <v>9 DE JULIO</v>
      </c>
      <c r="Q249" s="30" t="str">
        <f ca="1">IFERROR(__xludf.DUMMYFUNCTION("""COMPUTED_VALUE"""),"-35.65495298")</f>
        <v>-35.65495298</v>
      </c>
      <c r="R249" s="30" t="str">
        <f ca="1">IFERROR(__xludf.DUMMYFUNCTION("""COMPUTED_VALUE"""),"-60.70330811")</f>
        <v>-60.70330811</v>
      </c>
      <c r="S249" s="30" t="str">
        <f ca="1">IFERROR(__xludf.DUMMYFUNCTION("""COMPUTED_VALUE"""),"Municipal")</f>
        <v>Municipal</v>
      </c>
      <c r="T249" s="30" t="str">
        <f ca="1">IFERROR(__xludf.DUMMYFUNCTION("""COMPUTED_VALUE"""),"9 DE JULIO")</f>
        <v>9 DE JULIO</v>
      </c>
    </row>
    <row r="250" spans="1:20" ht="15.75" customHeight="1" x14ac:dyDescent="0.25">
      <c r="A250" s="30" t="str">
        <f ca="1">IFERROR(__xludf.DUMMYFUNCTION("""COMPUTED_VALUE"""),"10066022200243")</f>
        <v>10066022200243</v>
      </c>
      <c r="B250" s="30" t="str">
        <f ca="1">IFERROR(__xludf.DUMMYFUNCTION("""COMPUTED_VALUE"""),"HOSPITAL MENOR VILLALONGA")</f>
        <v>HOSPITAL MENOR VILLALONGA</v>
      </c>
      <c r="C250" s="30" t="str">
        <f ca="1">IFERROR(__xludf.DUMMYFUNCTION("""COMPUTED_VALUE"""),"Buenos Aires")</f>
        <v>Buenos Aires</v>
      </c>
      <c r="D250" s="30" t="str">
        <f ca="1">IFERROR(__xludf.DUMMYFUNCTION("""COMPUTED_VALUE"""),"6")</f>
        <v>6</v>
      </c>
      <c r="E250" s="30" t="str">
        <f ca="1">IFERROR(__xludf.DUMMYFUNCTION("""COMPUTED_VALUE"""),"")</f>
        <v/>
      </c>
      <c r="F250" s="29"/>
      <c r="G250" s="29"/>
      <c r="H250" s="30" t="str">
        <f ca="1">IFERROR(__xludf.DUMMYFUNCTION("""COMPUTED_VALUE"""),"inactivo")</f>
        <v>inactivo</v>
      </c>
      <c r="I250" s="29"/>
      <c r="J250" s="29"/>
      <c r="K250" s="29"/>
      <c r="L250" s="30" t="str">
        <f ca="1">IFERROR(__xludf.DUMMYFUNCTION("""COMPUTED_VALUE"""),"No")</f>
        <v>No</v>
      </c>
      <c r="M250" s="30" t="str">
        <f ca="1">IFERROR(__xludf.DUMMYFUNCTION("""COMPUTED_VALUE"""),"6602070000")</f>
        <v>6602070000</v>
      </c>
      <c r="N250" s="30" t="str">
        <f ca="1">IFERROR(__xludf.DUMMYFUNCTION("""COMPUTED_VALUE"""),"VILLALONGA")</f>
        <v>VILLALONGA</v>
      </c>
      <c r="O250" s="30" t="str">
        <f ca="1">IFERROR(__xludf.DUMMYFUNCTION("""COMPUTED_VALUE"""),"6602")</f>
        <v>6602</v>
      </c>
      <c r="P250" s="30" t="str">
        <f ca="1">IFERROR(__xludf.DUMMYFUNCTION("""COMPUTED_VALUE"""),"PATAGONES")</f>
        <v>PATAGONES</v>
      </c>
      <c r="Q250" s="30" t="str">
        <f ca="1">IFERROR(__xludf.DUMMYFUNCTION("""COMPUTED_VALUE"""),"-39.9087569")</f>
        <v>-39.9087569</v>
      </c>
      <c r="R250" s="30" t="str">
        <f ca="1">IFERROR(__xludf.DUMMYFUNCTION("""COMPUTED_VALUE"""),"-62.62022495")</f>
        <v>-62.62022495</v>
      </c>
      <c r="S250" s="30" t="str">
        <f ca="1">IFERROR(__xludf.DUMMYFUNCTION("""COMPUTED_VALUE"""),"Municipal")</f>
        <v>Municipal</v>
      </c>
      <c r="T250" s="30" t="str">
        <f ca="1">IFERROR(__xludf.DUMMYFUNCTION("""COMPUTED_VALUE"""),"PATAGONES")</f>
        <v>PATAGONES</v>
      </c>
    </row>
    <row r="251" spans="1:20" ht="15.75" customHeight="1" x14ac:dyDescent="0.25">
      <c r="A251" s="30" t="str">
        <f ca="1">IFERROR(__xludf.DUMMYFUNCTION("""COMPUTED_VALUE"""),"10066022200274")</f>
        <v>10066022200274</v>
      </c>
      <c r="B251" s="30" t="str">
        <f ca="1">IFERROR(__xludf.DUMMYFUNCTION("""COMPUTED_VALUE"""),"HOSPITAL LOCAL MUNICIPAL STROEDER")</f>
        <v>HOSPITAL LOCAL MUNICIPAL STROEDER</v>
      </c>
      <c r="C251" s="30" t="str">
        <f ca="1">IFERROR(__xludf.DUMMYFUNCTION("""COMPUTED_VALUE"""),"Buenos Aires")</f>
        <v>Buenos Aires</v>
      </c>
      <c r="D251" s="30" t="str">
        <f ca="1">IFERROR(__xludf.DUMMYFUNCTION("""COMPUTED_VALUE"""),"6")</f>
        <v>6</v>
      </c>
      <c r="E251" s="30" t="str">
        <f ca="1">IFERROR(__xludf.DUMMYFUNCTION("""COMPUTED_VALUE"""),"")</f>
        <v/>
      </c>
      <c r="F251" s="29"/>
      <c r="G251" s="29"/>
      <c r="H251" s="30" t="str">
        <f ca="1">IFERROR(__xludf.DUMMYFUNCTION("""COMPUTED_VALUE"""),"inactivo")</f>
        <v>inactivo</v>
      </c>
      <c r="I251" s="29"/>
      <c r="J251" s="29"/>
      <c r="K251" s="29"/>
      <c r="L251" s="30" t="str">
        <f ca="1">IFERROR(__xludf.DUMMYFUNCTION("""COMPUTED_VALUE"""),"No")</f>
        <v>No</v>
      </c>
      <c r="M251" s="30" t="str">
        <f ca="1">IFERROR(__xludf.DUMMYFUNCTION("""COMPUTED_VALUE"""),"6602060000")</f>
        <v>6602060000</v>
      </c>
      <c r="N251" s="30" t="str">
        <f ca="1">IFERROR(__xludf.DUMMYFUNCTION("""COMPUTED_VALUE"""),"STROEDER")</f>
        <v>STROEDER</v>
      </c>
      <c r="O251" s="30" t="str">
        <f ca="1">IFERROR(__xludf.DUMMYFUNCTION("""COMPUTED_VALUE"""),"6602")</f>
        <v>6602</v>
      </c>
      <c r="P251" s="30" t="str">
        <f ca="1">IFERROR(__xludf.DUMMYFUNCTION("""COMPUTED_VALUE"""),"PATAGONES")</f>
        <v>PATAGONES</v>
      </c>
      <c r="Q251" s="30" t="str">
        <f ca="1">IFERROR(__xludf.DUMMYFUNCTION("""COMPUTED_VALUE"""),"-40.17981762")</f>
        <v>-40.17981762</v>
      </c>
      <c r="R251" s="30" t="str">
        <f ca="1">IFERROR(__xludf.DUMMYFUNCTION("""COMPUTED_VALUE"""),"-62.62454224")</f>
        <v>-62.62454224</v>
      </c>
      <c r="S251" s="30" t="str">
        <f ca="1">IFERROR(__xludf.DUMMYFUNCTION("""COMPUTED_VALUE"""),"Municipal")</f>
        <v>Municipal</v>
      </c>
      <c r="T251" s="30" t="str">
        <f ca="1">IFERROR(__xludf.DUMMYFUNCTION("""COMPUTED_VALUE"""),"PATAGONES")</f>
        <v>PATAGONES</v>
      </c>
    </row>
    <row r="252" spans="1:20" ht="15.75" customHeight="1" x14ac:dyDescent="0.25">
      <c r="A252" s="30" t="str">
        <f ca="1">IFERROR(__xludf.DUMMYFUNCTION("""COMPUTED_VALUE"""),"10068122200325")</f>
        <v>10068122200325</v>
      </c>
      <c r="B252" s="30" t="str">
        <f ca="1">IFERROR(__xludf.DUMMYFUNCTION("""COMPUTED_VALUE"""),"HOSPITAL MUNICIPAL DR. ISMAEL FERRARI")</f>
        <v>HOSPITAL MUNICIPAL DR. ISMAEL FERRARI</v>
      </c>
      <c r="C252" s="30" t="str">
        <f ca="1">IFERROR(__xludf.DUMMYFUNCTION("""COMPUTED_VALUE"""),"Buenos Aires")</f>
        <v>Buenos Aires</v>
      </c>
      <c r="D252" s="30" t="str">
        <f ca="1">IFERROR(__xludf.DUMMYFUNCTION("""COMPUTED_VALUE"""),"6")</f>
        <v>6</v>
      </c>
      <c r="E252" s="30" t="str">
        <f ca="1">IFERROR(__xludf.DUMMYFUNCTION("""COMPUTED_VALUE"""),"")</f>
        <v/>
      </c>
      <c r="F252" s="29"/>
      <c r="G252" s="30" t="str">
        <f ca="1">IFERROR(__xludf.DUMMYFUNCTION("""COMPUTED_VALUE"""),"50068402202594")</f>
        <v>50068402202594</v>
      </c>
      <c r="H252" s="30" t="str">
        <f ca="1">IFERROR(__xludf.DUMMYFUNCTION("""COMPUTED_VALUE"""),"inactivo")</f>
        <v>inactivo</v>
      </c>
      <c r="I252" s="29"/>
      <c r="J252" s="29"/>
      <c r="K252" s="29"/>
      <c r="L252" s="30" t="str">
        <f ca="1">IFERROR(__xludf.DUMMYFUNCTION("""COMPUTED_VALUE"""),"No")</f>
        <v>No</v>
      </c>
      <c r="M252" s="30" t="str">
        <f ca="1">IFERROR(__xludf.DUMMYFUNCTION("""COMPUTED_VALUE"""),"6812010000")</f>
        <v>6812010000</v>
      </c>
      <c r="N252" s="30" t="str">
        <f ca="1">IFERROR(__xludf.DUMMYFUNCTION("""COMPUTED_VALUE"""),"GENERAL CONESA")</f>
        <v>GENERAL CONESA</v>
      </c>
      <c r="O252" s="30" t="str">
        <f ca="1">IFERROR(__xludf.DUMMYFUNCTION("""COMPUTED_VALUE"""),"6812")</f>
        <v>6812</v>
      </c>
      <c r="P252" s="30" t="str">
        <f ca="1">IFERROR(__xludf.DUMMYFUNCTION("""COMPUTED_VALUE"""),"TORDILLO")</f>
        <v>TORDILLO</v>
      </c>
      <c r="Q252" s="30" t="str">
        <f ca="1">IFERROR(__xludf.DUMMYFUNCTION("""COMPUTED_VALUE"""),"-36.39575157")</f>
        <v>-36.39575157</v>
      </c>
      <c r="R252" s="30" t="str">
        <f ca="1">IFERROR(__xludf.DUMMYFUNCTION("""COMPUTED_VALUE"""),"-57.22064209")</f>
        <v>-57.22064209</v>
      </c>
      <c r="S252" s="30" t="str">
        <f ca="1">IFERROR(__xludf.DUMMYFUNCTION("""COMPUTED_VALUE"""),"Municipal")</f>
        <v>Municipal</v>
      </c>
      <c r="T252" s="30" t="str">
        <f ca="1">IFERROR(__xludf.DUMMYFUNCTION("""COMPUTED_VALUE"""),"TORDILLO")</f>
        <v>TORDILLO</v>
      </c>
    </row>
    <row r="253" spans="1:20" ht="15.75" customHeight="1" x14ac:dyDescent="0.25">
      <c r="A253" s="30" t="str">
        <f ca="1">IFERROR(__xludf.DUMMYFUNCTION("""COMPUTED_VALUE"""),"50068402202594")</f>
        <v>50068402202594</v>
      </c>
      <c r="B253" s="30" t="str">
        <f ca="1">IFERROR(__xludf.DUMMYFUNCTION("""COMPUTED_VALUE"""),"UNIDAD SANITARIA N° 3 SAENZ PEÑA DE TRES DE FEBRERO")</f>
        <v>UNIDAD SANITARIA N° 3 SAENZ PEÑA DE TRES DE FEBRERO</v>
      </c>
      <c r="C253" s="30" t="str">
        <f ca="1">IFERROR(__xludf.DUMMYFUNCTION("""COMPUTED_VALUE"""),"Buenos Aires")</f>
        <v>Buenos Aires</v>
      </c>
      <c r="D253" s="30" t="str">
        <f ca="1">IFERROR(__xludf.DUMMYFUNCTION("""COMPUTED_VALUE"""),"6")</f>
        <v>6</v>
      </c>
      <c r="E253" s="30" t="str">
        <f ca="1">IFERROR(__xludf.DUMMYFUNCTION("""COMPUTED_VALUE"""),"")</f>
        <v/>
      </c>
      <c r="F253" s="30" t="str">
        <f ca="1">IFERROR(__xludf.DUMMYFUNCTION("""COMPUTED_VALUE"""),"10068122200325")</f>
        <v>10068122200325</v>
      </c>
      <c r="G253" s="29"/>
      <c r="H253" s="30" t="str">
        <f ca="1">IFERROR(__xludf.DUMMYFUNCTION("""COMPUTED_VALUE"""),"activo")</f>
        <v>activo</v>
      </c>
      <c r="I253" s="29"/>
      <c r="J253" s="29"/>
      <c r="K253" s="29"/>
      <c r="L253" s="30" t="str">
        <f ca="1">IFERROR(__xludf.DUMMYFUNCTION("""COMPUTED_VALUE"""),"No")</f>
        <v>No</v>
      </c>
      <c r="M253" s="30" t="str">
        <f ca="1">IFERROR(__xludf.DUMMYFUNCTION("""COMPUTED_VALUE"""),"6840010012")</f>
        <v>6840010012</v>
      </c>
      <c r="N253" s="30" t="str">
        <f ca="1">IFERROR(__xludf.DUMMYFUNCTION("""COMPUTED_VALUE"""),"SAENZ PEÑA")</f>
        <v>SAENZ PEÑA</v>
      </c>
      <c r="O253" s="30" t="str">
        <f ca="1">IFERROR(__xludf.DUMMYFUNCTION("""COMPUTED_VALUE"""),"6840")</f>
        <v>6840</v>
      </c>
      <c r="P253" s="30" t="str">
        <f ca="1">IFERROR(__xludf.DUMMYFUNCTION("""COMPUTED_VALUE"""),"TRES DE FEBRERO")</f>
        <v>TRES DE FEBRERO</v>
      </c>
      <c r="Q253" s="30" t="str">
        <f ca="1">IFERROR(__xludf.DUMMYFUNCTION("""COMPUTED_VALUE"""),"-34.6021638")</f>
        <v>-34.6021638</v>
      </c>
      <c r="R253" s="30" t="str">
        <f ca="1">IFERROR(__xludf.DUMMYFUNCTION("""COMPUTED_VALUE"""),"-58.5280731")</f>
        <v>-58.5280731</v>
      </c>
      <c r="S253" s="30" t="str">
        <f ca="1">IFERROR(__xludf.DUMMYFUNCTION("""COMPUTED_VALUE"""),"Municipal")</f>
        <v>Municipal</v>
      </c>
      <c r="T253" s="30" t="str">
        <f ca="1">IFERROR(__xludf.DUMMYFUNCTION("""COMPUTED_VALUE"""),"TRES DE FEBRERO")</f>
        <v>TRES DE FEBRERO</v>
      </c>
    </row>
    <row r="254" spans="1:20" ht="15.75" customHeight="1" x14ac:dyDescent="0.25">
      <c r="A254" s="30" t="str">
        <f ca="1">IFERROR(__xludf.DUMMYFUNCTION("""COMPUTED_VALUE"""),"11066382200534")</f>
        <v>11066382200534</v>
      </c>
      <c r="B254" s="30" t="str">
        <f ca="1">IFERROR(__xludf.DUMMYFUNCTION("""COMPUTED_VALUE"""),"HOSPITAL MUNICIPAL PEDIATRICO FEDERICO FALCON")</f>
        <v>HOSPITAL MUNICIPAL PEDIATRICO FEDERICO FALCON</v>
      </c>
      <c r="C254" s="30" t="str">
        <f ca="1">IFERROR(__xludf.DUMMYFUNCTION("""COMPUTED_VALUE"""),"Buenos Aires")</f>
        <v>Buenos Aires</v>
      </c>
      <c r="D254" s="30" t="str">
        <f ca="1">IFERROR(__xludf.DUMMYFUNCTION("""COMPUTED_VALUE"""),"6")</f>
        <v>6</v>
      </c>
      <c r="E254" s="30" t="str">
        <f ca="1">IFERROR(__xludf.DUMMYFUNCTION("""COMPUTED_VALUE"""),"")</f>
        <v/>
      </c>
      <c r="F254" s="29"/>
      <c r="G254" s="29"/>
      <c r="H254" s="30" t="str">
        <f ca="1">IFERROR(__xludf.DUMMYFUNCTION("""COMPUTED_VALUE"""),"inactivo")</f>
        <v>inactivo</v>
      </c>
      <c r="I254" s="29"/>
      <c r="J254" s="29"/>
      <c r="K254" s="29"/>
      <c r="L254" s="30" t="str">
        <f ca="1">IFERROR(__xludf.DUMMYFUNCTION("""COMPUTED_VALUE"""),"No")</f>
        <v>No</v>
      </c>
      <c r="M254" s="30" t="str">
        <f ca="1">IFERROR(__xludf.DUMMYFUNCTION("""COMPUTED_VALUE"""),"6638040001")</f>
        <v>6638040001</v>
      </c>
      <c r="N254" s="30" t="str">
        <f ca="1">IFERROR(__xludf.DUMMYFUNCTION("""COMPUTED_VALUE"""),"DEL VISO")</f>
        <v>DEL VISO</v>
      </c>
      <c r="O254" s="30" t="str">
        <f ca="1">IFERROR(__xludf.DUMMYFUNCTION("""COMPUTED_VALUE"""),"6638")</f>
        <v>6638</v>
      </c>
      <c r="P254" s="30" t="str">
        <f ca="1">IFERROR(__xludf.DUMMYFUNCTION("""COMPUTED_VALUE"""),"PILAR")</f>
        <v>PILAR</v>
      </c>
      <c r="Q254" s="30" t="str">
        <f ca="1">IFERROR(__xludf.DUMMYFUNCTION("""COMPUTED_VALUE"""),"-34.45185132")</f>
        <v>-34.45185132</v>
      </c>
      <c r="R254" s="30" t="str">
        <f ca="1">IFERROR(__xludf.DUMMYFUNCTION("""COMPUTED_VALUE"""),"-58.79151106")</f>
        <v>-58.79151106</v>
      </c>
      <c r="S254" s="30" t="str">
        <f ca="1">IFERROR(__xludf.DUMMYFUNCTION("""COMPUTED_VALUE"""),"Municipal")</f>
        <v>Municipal</v>
      </c>
      <c r="T254" s="30" t="str">
        <f ca="1">IFERROR(__xludf.DUMMYFUNCTION("""COMPUTED_VALUE"""),"PILAR")</f>
        <v>PILAR</v>
      </c>
    </row>
    <row r="255" spans="1:20" ht="15.75" customHeight="1" x14ac:dyDescent="0.25">
      <c r="A255" s="30" t="str">
        <f ca="1">IFERROR(__xludf.DUMMYFUNCTION("""COMPUTED_VALUE"""),"50060142202229")</f>
        <v>50060142202229</v>
      </c>
      <c r="B255" s="30" t="str">
        <f ca="1">IFERROR(__xludf.DUMMYFUNCTION("""COMPUTED_VALUE"""),"UNIDAD SANITARIA DR. FRANCISCO MADUEÑO")</f>
        <v>UNIDAD SANITARIA DR. FRANCISCO MADUEÑO</v>
      </c>
      <c r="C255" s="30" t="str">
        <f ca="1">IFERROR(__xludf.DUMMYFUNCTION("""COMPUTED_VALUE"""),"Buenos Aires")</f>
        <v>Buenos Aires</v>
      </c>
      <c r="D255" s="30" t="str">
        <f ca="1">IFERROR(__xludf.DUMMYFUNCTION("""COMPUTED_VALUE"""),"6")</f>
        <v>6</v>
      </c>
      <c r="E255" s="30" t="str">
        <f ca="1">IFERROR(__xludf.DUMMYFUNCTION("""COMPUTED_VALUE"""),"")</f>
        <v/>
      </c>
      <c r="F255" s="29"/>
      <c r="G255" s="30" t="str">
        <f ca="1">IFERROR(__xludf.DUMMYFUNCTION("""COMPUTED_VALUE"""),"10060282218531")</f>
        <v>10060282218531</v>
      </c>
      <c r="H255" s="30" t="str">
        <f ca="1">IFERROR(__xludf.DUMMYFUNCTION("""COMPUTED_VALUE"""),"inactivo")</f>
        <v>inactivo</v>
      </c>
      <c r="I255" s="29"/>
      <c r="J255" s="29"/>
      <c r="K255" s="29"/>
      <c r="L255" s="30" t="str">
        <f ca="1">IFERROR(__xludf.DUMMYFUNCTION("""COMPUTED_VALUE"""),"No")</f>
        <v>No</v>
      </c>
      <c r="M255" s="30" t="str">
        <f ca="1">IFERROR(__xludf.DUMMYFUNCTION("""COMPUTED_VALUE"""),"6014020000")</f>
        <v>6014020000</v>
      </c>
      <c r="N255" s="30" t="str">
        <f ca="1">IFERROR(__xludf.DUMMYFUNCTION("""COMPUTED_VALUE"""),"DE LA GARMA")</f>
        <v>DE LA GARMA</v>
      </c>
      <c r="O255" s="30" t="str">
        <f ca="1">IFERROR(__xludf.DUMMYFUNCTION("""COMPUTED_VALUE"""),"614")</f>
        <v>614</v>
      </c>
      <c r="P255" s="30" t="str">
        <f ca="1">IFERROR(__xludf.DUMMYFUNCTION("""COMPUTED_VALUE"""),"ADOLFO GONZALES CHAVES")</f>
        <v>ADOLFO GONZALES CHAVES</v>
      </c>
      <c r="Q255" s="30" t="str">
        <f ca="1">IFERROR(__xludf.DUMMYFUNCTION("""COMPUTED_VALUE"""),"-37.963904")</f>
        <v>-37.963904</v>
      </c>
      <c r="R255" s="30" t="str">
        <f ca="1">IFERROR(__xludf.DUMMYFUNCTION("""COMPUTED_VALUE"""),"-60.414338")</f>
        <v>-60.414338</v>
      </c>
      <c r="S255" s="30" t="str">
        <f ca="1">IFERROR(__xludf.DUMMYFUNCTION("""COMPUTED_VALUE"""),"Municipal")</f>
        <v>Municipal</v>
      </c>
      <c r="T255" s="30" t="str">
        <f ca="1">IFERROR(__xludf.DUMMYFUNCTION("""COMPUTED_VALUE"""),"ADOLFO GONZALES CHAVES")</f>
        <v>ADOLFO GONZALES CHAVES</v>
      </c>
    </row>
    <row r="256" spans="1:20" ht="15.75" customHeight="1" x14ac:dyDescent="0.25">
      <c r="A256" s="30" t="str">
        <f ca="1">IFERROR(__xludf.DUMMYFUNCTION("""COMPUTED_VALUE"""),"10060282218531")</f>
        <v>10060282218531</v>
      </c>
      <c r="B256" s="30" t="str">
        <f ca="1">IFERROR(__xludf.DUMMYFUNCTION("""COMPUTED_VALUE"""),"CENTRO DE ATENCION PRIMARIA DE LA SALUD LOS PINOS")</f>
        <v>CENTRO DE ATENCION PRIMARIA DE LA SALUD LOS PINOS</v>
      </c>
      <c r="C256" s="30" t="str">
        <f ca="1">IFERROR(__xludf.DUMMYFUNCTION("""COMPUTED_VALUE"""),"Buenos Aires")</f>
        <v>Buenos Aires</v>
      </c>
      <c r="D256" s="30" t="str">
        <f ca="1">IFERROR(__xludf.DUMMYFUNCTION("""COMPUTED_VALUE"""),"6")</f>
        <v>6</v>
      </c>
      <c r="E256" s="30" t="str">
        <f ca="1">IFERROR(__xludf.DUMMYFUNCTION("""COMPUTED_VALUE"""),"")</f>
        <v/>
      </c>
      <c r="F256" s="30" t="str">
        <f ca="1">IFERROR(__xludf.DUMMYFUNCTION("""COMPUTED_VALUE"""),"50060142202229")</f>
        <v>50060142202229</v>
      </c>
      <c r="G256" s="29"/>
      <c r="H256" s="30" t="str">
        <f ca="1">IFERROR(__xludf.DUMMYFUNCTION("""COMPUTED_VALUE"""),"activo")</f>
        <v>activo</v>
      </c>
      <c r="I256" s="29"/>
      <c r="J256" s="29"/>
      <c r="K256" s="29"/>
      <c r="L256" s="30" t="str">
        <f ca="1">IFERROR(__xludf.DUMMYFUNCTION("""COMPUTED_VALUE"""),"No")</f>
        <v>No</v>
      </c>
      <c r="M256" s="30" t="str">
        <f ca="1">IFERROR(__xludf.DUMMYFUNCTION("""COMPUTED_VALUE"""),"6028010009")</f>
        <v>6028010009</v>
      </c>
      <c r="N256" s="30" t="str">
        <f ca="1">IFERROR(__xludf.DUMMYFUNCTION("""COMPUTED_VALUE"""),"MINISTRO RIVADAVIA")</f>
        <v>MINISTRO RIVADAVIA</v>
      </c>
      <c r="O256" s="30" t="str">
        <f ca="1">IFERROR(__xludf.DUMMYFUNCTION("""COMPUTED_VALUE"""),"628")</f>
        <v>628</v>
      </c>
      <c r="P256" s="30" t="str">
        <f ca="1">IFERROR(__xludf.DUMMYFUNCTION("""COMPUTED_VALUE"""),"ALMIRANTE BROWN")</f>
        <v>ALMIRANTE BROWN</v>
      </c>
      <c r="Q256" s="30"/>
      <c r="R256" s="30"/>
      <c r="S256" s="30" t="str">
        <f ca="1">IFERROR(__xludf.DUMMYFUNCTION("""COMPUTED_VALUE"""),"Municipal")</f>
        <v>Municipal</v>
      </c>
      <c r="T256" s="30" t="str">
        <f ca="1">IFERROR(__xludf.DUMMYFUNCTION("""COMPUTED_VALUE"""),"ALMIRANTE BROWN")</f>
        <v>ALMIRANTE BROWN</v>
      </c>
    </row>
    <row r="257" spans="1:20" ht="15.75" customHeight="1" x14ac:dyDescent="0.25">
      <c r="A257" s="30" t="str">
        <f ca="1">IFERROR(__xludf.DUMMYFUNCTION("""COMPUTED_VALUE"""),"50060282202312")</f>
        <v>50060282202312</v>
      </c>
      <c r="B257" s="30" t="str">
        <f ca="1">IFERROR(__xludf.DUMMYFUNCTION("""COMPUTED_VALUE"""),"UNIDAD SANITARIA GLEW I")</f>
        <v>UNIDAD SANITARIA GLEW I</v>
      </c>
      <c r="C257" s="30" t="str">
        <f ca="1">IFERROR(__xludf.DUMMYFUNCTION("""COMPUTED_VALUE"""),"Buenos Aires")</f>
        <v>Buenos Aires</v>
      </c>
      <c r="D257" s="30" t="str">
        <f ca="1">IFERROR(__xludf.DUMMYFUNCTION("""COMPUTED_VALUE"""),"6")</f>
        <v>6</v>
      </c>
      <c r="E257" s="30" t="str">
        <f ca="1">IFERROR(__xludf.DUMMYFUNCTION("""COMPUTED_VALUE"""),"")</f>
        <v/>
      </c>
      <c r="F257" s="29"/>
      <c r="G257" s="29"/>
      <c r="H257" s="30" t="str">
        <f ca="1">IFERROR(__xludf.DUMMYFUNCTION("""COMPUTED_VALUE"""),"activo")</f>
        <v>activo</v>
      </c>
      <c r="I257" s="29"/>
      <c r="J257" s="29"/>
      <c r="K257" s="29"/>
      <c r="L257" s="30" t="str">
        <f ca="1">IFERROR(__xludf.DUMMYFUNCTION("""COMPUTED_VALUE"""),"No")</f>
        <v>No</v>
      </c>
      <c r="M257" s="30" t="str">
        <f ca="1">IFERROR(__xludf.DUMMYFUNCTION("""COMPUTED_VALUE"""),"6028010005")</f>
        <v>6028010005</v>
      </c>
      <c r="N257" s="30" t="str">
        <f ca="1">IFERROR(__xludf.DUMMYFUNCTION("""COMPUTED_VALUE"""),"GLEW")</f>
        <v>GLEW</v>
      </c>
      <c r="O257" s="30" t="str">
        <f ca="1">IFERROR(__xludf.DUMMYFUNCTION("""COMPUTED_VALUE"""),"628")</f>
        <v>628</v>
      </c>
      <c r="P257" s="30" t="str">
        <f ca="1">IFERROR(__xludf.DUMMYFUNCTION("""COMPUTED_VALUE"""),"ALMIRANTE BROWN")</f>
        <v>ALMIRANTE BROWN</v>
      </c>
      <c r="Q257" s="30" t="str">
        <f ca="1">IFERROR(__xludf.DUMMYFUNCTION("""COMPUTED_VALUE"""),"-34.90660842")</f>
        <v>-34.90660842</v>
      </c>
      <c r="R257" s="30" t="str">
        <f ca="1">IFERROR(__xludf.DUMMYFUNCTION("""COMPUTED_VALUE"""),"-58.39576292")</f>
        <v>-58.39576292</v>
      </c>
      <c r="S257" s="30" t="str">
        <f ca="1">IFERROR(__xludf.DUMMYFUNCTION("""COMPUTED_VALUE"""),"Municipal")</f>
        <v>Municipal</v>
      </c>
      <c r="T257" s="30" t="str">
        <f ca="1">IFERROR(__xludf.DUMMYFUNCTION("""COMPUTED_VALUE"""),"ALMIRANTE BROWN")</f>
        <v>ALMIRANTE BROWN</v>
      </c>
    </row>
    <row r="258" spans="1:20" ht="15.75" customHeight="1" x14ac:dyDescent="0.25">
      <c r="A258" s="30" t="str">
        <f ca="1">IFERROR(__xludf.DUMMYFUNCTION("""COMPUTED_VALUE"""),"50060282202467")</f>
        <v>50060282202467</v>
      </c>
      <c r="B258" s="30" t="str">
        <f ca="1">IFERROR(__xludf.DUMMYFUNCTION("""COMPUTED_VALUE"""),"UNIDAD SANITARIA N° 1 MINISTRO RIVADAVIA DE BURZACO")</f>
        <v>UNIDAD SANITARIA N° 1 MINISTRO RIVADAVIA DE BURZACO</v>
      </c>
      <c r="C258" s="30" t="str">
        <f ca="1">IFERROR(__xludf.DUMMYFUNCTION("""COMPUTED_VALUE"""),"Buenos Aires")</f>
        <v>Buenos Aires</v>
      </c>
      <c r="D258" s="30" t="str">
        <f ca="1">IFERROR(__xludf.DUMMYFUNCTION("""COMPUTED_VALUE"""),"6")</f>
        <v>6</v>
      </c>
      <c r="E258" s="30" t="str">
        <f ca="1">IFERROR(__xludf.DUMMYFUNCTION("""COMPUTED_VALUE"""),"")</f>
        <v/>
      </c>
      <c r="F258" s="29"/>
      <c r="G258" s="29"/>
      <c r="H258" s="30" t="str">
        <f ca="1">IFERROR(__xludf.DUMMYFUNCTION("""COMPUTED_VALUE"""),"activo")</f>
        <v>activo</v>
      </c>
      <c r="I258" s="29"/>
      <c r="J258" s="29"/>
      <c r="K258" s="29"/>
      <c r="L258" s="30" t="str">
        <f ca="1">IFERROR(__xludf.DUMMYFUNCTION("""COMPUTED_VALUE"""),"No")</f>
        <v>No</v>
      </c>
      <c r="M258" s="30" t="str">
        <f ca="1">IFERROR(__xludf.DUMMYFUNCTION("""COMPUTED_VALUE"""),"6028010002")</f>
        <v>6028010002</v>
      </c>
      <c r="N258" s="30" t="str">
        <f ca="1">IFERROR(__xludf.DUMMYFUNCTION("""COMPUTED_VALUE"""),"BURZACO")</f>
        <v>BURZACO</v>
      </c>
      <c r="O258" s="30" t="str">
        <f ca="1">IFERROR(__xludf.DUMMYFUNCTION("""COMPUTED_VALUE"""),"628")</f>
        <v>628</v>
      </c>
      <c r="P258" s="30" t="str">
        <f ca="1">IFERROR(__xludf.DUMMYFUNCTION("""COMPUTED_VALUE"""),"ALMIRANTE BROWN")</f>
        <v>ALMIRANTE BROWN</v>
      </c>
      <c r="Q258" s="30" t="str">
        <f ca="1">IFERROR(__xludf.DUMMYFUNCTION("""COMPUTED_VALUE"""),"-34.84196632")</f>
        <v>-34.84196632</v>
      </c>
      <c r="R258" s="30" t="str">
        <f ca="1">IFERROR(__xludf.DUMMYFUNCTION("""COMPUTED_VALUE"""),"-58.370121")</f>
        <v>-58.370121</v>
      </c>
      <c r="S258" s="30" t="str">
        <f ca="1">IFERROR(__xludf.DUMMYFUNCTION("""COMPUTED_VALUE"""),"Municipal")</f>
        <v>Municipal</v>
      </c>
      <c r="T258" s="30" t="str">
        <f ca="1">IFERROR(__xludf.DUMMYFUNCTION("""COMPUTED_VALUE"""),"ALMIRANTE BROWN")</f>
        <v>ALMIRANTE BROWN</v>
      </c>
    </row>
    <row r="259" spans="1:20" ht="15.75" customHeight="1" x14ac:dyDescent="0.25">
      <c r="A259" s="30" t="str">
        <f ca="1">IFERROR(__xludf.DUMMYFUNCTION("""COMPUTED_VALUE"""),"50060282202483")</f>
        <v>50060282202483</v>
      </c>
      <c r="B259" s="30" t="str">
        <f ca="1">IFERROR(__xludf.DUMMYFUNCTION("""COMPUTED_VALUE"""),"UNIDAD SANITARIA N° 11 LA GLORIA DE SAN JOSE")</f>
        <v>UNIDAD SANITARIA N° 11 LA GLORIA DE SAN JOSE</v>
      </c>
      <c r="C259" s="30" t="str">
        <f ca="1">IFERROR(__xludf.DUMMYFUNCTION("""COMPUTED_VALUE"""),"Buenos Aires")</f>
        <v>Buenos Aires</v>
      </c>
      <c r="D259" s="30" t="str">
        <f ca="1">IFERROR(__xludf.DUMMYFUNCTION("""COMPUTED_VALUE"""),"6")</f>
        <v>6</v>
      </c>
      <c r="E259" s="30" t="str">
        <f ca="1">IFERROR(__xludf.DUMMYFUNCTION("""COMPUTED_VALUE"""),"")</f>
        <v/>
      </c>
      <c r="F259" s="29"/>
      <c r="G259" s="29"/>
      <c r="H259" s="30" t="str">
        <f ca="1">IFERROR(__xludf.DUMMYFUNCTION("""COMPUTED_VALUE"""),"inactivo")</f>
        <v>inactivo</v>
      </c>
      <c r="I259" s="30" t="str">
        <f ca="1">IFERROR(__xludf.DUMMYFUNCTION("""COMPUTED_VALUE"""),"- fuera circular 2")</f>
        <v>- fuera circular 2</v>
      </c>
      <c r="J259" s="29"/>
      <c r="K259" s="29"/>
      <c r="L259" s="30" t="str">
        <f ca="1">IFERROR(__xludf.DUMMYFUNCTION("""COMPUTED_VALUE"""),"No")</f>
        <v>No</v>
      </c>
      <c r="M259" s="30" t="str">
        <f ca="1">IFERROR(__xludf.DUMMYFUNCTION("""COMPUTED_VALUE"""),"6028010012")</f>
        <v>6028010012</v>
      </c>
      <c r="N259" s="30" t="str">
        <f ca="1">IFERROR(__xludf.DUMMYFUNCTION("""COMPUTED_VALUE"""),"SAN JOSE")</f>
        <v>SAN JOSE</v>
      </c>
      <c r="O259" s="30" t="str">
        <f ca="1">IFERROR(__xludf.DUMMYFUNCTION("""COMPUTED_VALUE"""),"628")</f>
        <v>628</v>
      </c>
      <c r="P259" s="30" t="str">
        <f ca="1">IFERROR(__xludf.DUMMYFUNCTION("""COMPUTED_VALUE"""),"ALMIRANTE BROWN")</f>
        <v>ALMIRANTE BROWN</v>
      </c>
      <c r="Q259" s="30" t="str">
        <f ca="1">IFERROR(__xludf.DUMMYFUNCTION("""COMPUTED_VALUE"""),"-34.76618667")</f>
        <v>-34.76618667</v>
      </c>
      <c r="R259" s="30" t="str">
        <f ca="1">IFERROR(__xludf.DUMMYFUNCTION("""COMPUTED_VALUE"""),"-58.3340292")</f>
        <v>-58.3340292</v>
      </c>
      <c r="S259" s="30" t="str">
        <f ca="1">IFERROR(__xludf.DUMMYFUNCTION("""COMPUTED_VALUE"""),"Municipal")</f>
        <v>Municipal</v>
      </c>
      <c r="T259" s="30" t="str">
        <f ca="1">IFERROR(__xludf.DUMMYFUNCTION("""COMPUTED_VALUE"""),"ALMIRANTE BROWN")</f>
        <v>ALMIRANTE BROWN</v>
      </c>
    </row>
    <row r="260" spans="1:20" ht="15.75" customHeight="1" x14ac:dyDescent="0.25">
      <c r="A260" s="30" t="str">
        <f ca="1">IFERROR(__xludf.DUMMYFUNCTION("""COMPUTED_VALUE"""),"50060282202497")</f>
        <v>50060282202497</v>
      </c>
      <c r="B260" s="30" t="str">
        <f ca="1">IFERROR(__xludf.DUMMYFUNCTION("""COMPUTED_VALUE"""),"UNIDAD SANITARIA N° 13 DE BURZACO")</f>
        <v>UNIDAD SANITARIA N° 13 DE BURZACO</v>
      </c>
      <c r="C260" s="30" t="str">
        <f ca="1">IFERROR(__xludf.DUMMYFUNCTION("""COMPUTED_VALUE"""),"Buenos Aires")</f>
        <v>Buenos Aires</v>
      </c>
      <c r="D260" s="30" t="str">
        <f ca="1">IFERROR(__xludf.DUMMYFUNCTION("""COMPUTED_VALUE"""),"6")</f>
        <v>6</v>
      </c>
      <c r="E260" s="30" t="str">
        <f ca="1">IFERROR(__xludf.DUMMYFUNCTION("""COMPUTED_VALUE"""),"")</f>
        <v/>
      </c>
      <c r="F260" s="29"/>
      <c r="G260" s="29"/>
      <c r="H260" s="30" t="str">
        <f ca="1">IFERROR(__xludf.DUMMYFUNCTION("""COMPUTED_VALUE"""),"activo")</f>
        <v>activo</v>
      </c>
      <c r="I260" s="29"/>
      <c r="J260" s="29"/>
      <c r="K260" s="29"/>
      <c r="L260" s="30" t="str">
        <f ca="1">IFERROR(__xludf.DUMMYFUNCTION("""COMPUTED_VALUE"""),"No")</f>
        <v>No</v>
      </c>
      <c r="M260" s="30" t="str">
        <f ca="1">IFERROR(__xludf.DUMMYFUNCTION("""COMPUTED_VALUE"""),"6028010002")</f>
        <v>6028010002</v>
      </c>
      <c r="N260" s="30" t="str">
        <f ca="1">IFERROR(__xludf.DUMMYFUNCTION("""COMPUTED_VALUE"""),"BURZACO")</f>
        <v>BURZACO</v>
      </c>
      <c r="O260" s="30" t="str">
        <f ca="1">IFERROR(__xludf.DUMMYFUNCTION("""COMPUTED_VALUE"""),"628")</f>
        <v>628</v>
      </c>
      <c r="P260" s="30" t="str">
        <f ca="1">IFERROR(__xludf.DUMMYFUNCTION("""COMPUTED_VALUE"""),"ALMIRANTE BROWN")</f>
        <v>ALMIRANTE BROWN</v>
      </c>
      <c r="Q260" s="30" t="str">
        <f ca="1">IFERROR(__xludf.DUMMYFUNCTION("""COMPUTED_VALUE"""),"-34.81872624")</f>
        <v>-34.81872624</v>
      </c>
      <c r="R260" s="30" t="str">
        <f ca="1">IFERROR(__xludf.DUMMYFUNCTION("""COMPUTED_VALUE"""),"-58.3718183")</f>
        <v>-58.3718183</v>
      </c>
      <c r="S260" s="30" t="str">
        <f ca="1">IFERROR(__xludf.DUMMYFUNCTION("""COMPUTED_VALUE"""),"Municipal")</f>
        <v>Municipal</v>
      </c>
      <c r="T260" s="30" t="str">
        <f ca="1">IFERROR(__xludf.DUMMYFUNCTION("""COMPUTED_VALUE"""),"ALMIRANTE BROWN")</f>
        <v>ALMIRANTE BROWN</v>
      </c>
    </row>
    <row r="261" spans="1:20" ht="15.75" customHeight="1" x14ac:dyDescent="0.25">
      <c r="A261" s="30" t="str">
        <f ca="1">IFERROR(__xludf.DUMMYFUNCTION("""COMPUTED_VALUE"""),"50060282202650")</f>
        <v>50060282202650</v>
      </c>
      <c r="B261" s="30" t="str">
        <f ca="1">IFERROR(__xludf.DUMMYFUNCTION("""COMPUTED_VALUE"""),"UNIDAD SANITARIA N° 6 LOS ALAMOS DE GLEW")</f>
        <v>UNIDAD SANITARIA N° 6 LOS ALAMOS DE GLEW</v>
      </c>
      <c r="C261" s="30" t="str">
        <f ca="1">IFERROR(__xludf.DUMMYFUNCTION("""COMPUTED_VALUE"""),"Buenos Aires")</f>
        <v>Buenos Aires</v>
      </c>
      <c r="D261" s="30" t="str">
        <f ca="1">IFERROR(__xludf.DUMMYFUNCTION("""COMPUTED_VALUE"""),"6")</f>
        <v>6</v>
      </c>
      <c r="E261" s="30" t="str">
        <f ca="1">IFERROR(__xludf.DUMMYFUNCTION("""COMPUTED_VALUE"""),"")</f>
        <v/>
      </c>
      <c r="F261" s="29"/>
      <c r="G261" s="29"/>
      <c r="H261" s="30" t="str">
        <f ca="1">IFERROR(__xludf.DUMMYFUNCTION("""COMPUTED_VALUE"""),"activo")</f>
        <v>activo</v>
      </c>
      <c r="I261" s="29"/>
      <c r="J261" s="29"/>
      <c r="K261" s="29"/>
      <c r="L261" s="30" t="str">
        <f ca="1">IFERROR(__xludf.DUMMYFUNCTION("""COMPUTED_VALUE"""),"No")</f>
        <v>No</v>
      </c>
      <c r="M261" s="30" t="str">
        <f ca="1">IFERROR(__xludf.DUMMYFUNCTION("""COMPUTED_VALUE"""),"6028010005")</f>
        <v>6028010005</v>
      </c>
      <c r="N261" s="30" t="str">
        <f ca="1">IFERROR(__xludf.DUMMYFUNCTION("""COMPUTED_VALUE"""),"GLEW")</f>
        <v>GLEW</v>
      </c>
      <c r="O261" s="30" t="str">
        <f ca="1">IFERROR(__xludf.DUMMYFUNCTION("""COMPUTED_VALUE"""),"628")</f>
        <v>628</v>
      </c>
      <c r="P261" s="30" t="str">
        <f ca="1">IFERROR(__xludf.DUMMYFUNCTION("""COMPUTED_VALUE"""),"ALMIRANTE BROWN")</f>
        <v>ALMIRANTE BROWN</v>
      </c>
      <c r="Q261" s="30" t="str">
        <f ca="1">IFERROR(__xludf.DUMMYFUNCTION("""COMPUTED_VALUE"""),"-34.88136541")</f>
        <v>-34.88136541</v>
      </c>
      <c r="R261" s="30" t="str">
        <f ca="1">IFERROR(__xludf.DUMMYFUNCTION("""COMPUTED_VALUE"""),"-58.40031087")</f>
        <v>-58.40031087</v>
      </c>
      <c r="S261" s="30" t="str">
        <f ca="1">IFERROR(__xludf.DUMMYFUNCTION("""COMPUTED_VALUE"""),"Municipal")</f>
        <v>Municipal</v>
      </c>
      <c r="T261" s="30" t="str">
        <f ca="1">IFERROR(__xludf.DUMMYFUNCTION("""COMPUTED_VALUE"""),"ALMIRANTE BROWN")</f>
        <v>ALMIRANTE BROWN</v>
      </c>
    </row>
    <row r="262" spans="1:20" ht="15.75" customHeight="1" x14ac:dyDescent="0.25">
      <c r="A262" s="30" t="str">
        <f ca="1">IFERROR(__xludf.DUMMYFUNCTION("""COMPUTED_VALUE"""),"50060282202685")</f>
        <v>50060282202685</v>
      </c>
      <c r="B262" s="30" t="str">
        <f ca="1">IFERROR(__xludf.DUMMYFUNCTION("""COMPUTED_VALUE"""),"UNIDAD SANITARIA N° 9 VENDRAMINI DE BURZACO")</f>
        <v>UNIDAD SANITARIA N° 9 VENDRAMINI DE BURZACO</v>
      </c>
      <c r="C262" s="30" t="str">
        <f ca="1">IFERROR(__xludf.DUMMYFUNCTION("""COMPUTED_VALUE"""),"Buenos Aires")</f>
        <v>Buenos Aires</v>
      </c>
      <c r="D262" s="30" t="str">
        <f ca="1">IFERROR(__xludf.DUMMYFUNCTION("""COMPUTED_VALUE"""),"6")</f>
        <v>6</v>
      </c>
      <c r="E262" s="30" t="str">
        <f ca="1">IFERROR(__xludf.DUMMYFUNCTION("""COMPUTED_VALUE"""),"")</f>
        <v/>
      </c>
      <c r="F262" s="29"/>
      <c r="G262" s="29"/>
      <c r="H262" s="30" t="str">
        <f ca="1">IFERROR(__xludf.DUMMYFUNCTION("""COMPUTED_VALUE"""),"inactivo")</f>
        <v>inactivo</v>
      </c>
      <c r="I262" s="30" t="str">
        <f ca="1">IFERROR(__xludf.DUMMYFUNCTION("""COMPUTED_VALUE"""),"- fuera circular 2")</f>
        <v>- fuera circular 2</v>
      </c>
      <c r="J262" s="29"/>
      <c r="K262" s="29"/>
      <c r="L262" s="30" t="str">
        <f ca="1">IFERROR(__xludf.DUMMYFUNCTION("""COMPUTED_VALUE"""),"No")</f>
        <v>No</v>
      </c>
      <c r="M262" s="30" t="str">
        <f ca="1">IFERROR(__xludf.DUMMYFUNCTION("""COMPUTED_VALUE"""),"6028010002")</f>
        <v>6028010002</v>
      </c>
      <c r="N262" s="30" t="str">
        <f ca="1">IFERROR(__xludf.DUMMYFUNCTION("""COMPUTED_VALUE"""),"BURZACO")</f>
        <v>BURZACO</v>
      </c>
      <c r="O262" s="30" t="str">
        <f ca="1">IFERROR(__xludf.DUMMYFUNCTION("""COMPUTED_VALUE"""),"628")</f>
        <v>628</v>
      </c>
      <c r="P262" s="30" t="str">
        <f ca="1">IFERROR(__xludf.DUMMYFUNCTION("""COMPUTED_VALUE"""),"ALMIRANTE BROWN")</f>
        <v>ALMIRANTE BROWN</v>
      </c>
      <c r="Q262" s="30" t="str">
        <f ca="1">IFERROR(__xludf.DUMMYFUNCTION("""COMPUTED_VALUE"""),"-34.82713655")</f>
        <v>-34.82713655</v>
      </c>
      <c r="R262" s="30" t="str">
        <f ca="1">IFERROR(__xludf.DUMMYFUNCTION("""COMPUTED_VALUE"""),"-58.41065454")</f>
        <v>-58.41065454</v>
      </c>
      <c r="S262" s="30" t="str">
        <f ca="1">IFERROR(__xludf.DUMMYFUNCTION("""COMPUTED_VALUE"""),"Municipal")</f>
        <v>Municipal</v>
      </c>
      <c r="T262" s="30" t="str">
        <f ca="1">IFERROR(__xludf.DUMMYFUNCTION("""COMPUTED_VALUE"""),"ALMIRANTE BROWN")</f>
        <v>ALMIRANTE BROWN</v>
      </c>
    </row>
    <row r="263" spans="1:20" ht="15.75" customHeight="1" x14ac:dyDescent="0.25">
      <c r="A263" s="30" t="str">
        <f ca="1">IFERROR(__xludf.DUMMYFUNCTION("""COMPUTED_VALUE"""),"50060352202516")</f>
        <v>50060352202516</v>
      </c>
      <c r="B263" s="30" t="str">
        <f ca="1">IFERROR(__xludf.DUMMYFUNCTION("""COMPUTED_VALUE"""),"UNIDAD SANITARIA N° 16 DE AVELLANEDA")</f>
        <v>UNIDAD SANITARIA N° 16 DE AVELLANEDA</v>
      </c>
      <c r="C263" s="30" t="str">
        <f ca="1">IFERROR(__xludf.DUMMYFUNCTION("""COMPUTED_VALUE"""),"Buenos Aires")</f>
        <v>Buenos Aires</v>
      </c>
      <c r="D263" s="30" t="str">
        <f ca="1">IFERROR(__xludf.DUMMYFUNCTION("""COMPUTED_VALUE"""),"6")</f>
        <v>6</v>
      </c>
      <c r="E263" s="30" t="str">
        <f ca="1">IFERROR(__xludf.DUMMYFUNCTION("""COMPUTED_VALUE"""),"")</f>
        <v/>
      </c>
      <c r="F263" s="29"/>
      <c r="G263" s="29"/>
      <c r="H263" s="30" t="str">
        <f ca="1">IFERROR(__xludf.DUMMYFUNCTION("""COMPUTED_VALUE"""),"activo")</f>
        <v>activo</v>
      </c>
      <c r="I263" s="30" t="str">
        <f ca="1">IFERROR(__xludf.DUMMYFUNCTION("""COMPUTED_VALUE"""),"2020")</f>
        <v>2020</v>
      </c>
      <c r="J263" s="29"/>
      <c r="K263" s="29"/>
      <c r="L263" s="30" t="str">
        <f ca="1">IFERROR(__xludf.DUMMYFUNCTION("""COMPUTED_VALUE"""),"No")</f>
        <v>No</v>
      </c>
      <c r="M263" s="30" t="str">
        <f ca="1">IFERROR(__xludf.DUMMYFUNCTION("""COMPUTED_VALUE"""),"6035010003")</f>
        <v>6035010003</v>
      </c>
      <c r="N263" s="30" t="str">
        <f ca="1">IFERROR(__xludf.DUMMYFUNCTION("""COMPUTED_VALUE"""),"CRUCESITA")</f>
        <v>CRUCESITA</v>
      </c>
      <c r="O263" s="30" t="str">
        <f ca="1">IFERROR(__xludf.DUMMYFUNCTION("""COMPUTED_VALUE"""),"635")</f>
        <v>635</v>
      </c>
      <c r="P263" s="30" t="str">
        <f ca="1">IFERROR(__xludf.DUMMYFUNCTION("""COMPUTED_VALUE"""),"AVELLANEDA")</f>
        <v>AVELLANEDA</v>
      </c>
      <c r="Q263" s="30" t="str">
        <f ca="1">IFERROR(__xludf.DUMMYFUNCTION("""COMPUTED_VALUE"""),"-34.66176654")</f>
        <v>-34.66176654</v>
      </c>
      <c r="R263" s="30" t="str">
        <f ca="1">IFERROR(__xludf.DUMMYFUNCTION("""COMPUTED_VALUE"""),"-58.35238409")</f>
        <v>-58.35238409</v>
      </c>
      <c r="S263" s="30" t="str">
        <f ca="1">IFERROR(__xludf.DUMMYFUNCTION("""COMPUTED_VALUE"""),"Municipal")</f>
        <v>Municipal</v>
      </c>
      <c r="T263" s="30" t="str">
        <f ca="1">IFERROR(__xludf.DUMMYFUNCTION("""COMPUTED_VALUE"""),"AVELLANEDA")</f>
        <v>AVELLANEDA</v>
      </c>
    </row>
    <row r="264" spans="1:20" ht="15.75" customHeight="1" x14ac:dyDescent="0.25">
      <c r="A264" s="30" t="str">
        <f ca="1">IFERROR(__xludf.DUMMYFUNCTION("""COMPUTED_VALUE"""),"50060352202525")</f>
        <v>50060352202525</v>
      </c>
      <c r="B264" s="30" t="str">
        <f ca="1">IFERROR(__xludf.DUMMYFUNCTION("""COMPUTED_VALUE"""),"UNIDAD SANITARIA N° 17 DE AVELLANEDA")</f>
        <v>UNIDAD SANITARIA N° 17 DE AVELLANEDA</v>
      </c>
      <c r="C264" s="30" t="str">
        <f ca="1">IFERROR(__xludf.DUMMYFUNCTION("""COMPUTED_VALUE"""),"Buenos Aires")</f>
        <v>Buenos Aires</v>
      </c>
      <c r="D264" s="30" t="str">
        <f ca="1">IFERROR(__xludf.DUMMYFUNCTION("""COMPUTED_VALUE"""),"6")</f>
        <v>6</v>
      </c>
      <c r="E264" s="30" t="str">
        <f ca="1">IFERROR(__xludf.DUMMYFUNCTION("""COMPUTED_VALUE"""),"")</f>
        <v/>
      </c>
      <c r="F264" s="29"/>
      <c r="G264" s="29"/>
      <c r="H264" s="30" t="str">
        <f ca="1">IFERROR(__xludf.DUMMYFUNCTION("""COMPUTED_VALUE"""),"activo")</f>
        <v>activo</v>
      </c>
      <c r="I264" s="29"/>
      <c r="J264" s="29"/>
      <c r="K264" s="29"/>
      <c r="L264" s="30" t="str">
        <f ca="1">IFERROR(__xludf.DUMMYFUNCTION("""COMPUTED_VALUE"""),"No")</f>
        <v>No</v>
      </c>
      <c r="M264" s="30" t="str">
        <f ca="1">IFERROR(__xludf.DUMMYFUNCTION("""COMPUTED_VALUE"""),"6035010008")</f>
        <v>6035010008</v>
      </c>
      <c r="N264" s="30" t="str">
        <f ca="1">IFERROR(__xludf.DUMMYFUNCTION("""COMPUTED_VALUE"""),"VILLA DOMINICO")</f>
        <v>VILLA DOMINICO</v>
      </c>
      <c r="O264" s="30" t="str">
        <f ca="1">IFERROR(__xludf.DUMMYFUNCTION("""COMPUTED_VALUE"""),"635")</f>
        <v>635</v>
      </c>
      <c r="P264" s="30" t="str">
        <f ca="1">IFERROR(__xludf.DUMMYFUNCTION("""COMPUTED_VALUE"""),"AVELLANEDA")</f>
        <v>AVELLANEDA</v>
      </c>
      <c r="Q264" s="30" t="str">
        <f ca="1">IFERROR(__xludf.DUMMYFUNCTION("""COMPUTED_VALUE"""),"-34.70876691")</f>
        <v>-34.70876691</v>
      </c>
      <c r="R264" s="30" t="str">
        <f ca="1">IFERROR(__xludf.DUMMYFUNCTION("""COMPUTED_VALUE"""),"-58.35377884")</f>
        <v>-58.35377884</v>
      </c>
      <c r="S264" s="30" t="str">
        <f ca="1">IFERROR(__xludf.DUMMYFUNCTION("""COMPUTED_VALUE"""),"Municipal")</f>
        <v>Municipal</v>
      </c>
      <c r="T264" s="30" t="str">
        <f ca="1">IFERROR(__xludf.DUMMYFUNCTION("""COMPUTED_VALUE"""),"AVELLANEDA")</f>
        <v>AVELLANEDA</v>
      </c>
    </row>
    <row r="265" spans="1:20" ht="15.75" customHeight="1" x14ac:dyDescent="0.25">
      <c r="A265" s="30" t="str">
        <f ca="1">IFERROR(__xludf.DUMMYFUNCTION("""COMPUTED_VALUE"""),"50060352202587")</f>
        <v>50060352202587</v>
      </c>
      <c r="B265" s="30" t="str">
        <f ca="1">IFERROR(__xludf.DUMMYFUNCTION("""COMPUTED_VALUE"""),"UNIDAD SANITARIA N° 3 DE AVELLANEDA")</f>
        <v>UNIDAD SANITARIA N° 3 DE AVELLANEDA</v>
      </c>
      <c r="C265" s="30" t="str">
        <f ca="1">IFERROR(__xludf.DUMMYFUNCTION("""COMPUTED_VALUE"""),"Buenos Aires")</f>
        <v>Buenos Aires</v>
      </c>
      <c r="D265" s="30" t="str">
        <f ca="1">IFERROR(__xludf.DUMMYFUNCTION("""COMPUTED_VALUE"""),"6")</f>
        <v>6</v>
      </c>
      <c r="E265" s="30" t="str">
        <f ca="1">IFERROR(__xludf.DUMMYFUNCTION("""COMPUTED_VALUE"""),"")</f>
        <v/>
      </c>
      <c r="F265" s="29"/>
      <c r="G265" s="29"/>
      <c r="H265" s="30" t="str">
        <f ca="1">IFERROR(__xludf.DUMMYFUNCTION("""COMPUTED_VALUE"""),"activo")</f>
        <v>activo</v>
      </c>
      <c r="I265" s="29"/>
      <c r="J265" s="29"/>
      <c r="K265" s="29"/>
      <c r="L265" s="30" t="str">
        <f ca="1">IFERROR(__xludf.DUMMYFUNCTION("""COMPUTED_VALUE"""),"No")</f>
        <v>No</v>
      </c>
      <c r="M265" s="30" t="str">
        <f ca="1">IFERROR(__xludf.DUMMYFUNCTION("""COMPUTED_VALUE"""),"6035010008")</f>
        <v>6035010008</v>
      </c>
      <c r="N265" s="30" t="str">
        <f ca="1">IFERROR(__xludf.DUMMYFUNCTION("""COMPUTED_VALUE"""),"VILLA DOMINICO")</f>
        <v>VILLA DOMINICO</v>
      </c>
      <c r="O265" s="30" t="str">
        <f ca="1">IFERROR(__xludf.DUMMYFUNCTION("""COMPUTED_VALUE"""),"635")</f>
        <v>635</v>
      </c>
      <c r="P265" s="30" t="str">
        <f ca="1">IFERROR(__xludf.DUMMYFUNCTION("""COMPUTED_VALUE"""),"AVELLANEDA")</f>
        <v>AVELLANEDA</v>
      </c>
      <c r="Q265" s="30" t="str">
        <f ca="1">IFERROR(__xludf.DUMMYFUNCTION("""COMPUTED_VALUE"""),"-34.69042561")</f>
        <v>-34.69042561</v>
      </c>
      <c r="R265" s="30" t="str">
        <f ca="1">IFERROR(__xludf.DUMMYFUNCTION("""COMPUTED_VALUE"""),"-58.3393507")</f>
        <v>-58.3393507</v>
      </c>
      <c r="S265" s="30" t="str">
        <f ca="1">IFERROR(__xludf.DUMMYFUNCTION("""COMPUTED_VALUE"""),"Municipal")</f>
        <v>Municipal</v>
      </c>
      <c r="T265" s="30" t="str">
        <f ca="1">IFERROR(__xludf.DUMMYFUNCTION("""COMPUTED_VALUE"""),"AVELLANEDA")</f>
        <v>AVELLANEDA</v>
      </c>
    </row>
    <row r="266" spans="1:20" ht="15.75" customHeight="1" x14ac:dyDescent="0.25">
      <c r="A266" s="30" t="str">
        <f ca="1">IFERROR(__xludf.DUMMYFUNCTION("""COMPUTED_VALUE"""),"50060352202640")</f>
        <v>50060352202640</v>
      </c>
      <c r="B266" s="30" t="str">
        <f ca="1">IFERROR(__xludf.DUMMYFUNCTION("""COMPUTED_VALUE"""),"UNIDAD SANITARIA N° 6 DE AVELLANEDA")</f>
        <v>UNIDAD SANITARIA N° 6 DE AVELLANEDA</v>
      </c>
      <c r="C266" s="30" t="str">
        <f ca="1">IFERROR(__xludf.DUMMYFUNCTION("""COMPUTED_VALUE"""),"Buenos Aires")</f>
        <v>Buenos Aires</v>
      </c>
      <c r="D266" s="30" t="str">
        <f ca="1">IFERROR(__xludf.DUMMYFUNCTION("""COMPUTED_VALUE"""),"6")</f>
        <v>6</v>
      </c>
      <c r="E266" s="30" t="str">
        <f ca="1">IFERROR(__xludf.DUMMYFUNCTION("""COMPUTED_VALUE"""),"")</f>
        <v/>
      </c>
      <c r="F266" s="29"/>
      <c r="G266" s="29"/>
      <c r="H266" s="30" t="str">
        <f ca="1">IFERROR(__xludf.DUMMYFUNCTION("""COMPUTED_VALUE"""),"activo")</f>
        <v>activo</v>
      </c>
      <c r="I266" s="30" t="str">
        <f ca="1">IFERROR(__xludf.DUMMYFUNCTION("""COMPUTED_VALUE"""),"- fuera circular 2")</f>
        <v>- fuera circular 2</v>
      </c>
      <c r="J266" s="29"/>
      <c r="K266" s="29"/>
      <c r="L266" s="30" t="str">
        <f ca="1">IFERROR(__xludf.DUMMYFUNCTION("""COMPUTED_VALUE"""),"No")</f>
        <v>No</v>
      </c>
      <c r="M266" s="30" t="str">
        <f ca="1">IFERROR(__xludf.DUMMYFUNCTION("""COMPUTED_VALUE"""),"6035010009")</f>
        <v>6035010009</v>
      </c>
      <c r="N266" s="30" t="str">
        <f ca="1">IFERROR(__xludf.DUMMYFUNCTION("""COMPUTED_VALUE"""),"WILDE")</f>
        <v>WILDE</v>
      </c>
      <c r="O266" s="30" t="str">
        <f ca="1">IFERROR(__xludf.DUMMYFUNCTION("""COMPUTED_VALUE"""),"635")</f>
        <v>635</v>
      </c>
      <c r="P266" s="30" t="str">
        <f ca="1">IFERROR(__xludf.DUMMYFUNCTION("""COMPUTED_VALUE"""),"AVELLANEDA")</f>
        <v>AVELLANEDA</v>
      </c>
      <c r="Q266" s="30" t="str">
        <f ca="1">IFERROR(__xludf.DUMMYFUNCTION("""COMPUTED_VALUE"""),"-34.71165223")</f>
        <v>-34.71165223</v>
      </c>
      <c r="R266" s="30" t="str">
        <f ca="1">IFERROR(__xludf.DUMMYFUNCTION("""COMPUTED_VALUE"""),"-58.32868838")</f>
        <v>-58.32868838</v>
      </c>
      <c r="S266" s="30" t="str">
        <f ca="1">IFERROR(__xludf.DUMMYFUNCTION("""COMPUTED_VALUE"""),"Municipal")</f>
        <v>Municipal</v>
      </c>
      <c r="T266" s="30" t="str">
        <f ca="1">IFERROR(__xludf.DUMMYFUNCTION("""COMPUTED_VALUE"""),"AVELLANEDA")</f>
        <v>AVELLANEDA</v>
      </c>
    </row>
    <row r="267" spans="1:20" ht="15.75" customHeight="1" x14ac:dyDescent="0.25">
      <c r="A267" s="30" t="str">
        <f ca="1">IFERROR(__xludf.DUMMYFUNCTION("""COMPUTED_VALUE"""),"50060352202652")</f>
        <v>50060352202652</v>
      </c>
      <c r="B267" s="30" t="str">
        <f ca="1">IFERROR(__xludf.DUMMYFUNCTION("""COMPUTED_VALUE"""),"UNIDAD SANITARIA N° 7 DE AVELLANEDA")</f>
        <v>UNIDAD SANITARIA N° 7 DE AVELLANEDA</v>
      </c>
      <c r="C267" s="30" t="str">
        <f ca="1">IFERROR(__xludf.DUMMYFUNCTION("""COMPUTED_VALUE"""),"Buenos Aires")</f>
        <v>Buenos Aires</v>
      </c>
      <c r="D267" s="30" t="str">
        <f ca="1">IFERROR(__xludf.DUMMYFUNCTION("""COMPUTED_VALUE"""),"6")</f>
        <v>6</v>
      </c>
      <c r="E267" s="30" t="str">
        <f ca="1">IFERROR(__xludf.DUMMYFUNCTION("""COMPUTED_VALUE"""),"")</f>
        <v/>
      </c>
      <c r="F267" s="29"/>
      <c r="G267" s="29"/>
      <c r="H267" s="30" t="str">
        <f ca="1">IFERROR(__xludf.DUMMYFUNCTION("""COMPUTED_VALUE"""),"activo")</f>
        <v>activo</v>
      </c>
      <c r="I267" s="29"/>
      <c r="J267" s="29"/>
      <c r="K267" s="29"/>
      <c r="L267" s="30" t="str">
        <f ca="1">IFERROR(__xludf.DUMMYFUNCTION("""COMPUTED_VALUE"""),"No")</f>
        <v>No</v>
      </c>
      <c r="M267" s="30" t="str">
        <f ca="1">IFERROR(__xludf.DUMMYFUNCTION("""COMPUTED_VALUE"""),"6035010007")</f>
        <v>6035010007</v>
      </c>
      <c r="N267" s="30" t="str">
        <f ca="1">IFERROR(__xludf.DUMMYFUNCTION("""COMPUTED_VALUE"""),"SARANDI")</f>
        <v>SARANDI</v>
      </c>
      <c r="O267" s="30" t="str">
        <f ca="1">IFERROR(__xludf.DUMMYFUNCTION("""COMPUTED_VALUE"""),"635")</f>
        <v>635</v>
      </c>
      <c r="P267" s="30" t="str">
        <f ca="1">IFERROR(__xludf.DUMMYFUNCTION("""COMPUTED_VALUE"""),"AVELLANEDA")</f>
        <v>AVELLANEDA</v>
      </c>
      <c r="Q267" s="30" t="str">
        <f ca="1">IFERROR(__xludf.DUMMYFUNCTION("""COMPUTED_VALUE"""),"-34.68181521")</f>
        <v>-34.68181521</v>
      </c>
      <c r="R267" s="30" t="str">
        <f ca="1">IFERROR(__xludf.DUMMYFUNCTION("""COMPUTED_VALUE"""),"-58.33617496")</f>
        <v>-58.33617496</v>
      </c>
      <c r="S267" s="30" t="str">
        <f ca="1">IFERROR(__xludf.DUMMYFUNCTION("""COMPUTED_VALUE"""),"Municipal")</f>
        <v>Municipal</v>
      </c>
      <c r="T267" s="30" t="str">
        <f ca="1">IFERROR(__xludf.DUMMYFUNCTION("""COMPUTED_VALUE"""),"AVELLANEDA")</f>
        <v>AVELLANEDA</v>
      </c>
    </row>
    <row r="268" spans="1:20" ht="15.75" customHeight="1" x14ac:dyDescent="0.25">
      <c r="A268" s="30" t="str">
        <f ca="1">IFERROR(__xludf.DUMMYFUNCTION("""COMPUTED_VALUE"""),"50060352202851")</f>
        <v>50060352202851</v>
      </c>
      <c r="B268" s="30" t="str">
        <f ca="1">IFERROR(__xludf.DUMMYFUNCTION("""COMPUTED_VALUE"""),"UNIDAD SANITARIA TORRES DE WILDE")</f>
        <v>UNIDAD SANITARIA TORRES DE WILDE</v>
      </c>
      <c r="C268" s="30" t="str">
        <f ca="1">IFERROR(__xludf.DUMMYFUNCTION("""COMPUTED_VALUE"""),"Buenos Aires")</f>
        <v>Buenos Aires</v>
      </c>
      <c r="D268" s="30" t="str">
        <f ca="1">IFERROR(__xludf.DUMMYFUNCTION("""COMPUTED_VALUE"""),"6")</f>
        <v>6</v>
      </c>
      <c r="E268" s="30" t="str">
        <f ca="1">IFERROR(__xludf.DUMMYFUNCTION("""COMPUTED_VALUE"""),"")</f>
        <v/>
      </c>
      <c r="F268" s="29"/>
      <c r="G268" s="29"/>
      <c r="H268" s="30" t="str">
        <f ca="1">IFERROR(__xludf.DUMMYFUNCTION("""COMPUTED_VALUE"""),"activo")</f>
        <v>activo</v>
      </c>
      <c r="I268" s="29"/>
      <c r="J268" s="29"/>
      <c r="K268" s="29"/>
      <c r="L268" s="30" t="str">
        <f ca="1">IFERROR(__xludf.DUMMYFUNCTION("""COMPUTED_VALUE"""),"No")</f>
        <v>No</v>
      </c>
      <c r="M268" s="30" t="str">
        <f ca="1">IFERROR(__xludf.DUMMYFUNCTION("""COMPUTED_VALUE"""),"6035010009")</f>
        <v>6035010009</v>
      </c>
      <c r="N268" s="30" t="str">
        <f ca="1">IFERROR(__xludf.DUMMYFUNCTION("""COMPUTED_VALUE"""),"WILDE")</f>
        <v>WILDE</v>
      </c>
      <c r="O268" s="30" t="str">
        <f ca="1">IFERROR(__xludf.DUMMYFUNCTION("""COMPUTED_VALUE"""),"635")</f>
        <v>635</v>
      </c>
      <c r="P268" s="30" t="str">
        <f ca="1">IFERROR(__xludf.DUMMYFUNCTION("""COMPUTED_VALUE"""),"AVELLANEDA")</f>
        <v>AVELLANEDA</v>
      </c>
      <c r="Q268" s="30" t="str">
        <f ca="1">IFERROR(__xludf.DUMMYFUNCTION("""COMPUTED_VALUE"""),"-34.69047942")</f>
        <v>-34.69047942</v>
      </c>
      <c r="R268" s="30" t="str">
        <f ca="1">IFERROR(__xludf.DUMMYFUNCTION("""COMPUTED_VALUE"""),"-58.30213451")</f>
        <v>-58.30213451</v>
      </c>
      <c r="S268" s="30" t="str">
        <f ca="1">IFERROR(__xludf.DUMMYFUNCTION("""COMPUTED_VALUE"""),"Municipal")</f>
        <v>Municipal</v>
      </c>
      <c r="T268" s="30" t="str">
        <f ca="1">IFERROR(__xludf.DUMMYFUNCTION("""COMPUTED_VALUE"""),"AVELLANEDA")</f>
        <v>AVELLANEDA</v>
      </c>
    </row>
    <row r="269" spans="1:20" ht="15.75" customHeight="1" x14ac:dyDescent="0.25">
      <c r="A269" s="30" t="str">
        <f ca="1">IFERROR(__xludf.DUMMYFUNCTION("""COMPUTED_VALUE"""),"50060352202943")</f>
        <v>50060352202943</v>
      </c>
      <c r="B269" s="30" t="str">
        <f ca="1">IFERROR(__xludf.DUMMYFUNCTION("""COMPUTED_VALUE"""),"UNIDAD SANITARIA ISLAS MALVINAS")</f>
        <v>UNIDAD SANITARIA ISLAS MALVINAS</v>
      </c>
      <c r="C269" s="30" t="str">
        <f ca="1">IFERROR(__xludf.DUMMYFUNCTION("""COMPUTED_VALUE"""),"Buenos Aires")</f>
        <v>Buenos Aires</v>
      </c>
      <c r="D269" s="30" t="str">
        <f ca="1">IFERROR(__xludf.DUMMYFUNCTION("""COMPUTED_VALUE"""),"6")</f>
        <v>6</v>
      </c>
      <c r="E269" s="30" t="str">
        <f ca="1">IFERROR(__xludf.DUMMYFUNCTION("""COMPUTED_VALUE"""),"")</f>
        <v/>
      </c>
      <c r="F269" s="29"/>
      <c r="G269" s="29"/>
      <c r="H269" s="30" t="str">
        <f ca="1">IFERROR(__xludf.DUMMYFUNCTION("""COMPUTED_VALUE"""),"activo")</f>
        <v>activo</v>
      </c>
      <c r="I269" s="29"/>
      <c r="J269" s="29"/>
      <c r="K269" s="29"/>
      <c r="L269" s="30" t="str">
        <f ca="1">IFERROR(__xludf.DUMMYFUNCTION("""COMPUTED_VALUE"""),"No")</f>
        <v>No</v>
      </c>
      <c r="M269" s="30" t="str">
        <f ca="1">IFERROR(__xludf.DUMMYFUNCTION("""COMPUTED_VALUE"""),"6035010008")</f>
        <v>6035010008</v>
      </c>
      <c r="N269" s="30" t="str">
        <f ca="1">IFERROR(__xludf.DUMMYFUNCTION("""COMPUTED_VALUE"""),"VILLA DOMINICO")</f>
        <v>VILLA DOMINICO</v>
      </c>
      <c r="O269" s="30" t="str">
        <f ca="1">IFERROR(__xludf.DUMMYFUNCTION("""COMPUTED_VALUE"""),"635")</f>
        <v>635</v>
      </c>
      <c r="P269" s="30" t="str">
        <f ca="1">IFERROR(__xludf.DUMMYFUNCTION("""COMPUTED_VALUE"""),"AVELLANEDA")</f>
        <v>AVELLANEDA</v>
      </c>
      <c r="Q269" s="30" t="str">
        <f ca="1">IFERROR(__xludf.DUMMYFUNCTION("""COMPUTED_VALUE"""),"-34.6839992")</f>
        <v>-34.6839992</v>
      </c>
      <c r="R269" s="30" t="str">
        <f ca="1">IFERROR(__xludf.DUMMYFUNCTION("""COMPUTED_VALUE"""),"-58.3261385")</f>
        <v>-58.3261385</v>
      </c>
      <c r="S269" s="30" t="str">
        <f ca="1">IFERROR(__xludf.DUMMYFUNCTION("""COMPUTED_VALUE"""),"Municipal")</f>
        <v>Municipal</v>
      </c>
      <c r="T269" s="30" t="str">
        <f ca="1">IFERROR(__xludf.DUMMYFUNCTION("""COMPUTED_VALUE"""),"AVELLANEDA")</f>
        <v>AVELLANEDA</v>
      </c>
    </row>
    <row r="270" spans="1:20" ht="15.75" customHeight="1" x14ac:dyDescent="0.25">
      <c r="A270" s="30" t="str">
        <f ca="1">IFERROR(__xludf.DUMMYFUNCTION("""COMPUTED_VALUE"""),"50060562201258")</f>
        <v>50060562201258</v>
      </c>
      <c r="B270" s="30" t="str">
        <f ca="1">IFERROR(__xludf.DUMMYFUNCTION("""COMPUTED_VALUE"""),"CENTRO DE SALUD LEANDRO PIÑEIRO")</f>
        <v>CENTRO DE SALUD LEANDRO PIÑEIRO</v>
      </c>
      <c r="C270" s="30" t="str">
        <f ca="1">IFERROR(__xludf.DUMMYFUNCTION("""COMPUTED_VALUE"""),"Buenos Aires")</f>
        <v>Buenos Aires</v>
      </c>
      <c r="D270" s="30" t="str">
        <f ca="1">IFERROR(__xludf.DUMMYFUNCTION("""COMPUTED_VALUE"""),"6")</f>
        <v>6</v>
      </c>
      <c r="E270" s="30" t="str">
        <f ca="1">IFERROR(__xludf.DUMMYFUNCTION("""COMPUTED_VALUE"""),"")</f>
        <v/>
      </c>
      <c r="F270" s="29"/>
      <c r="G270" s="29"/>
      <c r="H270" s="30" t="str">
        <f ca="1">IFERROR(__xludf.DUMMYFUNCTION("""COMPUTED_VALUE"""),"inactivo")</f>
        <v>inactivo</v>
      </c>
      <c r="I270" s="30" t="str">
        <f ca="1">IFERROR(__xludf.DUMMYFUNCTION("""COMPUTED_VALUE"""),"Efector que se dio de baja en nota enviada el 31-3-2022")</f>
        <v>Efector que se dio de baja en nota enviada el 31-3-2022</v>
      </c>
      <c r="J270" s="29"/>
      <c r="K270" s="29"/>
      <c r="L270" s="30" t="str">
        <f ca="1">IFERROR(__xludf.DUMMYFUNCTION("""COMPUTED_VALUE"""),"No")</f>
        <v>No</v>
      </c>
      <c r="M270" s="30" t="str">
        <f ca="1">IFERROR(__xludf.DUMMYFUNCTION("""COMPUTED_VALUE"""),"6056010001")</f>
        <v>6056010001</v>
      </c>
      <c r="N270" s="30" t="str">
        <f ca="1">IFERROR(__xludf.DUMMYFUNCTION("""COMPUTED_VALUE"""),"BAHIA BLANCA")</f>
        <v>BAHIA BLANCA</v>
      </c>
      <c r="O270" s="30" t="str">
        <f ca="1">IFERROR(__xludf.DUMMYFUNCTION("""COMPUTED_VALUE"""),"656")</f>
        <v>656</v>
      </c>
      <c r="P270" s="30" t="str">
        <f ca="1">IFERROR(__xludf.DUMMYFUNCTION("""COMPUTED_VALUE"""),"BAHÍA BLANCA")</f>
        <v>BAHÍA BLANCA</v>
      </c>
      <c r="Q270" s="30" t="str">
        <f ca="1">IFERROR(__xludf.DUMMYFUNCTION("""COMPUTED_VALUE"""),"-38.71828459")</f>
        <v>-38.71828459</v>
      </c>
      <c r="R270" s="30" t="str">
        <f ca="1">IFERROR(__xludf.DUMMYFUNCTION("""COMPUTED_VALUE"""),"-62.31229019")</f>
        <v>-62.31229019</v>
      </c>
      <c r="S270" s="30" t="str">
        <f ca="1">IFERROR(__xludf.DUMMYFUNCTION("""COMPUTED_VALUE"""),"Municipal")</f>
        <v>Municipal</v>
      </c>
      <c r="T270" s="30" t="str">
        <f ca="1">IFERROR(__xludf.DUMMYFUNCTION("""COMPUTED_VALUE"""),"BAHÍA BLANCA")</f>
        <v>BAHÍA BLANCA</v>
      </c>
    </row>
    <row r="271" spans="1:20" ht="15.75" customHeight="1" x14ac:dyDescent="0.25">
      <c r="A271" s="30" t="str">
        <f ca="1">IFERROR(__xludf.DUMMYFUNCTION("""COMPUTED_VALUE"""),"50060562201935")</f>
        <v>50060562201935</v>
      </c>
      <c r="B271" s="30" t="str">
        <f ca="1">IFERROR(__xludf.DUMMYFUNCTION("""COMPUTED_VALUE"""),"SALA MEDICA GENERAL CERRI")</f>
        <v>SALA MEDICA GENERAL CERRI</v>
      </c>
      <c r="C271" s="30" t="str">
        <f ca="1">IFERROR(__xludf.DUMMYFUNCTION("""COMPUTED_VALUE"""),"Buenos Aires")</f>
        <v>Buenos Aires</v>
      </c>
      <c r="D271" s="30" t="str">
        <f ca="1">IFERROR(__xludf.DUMMYFUNCTION("""COMPUTED_VALUE"""),"6")</f>
        <v>6</v>
      </c>
      <c r="E271" s="30" t="str">
        <f ca="1">IFERROR(__xludf.DUMMYFUNCTION("""COMPUTED_VALUE"""),"")</f>
        <v/>
      </c>
      <c r="F271" s="29"/>
      <c r="G271" s="29"/>
      <c r="H271" s="30" t="str">
        <f ca="1">IFERROR(__xludf.DUMMYFUNCTION("""COMPUTED_VALUE"""),"inactivo")</f>
        <v>inactivo</v>
      </c>
      <c r="I271" s="30" t="str">
        <f ca="1">IFERROR(__xludf.DUMMYFUNCTION("""COMPUTED_VALUE"""),"Efector que se dio de baja en nota enviada el 31-3-2022")</f>
        <v>Efector que se dio de baja en nota enviada el 31-3-2022</v>
      </c>
      <c r="J271" s="29"/>
      <c r="K271" s="29"/>
      <c r="L271" s="30" t="str">
        <f ca="1">IFERROR(__xludf.DUMMYFUNCTION("""COMPUTED_VALUE"""),"No")</f>
        <v>No</v>
      </c>
      <c r="M271" s="30" t="str">
        <f ca="1">IFERROR(__xludf.DUMMYFUNCTION("""COMPUTED_VALUE"""),"6056030000")</f>
        <v>6056030000</v>
      </c>
      <c r="N271" s="30" t="str">
        <f ca="1">IFERROR(__xludf.DUMMYFUNCTION("""COMPUTED_VALUE"""),"GENERAL DANIEL CERRI")</f>
        <v>GENERAL DANIEL CERRI</v>
      </c>
      <c r="O271" s="30" t="str">
        <f ca="1">IFERROR(__xludf.DUMMYFUNCTION("""COMPUTED_VALUE"""),"656")</f>
        <v>656</v>
      </c>
      <c r="P271" s="30" t="str">
        <f ca="1">IFERROR(__xludf.DUMMYFUNCTION("""COMPUTED_VALUE"""),"BAHÍA BLANCA")</f>
        <v>BAHÍA BLANCA</v>
      </c>
      <c r="Q271" s="30" t="str">
        <f ca="1">IFERROR(__xludf.DUMMYFUNCTION("""COMPUTED_VALUE"""),"-38.72931249")</f>
        <v>-38.72931249</v>
      </c>
      <c r="R271" s="30" t="str">
        <f ca="1">IFERROR(__xludf.DUMMYFUNCTION("""COMPUTED_VALUE"""),"-62.26269507")</f>
        <v>-62.26269507</v>
      </c>
      <c r="S271" s="30" t="str">
        <f ca="1">IFERROR(__xludf.DUMMYFUNCTION("""COMPUTED_VALUE"""),"Municipal")</f>
        <v>Municipal</v>
      </c>
      <c r="T271" s="30" t="str">
        <f ca="1">IFERROR(__xludf.DUMMYFUNCTION("""COMPUTED_VALUE"""),"BAHÍA BLANCA")</f>
        <v>BAHÍA BLANCA</v>
      </c>
    </row>
    <row r="272" spans="1:20" ht="15.75" customHeight="1" x14ac:dyDescent="0.25">
      <c r="A272" s="30" t="str">
        <f ca="1">IFERROR(__xludf.DUMMYFUNCTION("""COMPUTED_VALUE"""),"50060582202377")</f>
        <v>50060582202377</v>
      </c>
      <c r="B272" s="30" t="str">
        <f ca="1">IFERROR(__xludf.DUMMYFUNCTION("""COMPUTED_VALUE"""),"UNIDAD SANITARIA LA PRIMAVERA")</f>
        <v>UNIDAD SANITARIA LA PRIMAVERA</v>
      </c>
      <c r="C272" s="30" t="str">
        <f ca="1">IFERROR(__xludf.DUMMYFUNCTION("""COMPUTED_VALUE"""),"Buenos Aires")</f>
        <v>Buenos Aires</v>
      </c>
      <c r="D272" s="30" t="str">
        <f ca="1">IFERROR(__xludf.DUMMYFUNCTION("""COMPUTED_VALUE"""),"6")</f>
        <v>6</v>
      </c>
      <c r="E272" s="30" t="str">
        <f ca="1">IFERROR(__xludf.DUMMYFUNCTION("""COMPUTED_VALUE"""),"")</f>
        <v/>
      </c>
      <c r="F272" s="29"/>
      <c r="G272" s="29"/>
      <c r="H272" s="30" t="str">
        <f ca="1">IFERROR(__xludf.DUMMYFUNCTION("""COMPUTED_VALUE"""),"activo")</f>
        <v>activo</v>
      </c>
      <c r="I272" s="29"/>
      <c r="J272" s="29"/>
      <c r="K272" s="29"/>
      <c r="L272" s="30" t="str">
        <f ca="1">IFERROR(__xludf.DUMMYFUNCTION("""COMPUTED_VALUE"""),"No")</f>
        <v>No</v>
      </c>
      <c r="M272" s="30" t="str">
        <f ca="1">IFERROR(__xludf.DUMMYFUNCTION("""COMPUTED_VALUE"""),"6658010007")</f>
        <v>6658010007</v>
      </c>
      <c r="N272" s="30" t="str">
        <f ca="1">IFERROR(__xludf.DUMMYFUNCTION("""COMPUTED_VALUE"""),"QUILMES OESTE")</f>
        <v>QUILMES OESTE</v>
      </c>
      <c r="O272" s="30" t="str">
        <f ca="1">IFERROR(__xludf.DUMMYFUNCTION("""COMPUTED_VALUE"""),"658")</f>
        <v>658</v>
      </c>
      <c r="P272" s="30" t="str">
        <f ca="1">IFERROR(__xludf.DUMMYFUNCTION("""COMPUTED_VALUE"""),"QUILMES")</f>
        <v>QUILMES</v>
      </c>
      <c r="Q272" s="30" t="str">
        <f ca="1">IFERROR(__xludf.DUMMYFUNCTION("""COMPUTED_VALUE"""),"-34.73826139")</f>
        <v>-34.73826139</v>
      </c>
      <c r="R272" s="30" t="str">
        <f ca="1">IFERROR(__xludf.DUMMYFUNCTION("""COMPUTED_VALUE"""),"-58.30458069")</f>
        <v>-58.30458069</v>
      </c>
      <c r="S272" s="30" t="str">
        <f ca="1">IFERROR(__xludf.DUMMYFUNCTION("""COMPUTED_VALUE"""),"Municipal")</f>
        <v>Municipal</v>
      </c>
      <c r="T272" s="30" t="str">
        <f ca="1">IFERROR(__xludf.DUMMYFUNCTION("""COMPUTED_VALUE"""),"QUILMES")</f>
        <v>QUILMES</v>
      </c>
    </row>
    <row r="273" spans="1:20" ht="15.75" customHeight="1" x14ac:dyDescent="0.25">
      <c r="A273" s="30" t="str">
        <f ca="1">IFERROR(__xludf.DUMMYFUNCTION("""COMPUTED_VALUE"""),"50060582202595")</f>
        <v>50060582202595</v>
      </c>
      <c r="B273" s="30" t="str">
        <f ca="1">IFERROR(__xludf.DUMMYFUNCTION("""COMPUTED_VALUE"""),"CIC MARIA EVA")</f>
        <v>CIC MARIA EVA</v>
      </c>
      <c r="C273" s="30" t="str">
        <f ca="1">IFERROR(__xludf.DUMMYFUNCTION("""COMPUTED_VALUE"""),"Buenos Aires")</f>
        <v>Buenos Aires</v>
      </c>
      <c r="D273" s="30" t="str">
        <f ca="1">IFERROR(__xludf.DUMMYFUNCTION("""COMPUTED_VALUE"""),"6")</f>
        <v>6</v>
      </c>
      <c r="E273" s="30" t="str">
        <f ca="1">IFERROR(__xludf.DUMMYFUNCTION("""COMPUTED_VALUE"""),"")</f>
        <v/>
      </c>
      <c r="F273" s="29"/>
      <c r="G273" s="29"/>
      <c r="H273" s="30" t="str">
        <f ca="1">IFERROR(__xludf.DUMMYFUNCTION("""COMPUTED_VALUE"""),"inactivo")</f>
        <v>inactivo</v>
      </c>
      <c r="I273" s="30" t="str">
        <f ca="1">IFERROR(__xludf.DUMMYFUNCTION("""COMPUTED_VALUE"""),"- fuera circular 2")</f>
        <v>- fuera circular 2</v>
      </c>
      <c r="J273" s="29"/>
      <c r="K273" s="29"/>
      <c r="L273" s="30" t="str">
        <f ca="1">IFERROR(__xludf.DUMMYFUNCTION("""COMPUTED_VALUE"""),"No")</f>
        <v>No</v>
      </c>
      <c r="M273" s="30" t="str">
        <f ca="1">IFERROR(__xludf.DUMMYFUNCTION("""COMPUTED_VALUE"""),"6658010002")</f>
        <v>6658010002</v>
      </c>
      <c r="N273" s="30" t="str">
        <f ca="1">IFERROR(__xludf.DUMMYFUNCTION("""COMPUTED_VALUE"""),"BERNAL OESTE")</f>
        <v>BERNAL OESTE</v>
      </c>
      <c r="O273" s="30" t="str">
        <f ca="1">IFERROR(__xludf.DUMMYFUNCTION("""COMPUTED_VALUE"""),"658")</f>
        <v>658</v>
      </c>
      <c r="P273" s="30" t="str">
        <f ca="1">IFERROR(__xludf.DUMMYFUNCTION("""COMPUTED_VALUE"""),"QUILMES")</f>
        <v>QUILMES</v>
      </c>
      <c r="Q273" s="30" t="str">
        <f ca="1">IFERROR(__xludf.DUMMYFUNCTION("""COMPUTED_VALUE"""),"-34.72454079")</f>
        <v>-34.72454079</v>
      </c>
      <c r="R273" s="30" t="str">
        <f ca="1">IFERROR(__xludf.DUMMYFUNCTION("""COMPUTED_VALUE"""),"-58.32235622")</f>
        <v>-58.32235622</v>
      </c>
      <c r="S273" s="30" t="str">
        <f ca="1">IFERROR(__xludf.DUMMYFUNCTION("""COMPUTED_VALUE"""),"Municipal")</f>
        <v>Municipal</v>
      </c>
      <c r="T273" s="30" t="str">
        <f ca="1">IFERROR(__xludf.DUMMYFUNCTION("""COMPUTED_VALUE"""),"QUILMES")</f>
        <v>QUILMES</v>
      </c>
    </row>
    <row r="274" spans="1:20" ht="15.75" customHeight="1" x14ac:dyDescent="0.25">
      <c r="A274" s="30" t="str">
        <f ca="1">IFERROR(__xludf.DUMMYFUNCTION("""COMPUTED_VALUE"""),"50060582202683")</f>
        <v>50060582202683</v>
      </c>
      <c r="B274" s="30" t="str">
        <f ca="1">IFERROR(__xludf.DUMMYFUNCTION("""COMPUTED_VALUE"""),"UNIDAD SANITARIA N° 9 PEDRO ELUSTORDO DE QUILMES")</f>
        <v>UNIDAD SANITARIA N° 9 PEDRO ELUSTORDO DE QUILMES</v>
      </c>
      <c r="C274" s="30" t="str">
        <f ca="1">IFERROR(__xludf.DUMMYFUNCTION("""COMPUTED_VALUE"""),"Buenos Aires")</f>
        <v>Buenos Aires</v>
      </c>
      <c r="D274" s="30" t="str">
        <f ca="1">IFERROR(__xludf.DUMMYFUNCTION("""COMPUTED_VALUE"""),"6")</f>
        <v>6</v>
      </c>
      <c r="E274" s="30" t="str">
        <f ca="1">IFERROR(__xludf.DUMMYFUNCTION("""COMPUTED_VALUE"""),"")</f>
        <v/>
      </c>
      <c r="F274" s="29"/>
      <c r="G274" s="29"/>
      <c r="H274" s="30" t="str">
        <f ca="1">IFERROR(__xludf.DUMMYFUNCTION("""COMPUTED_VALUE"""),"activo")</f>
        <v>activo</v>
      </c>
      <c r="I274" s="29"/>
      <c r="J274" s="29"/>
      <c r="K274" s="29"/>
      <c r="L274" s="30" t="str">
        <f ca="1">IFERROR(__xludf.DUMMYFUNCTION("""COMPUTED_VALUE"""),"No")</f>
        <v>No</v>
      </c>
      <c r="M274" s="30" t="str">
        <f ca="1">IFERROR(__xludf.DUMMYFUNCTION("""COMPUTED_VALUE"""),"6658010002")</f>
        <v>6658010002</v>
      </c>
      <c r="N274" s="30" t="str">
        <f ca="1">IFERROR(__xludf.DUMMYFUNCTION("""COMPUTED_VALUE"""),"BERNAL OESTE")</f>
        <v>BERNAL OESTE</v>
      </c>
      <c r="O274" s="30" t="str">
        <f ca="1">IFERROR(__xludf.DUMMYFUNCTION("""COMPUTED_VALUE"""),"658")</f>
        <v>658</v>
      </c>
      <c r="P274" s="30" t="str">
        <f ca="1">IFERROR(__xludf.DUMMYFUNCTION("""COMPUTED_VALUE"""),"QUILMES")</f>
        <v>QUILMES</v>
      </c>
      <c r="Q274" s="30" t="str">
        <f ca="1">IFERROR(__xludf.DUMMYFUNCTION("""COMPUTED_VALUE"""),"-34.72118987")</f>
        <v>-34.72118987</v>
      </c>
      <c r="R274" s="30" t="str">
        <f ca="1">IFERROR(__xludf.DUMMYFUNCTION("""COMPUTED_VALUE"""),"-58.29729366")</f>
        <v>-58.29729366</v>
      </c>
      <c r="S274" s="30" t="str">
        <f ca="1">IFERROR(__xludf.DUMMYFUNCTION("""COMPUTED_VALUE"""),"Municipal")</f>
        <v>Municipal</v>
      </c>
      <c r="T274" s="30" t="str">
        <f ca="1">IFERROR(__xludf.DUMMYFUNCTION("""COMPUTED_VALUE"""),"QUILMES")</f>
        <v>QUILMES</v>
      </c>
    </row>
    <row r="275" spans="1:20" ht="15.75" customHeight="1" x14ac:dyDescent="0.25">
      <c r="A275" s="30" t="str">
        <f ca="1">IFERROR(__xludf.DUMMYFUNCTION("""COMPUTED_VALUE"""),"50060582202890")</f>
        <v>50060582202890</v>
      </c>
      <c r="B275" s="30" t="str">
        <f ca="1">IFERROR(__xludf.DUMMYFUNCTION("""COMPUTED_VALUE"""),"UNIDAD SANITARIA VILLA ITATI II")</f>
        <v>UNIDAD SANITARIA VILLA ITATI II</v>
      </c>
      <c r="C275" s="30" t="str">
        <f ca="1">IFERROR(__xludf.DUMMYFUNCTION("""COMPUTED_VALUE"""),"Buenos Aires")</f>
        <v>Buenos Aires</v>
      </c>
      <c r="D275" s="30" t="str">
        <f ca="1">IFERROR(__xludf.DUMMYFUNCTION("""COMPUTED_VALUE"""),"6")</f>
        <v>6</v>
      </c>
      <c r="E275" s="30" t="str">
        <f ca="1">IFERROR(__xludf.DUMMYFUNCTION("""COMPUTED_VALUE"""),"si")</f>
        <v>si</v>
      </c>
      <c r="F275" s="29"/>
      <c r="G275" s="29"/>
      <c r="H275" s="30" t="str">
        <f ca="1">IFERROR(__xludf.DUMMYFUNCTION("""COMPUTED_VALUE"""),"activo")</f>
        <v>activo</v>
      </c>
      <c r="I275" s="29"/>
      <c r="J275" s="29"/>
      <c r="K275" s="29"/>
      <c r="L275" s="30" t="str">
        <f ca="1">IFERROR(__xludf.DUMMYFUNCTION("""COMPUTED_VALUE"""),"No")</f>
        <v>No</v>
      </c>
      <c r="M275" s="30" t="str">
        <f ca="1">IFERROR(__xludf.DUMMYFUNCTION("""COMPUTED_VALUE"""),"6658010001")</f>
        <v>6658010001</v>
      </c>
      <c r="N275" s="30" t="str">
        <f ca="1">IFERROR(__xludf.DUMMYFUNCTION("""COMPUTED_VALUE"""),"BERNAL")</f>
        <v>BERNAL</v>
      </c>
      <c r="O275" s="30" t="str">
        <f ca="1">IFERROR(__xludf.DUMMYFUNCTION("""COMPUTED_VALUE"""),"658")</f>
        <v>658</v>
      </c>
      <c r="P275" s="30" t="str">
        <f ca="1">IFERROR(__xludf.DUMMYFUNCTION("""COMPUTED_VALUE"""),"QUILMES")</f>
        <v>QUILMES</v>
      </c>
      <c r="Q275" s="30" t="str">
        <f ca="1">IFERROR(__xludf.DUMMYFUNCTION("""COMPUTED_VALUE"""),"-34.73094684")</f>
        <v>-34.73094684</v>
      </c>
      <c r="R275" s="30" t="str">
        <f ca="1">IFERROR(__xludf.DUMMYFUNCTION("""COMPUTED_VALUE"""),"-58.24909616")</f>
        <v>-58.24909616</v>
      </c>
      <c r="S275" s="30" t="str">
        <f ca="1">IFERROR(__xludf.DUMMYFUNCTION("""COMPUTED_VALUE"""),"Municipal")</f>
        <v>Municipal</v>
      </c>
      <c r="T275" s="30" t="str">
        <f ca="1">IFERROR(__xludf.DUMMYFUNCTION("""COMPUTED_VALUE"""),"QUILMES")</f>
        <v>QUILMES</v>
      </c>
    </row>
    <row r="276" spans="1:20" ht="15.75" customHeight="1" x14ac:dyDescent="0.25">
      <c r="A276" s="30" t="str">
        <f ca="1">IFERROR(__xludf.DUMMYFUNCTION("""COMPUTED_VALUE"""),"50060582202945")</f>
        <v>50060582202945</v>
      </c>
      <c r="B276" s="30" t="str">
        <f ca="1">IFERROR(__xludf.DUMMYFUNCTION("""COMPUTED_VALUE"""),"UNIDADA SANITARIA 25 DE MAYO DE QUILMES")</f>
        <v>UNIDADA SANITARIA 25 DE MAYO DE QUILMES</v>
      </c>
      <c r="C276" s="30" t="str">
        <f ca="1">IFERROR(__xludf.DUMMYFUNCTION("""COMPUTED_VALUE"""),"Buenos Aires")</f>
        <v>Buenos Aires</v>
      </c>
      <c r="D276" s="30" t="str">
        <f ca="1">IFERROR(__xludf.DUMMYFUNCTION("""COMPUTED_VALUE"""),"6")</f>
        <v>6</v>
      </c>
      <c r="E276" s="30" t="str">
        <f ca="1">IFERROR(__xludf.DUMMYFUNCTION("""COMPUTED_VALUE"""),"")</f>
        <v/>
      </c>
      <c r="F276" s="29"/>
      <c r="G276" s="29"/>
      <c r="H276" s="30" t="str">
        <f ca="1">IFERROR(__xludf.DUMMYFUNCTION("""COMPUTED_VALUE"""),"activo")</f>
        <v>activo</v>
      </c>
      <c r="I276" s="29"/>
      <c r="J276" s="29"/>
      <c r="K276" s="29"/>
      <c r="L276" s="30" t="str">
        <f ca="1">IFERROR(__xludf.DUMMYFUNCTION("""COMPUTED_VALUE"""),"No")</f>
        <v>No</v>
      </c>
      <c r="M276" s="30" t="str">
        <f ca="1">IFERROR(__xludf.DUMMYFUNCTION("""COMPUTED_VALUE"""),"6658010001")</f>
        <v>6658010001</v>
      </c>
      <c r="N276" s="30" t="str">
        <f ca="1">IFERROR(__xludf.DUMMYFUNCTION("""COMPUTED_VALUE"""),"BERNAL")</f>
        <v>BERNAL</v>
      </c>
      <c r="O276" s="30" t="str">
        <f ca="1">IFERROR(__xludf.DUMMYFUNCTION("""COMPUTED_VALUE"""),"658")</f>
        <v>658</v>
      </c>
      <c r="P276" s="30" t="str">
        <f ca="1">IFERROR(__xludf.DUMMYFUNCTION("""COMPUTED_VALUE"""),"QUILMES")</f>
        <v>QUILMES</v>
      </c>
      <c r="Q276" s="30" t="str">
        <f ca="1">IFERROR(__xludf.DUMMYFUNCTION("""COMPUTED_VALUE"""),"-34.73880713")</f>
        <v>-34.73880713</v>
      </c>
      <c r="R276" s="30" t="str">
        <f ca="1">IFERROR(__xludf.DUMMYFUNCTION("""COMPUTED_VALUE"""),"-58.32928705")</f>
        <v>-58.32928705</v>
      </c>
      <c r="S276" s="30" t="str">
        <f ca="1">IFERROR(__xludf.DUMMYFUNCTION("""COMPUTED_VALUE"""),"Municipal")</f>
        <v>Municipal</v>
      </c>
      <c r="T276" s="30" t="str">
        <f ca="1">IFERROR(__xludf.DUMMYFUNCTION("""COMPUTED_VALUE"""),"QUILMES")</f>
        <v>QUILMES</v>
      </c>
    </row>
    <row r="277" spans="1:20" ht="15.75" customHeight="1" x14ac:dyDescent="0.25">
      <c r="A277" s="30" t="str">
        <f ca="1">IFERROR(__xludf.DUMMYFUNCTION("""COMPUTED_VALUE"""),"50060912202021")</f>
        <v>50060912202021</v>
      </c>
      <c r="B277" s="30" t="str">
        <f ca="1">IFERROR(__xludf.DUMMYFUNCTION("""COMPUTED_VALUE"""),"UNIDAD Nº 3")</f>
        <v>UNIDAD Nº 3</v>
      </c>
      <c r="C277" s="30" t="str">
        <f ca="1">IFERROR(__xludf.DUMMYFUNCTION("""COMPUTED_VALUE"""),"Buenos Aires")</f>
        <v>Buenos Aires</v>
      </c>
      <c r="D277" s="30" t="str">
        <f ca="1">IFERROR(__xludf.DUMMYFUNCTION("""COMPUTED_VALUE"""),"6")</f>
        <v>6</v>
      </c>
      <c r="E277" s="30" t="str">
        <f ca="1">IFERROR(__xludf.DUMMYFUNCTION("""COMPUTED_VALUE"""),"")</f>
        <v/>
      </c>
      <c r="F277" s="29"/>
      <c r="G277" s="29"/>
      <c r="H277" s="30" t="str">
        <f ca="1">IFERROR(__xludf.DUMMYFUNCTION("""COMPUTED_VALUE"""),"inactivo")</f>
        <v>inactivo</v>
      </c>
      <c r="I277" s="30" t="str">
        <f ca="1">IFERROR(__xludf.DUMMYFUNCTION("""COMPUTED_VALUE"""),"- fuera circular 2")</f>
        <v>- fuera circular 2</v>
      </c>
      <c r="J277" s="29"/>
      <c r="K277" s="29"/>
      <c r="L277" s="30" t="str">
        <f ca="1">IFERROR(__xludf.DUMMYFUNCTION("""COMPUTED_VALUE"""),"No")</f>
        <v>No</v>
      </c>
      <c r="M277" s="30" t="str">
        <f ca="1">IFERROR(__xludf.DUMMYFUNCTION("""COMPUTED_VALUE"""),"6091010006")</f>
        <v>6091010006</v>
      </c>
      <c r="N277" s="30" t="str">
        <f ca="1">IFERROR(__xludf.DUMMYFUNCTION("""COMPUTED_VALUE"""),"JUAN MARIA GUTIERREZ")</f>
        <v>JUAN MARIA GUTIERREZ</v>
      </c>
      <c r="O277" s="30" t="str">
        <f ca="1">IFERROR(__xludf.DUMMYFUNCTION("""COMPUTED_VALUE"""),"691")</f>
        <v>691</v>
      </c>
      <c r="P277" s="30" t="str">
        <f ca="1">IFERROR(__xludf.DUMMYFUNCTION("""COMPUTED_VALUE"""),"BERAZATEGUI")</f>
        <v>BERAZATEGUI</v>
      </c>
      <c r="Q277" s="30" t="str">
        <f ca="1">IFERROR(__xludf.DUMMYFUNCTION("""COMPUTED_VALUE"""),"-34.83160117")</f>
        <v>-34.83160117</v>
      </c>
      <c r="R277" s="30" t="str">
        <f ca="1">IFERROR(__xludf.DUMMYFUNCTION("""COMPUTED_VALUE"""),"-58.18174839")</f>
        <v>-58.18174839</v>
      </c>
      <c r="S277" s="30" t="str">
        <f ca="1">IFERROR(__xludf.DUMMYFUNCTION("""COMPUTED_VALUE"""),"Municipal")</f>
        <v>Municipal</v>
      </c>
      <c r="T277" s="30" t="str">
        <f ca="1">IFERROR(__xludf.DUMMYFUNCTION("""COMPUTED_VALUE"""),"BERAZATEGUI")</f>
        <v>BERAZATEGUI</v>
      </c>
    </row>
    <row r="278" spans="1:20" ht="15.75" customHeight="1" x14ac:dyDescent="0.25">
      <c r="A278" s="30" t="str">
        <f ca="1">IFERROR(__xludf.DUMMYFUNCTION("""COMPUTED_VALUE"""),"50060912202479")</f>
        <v>50060912202479</v>
      </c>
      <c r="B278" s="30" t="str">
        <f ca="1">IFERROR(__xludf.DUMMYFUNCTION("""COMPUTED_VALUE"""),"UNIDAD SANITARIA Nº 11")</f>
        <v>UNIDAD SANITARIA Nº 11</v>
      </c>
      <c r="C278" s="30" t="str">
        <f ca="1">IFERROR(__xludf.DUMMYFUNCTION("""COMPUTED_VALUE"""),"Buenos Aires")</f>
        <v>Buenos Aires</v>
      </c>
      <c r="D278" s="30" t="str">
        <f ca="1">IFERROR(__xludf.DUMMYFUNCTION("""COMPUTED_VALUE"""),"6")</f>
        <v>6</v>
      </c>
      <c r="E278" s="30" t="str">
        <f ca="1">IFERROR(__xludf.DUMMYFUNCTION("""COMPUTED_VALUE"""),"")</f>
        <v/>
      </c>
      <c r="F278" s="29"/>
      <c r="G278" s="29"/>
      <c r="H278" s="30" t="str">
        <f ca="1">IFERROR(__xludf.DUMMYFUNCTION("""COMPUTED_VALUE"""),"activo")</f>
        <v>activo</v>
      </c>
      <c r="I278" s="29"/>
      <c r="J278" s="29"/>
      <c r="K278" s="29"/>
      <c r="L278" s="30" t="str">
        <f ca="1">IFERROR(__xludf.DUMMYFUNCTION("""COMPUTED_VALUE"""),"No")</f>
        <v>No</v>
      </c>
      <c r="M278" s="30" t="str">
        <f ca="1">IFERROR(__xludf.DUMMYFUNCTION("""COMPUTED_VALUE"""),"6091010004")</f>
        <v>6091010004</v>
      </c>
      <c r="N278" s="30" t="str">
        <f ca="1">IFERROR(__xludf.DUMMYFUNCTION("""COMPUTED_VALUE"""),"EL PATO")</f>
        <v>EL PATO</v>
      </c>
      <c r="O278" s="30" t="str">
        <f ca="1">IFERROR(__xludf.DUMMYFUNCTION("""COMPUTED_VALUE"""),"691")</f>
        <v>691</v>
      </c>
      <c r="P278" s="30" t="str">
        <f ca="1">IFERROR(__xludf.DUMMYFUNCTION("""COMPUTED_VALUE"""),"BERAZATEGUI")</f>
        <v>BERAZATEGUI</v>
      </c>
      <c r="Q278" s="30" t="str">
        <f ca="1">IFERROR(__xludf.DUMMYFUNCTION("""COMPUTED_VALUE"""),"-34.87785935")</f>
        <v>-34.87785935</v>
      </c>
      <c r="R278" s="30" t="str">
        <f ca="1">IFERROR(__xludf.DUMMYFUNCTION("""COMPUTED_VALUE"""),"-58.17301297")</f>
        <v>-58.17301297</v>
      </c>
      <c r="S278" s="30" t="str">
        <f ca="1">IFERROR(__xludf.DUMMYFUNCTION("""COMPUTED_VALUE"""),"Municipal")</f>
        <v>Municipal</v>
      </c>
      <c r="T278" s="30" t="str">
        <f ca="1">IFERROR(__xludf.DUMMYFUNCTION("""COMPUTED_VALUE"""),"BERAZATEGUI")</f>
        <v>BERAZATEGUI</v>
      </c>
    </row>
    <row r="279" spans="1:20" ht="15.75" customHeight="1" x14ac:dyDescent="0.25">
      <c r="A279" s="30" t="str">
        <f ca="1">IFERROR(__xludf.DUMMYFUNCTION("""COMPUTED_VALUE"""),"50060912202503")</f>
        <v>50060912202503</v>
      </c>
      <c r="B279" s="30" t="str">
        <f ca="1">IFERROR(__xludf.DUMMYFUNCTION("""COMPUTED_VALUE"""),"UNIDAD SANITARIA Nº 14 VILLA ESPAÑA")</f>
        <v>UNIDAD SANITARIA Nº 14 VILLA ESPAÑA</v>
      </c>
      <c r="C279" s="30" t="str">
        <f ca="1">IFERROR(__xludf.DUMMYFUNCTION("""COMPUTED_VALUE"""),"Buenos Aires")</f>
        <v>Buenos Aires</v>
      </c>
      <c r="D279" s="30" t="str">
        <f ca="1">IFERROR(__xludf.DUMMYFUNCTION("""COMPUTED_VALUE"""),"6")</f>
        <v>6</v>
      </c>
      <c r="E279" s="30" t="str">
        <f ca="1">IFERROR(__xludf.DUMMYFUNCTION("""COMPUTED_VALUE"""),"")</f>
        <v/>
      </c>
      <c r="F279" s="29"/>
      <c r="G279" s="29"/>
      <c r="H279" s="30" t="str">
        <f ca="1">IFERROR(__xludf.DUMMYFUNCTION("""COMPUTED_VALUE"""),"activo")</f>
        <v>activo</v>
      </c>
      <c r="I279" s="29"/>
      <c r="J279" s="29"/>
      <c r="K279" s="29"/>
      <c r="L279" s="30" t="str">
        <f ca="1">IFERROR(__xludf.DUMMYFUNCTION("""COMPUTED_VALUE"""),"No")</f>
        <v>No</v>
      </c>
      <c r="M279" s="30" t="str">
        <f ca="1">IFERROR(__xludf.DUMMYFUNCTION("""COMPUTED_VALUE"""),"6091010002")</f>
        <v>6091010002</v>
      </c>
      <c r="N279" s="30" t="str">
        <f ca="1">IFERROR(__xludf.DUMMYFUNCTION("""COMPUTED_VALUE"""),"BERAZATEGUI OESTE")</f>
        <v>BERAZATEGUI OESTE</v>
      </c>
      <c r="O279" s="30" t="str">
        <f ca="1">IFERROR(__xludf.DUMMYFUNCTION("""COMPUTED_VALUE"""),"691")</f>
        <v>691</v>
      </c>
      <c r="P279" s="30" t="str">
        <f ca="1">IFERROR(__xludf.DUMMYFUNCTION("""COMPUTED_VALUE"""),"BERAZATEGUI")</f>
        <v>BERAZATEGUI</v>
      </c>
      <c r="Q279" s="30" t="str">
        <f ca="1">IFERROR(__xludf.DUMMYFUNCTION("""COMPUTED_VALUE"""),"-34.778627")</f>
        <v>-34.778627</v>
      </c>
      <c r="R279" s="30" t="str">
        <f ca="1">IFERROR(__xludf.DUMMYFUNCTION("""COMPUTED_VALUE"""),"-58.188404")</f>
        <v>-58.188404</v>
      </c>
      <c r="S279" s="30" t="str">
        <f ca="1">IFERROR(__xludf.DUMMYFUNCTION("""COMPUTED_VALUE"""),"Municipal")</f>
        <v>Municipal</v>
      </c>
      <c r="T279" s="30" t="str">
        <f ca="1">IFERROR(__xludf.DUMMYFUNCTION("""COMPUTED_VALUE"""),"BERAZATEGUI")</f>
        <v>BERAZATEGUI</v>
      </c>
    </row>
    <row r="280" spans="1:20" ht="15.75" customHeight="1" x14ac:dyDescent="0.25">
      <c r="A280" s="30" t="str">
        <f ca="1">IFERROR(__xludf.DUMMYFUNCTION("""COMPUTED_VALUE"""),"50060912202512")</f>
        <v>50060912202512</v>
      </c>
      <c r="B280" s="30" t="str">
        <f ca="1">IFERROR(__xludf.DUMMYFUNCTION("""COMPUTED_VALUE"""),"UNIDAD SANITARIA N° 15 DE BERAZATEGUI")</f>
        <v>UNIDAD SANITARIA N° 15 DE BERAZATEGUI</v>
      </c>
      <c r="C280" s="30" t="str">
        <f ca="1">IFERROR(__xludf.DUMMYFUNCTION("""COMPUTED_VALUE"""),"Buenos Aires")</f>
        <v>Buenos Aires</v>
      </c>
      <c r="D280" s="30" t="str">
        <f ca="1">IFERROR(__xludf.DUMMYFUNCTION("""COMPUTED_VALUE"""),"6")</f>
        <v>6</v>
      </c>
      <c r="E280" s="30" t="str">
        <f ca="1">IFERROR(__xludf.DUMMYFUNCTION("""COMPUTED_VALUE"""),"")</f>
        <v/>
      </c>
      <c r="F280" s="29"/>
      <c r="G280" s="29"/>
      <c r="H280" s="30" t="str">
        <f ca="1">IFERROR(__xludf.DUMMYFUNCTION("""COMPUTED_VALUE"""),"inactivo")</f>
        <v>inactivo</v>
      </c>
      <c r="I280" s="30" t="str">
        <f ca="1">IFERROR(__xludf.DUMMYFUNCTION("""COMPUTED_VALUE"""),"- fuera circular 2")</f>
        <v>- fuera circular 2</v>
      </c>
      <c r="J280" s="29"/>
      <c r="K280" s="29"/>
      <c r="L280" s="30" t="str">
        <f ca="1">IFERROR(__xludf.DUMMYFUNCTION("""COMPUTED_VALUE"""),"No")</f>
        <v>No</v>
      </c>
      <c r="M280" s="30" t="str">
        <f ca="1">IFERROR(__xludf.DUMMYFUNCTION("""COMPUTED_VALUE"""),"6091010001")</f>
        <v>6091010001</v>
      </c>
      <c r="N280" s="30" t="str">
        <f ca="1">IFERROR(__xludf.DUMMYFUNCTION("""COMPUTED_VALUE"""),"BERAZATEGUI")</f>
        <v>BERAZATEGUI</v>
      </c>
      <c r="O280" s="30" t="str">
        <f ca="1">IFERROR(__xludf.DUMMYFUNCTION("""COMPUTED_VALUE"""),"691")</f>
        <v>691</v>
      </c>
      <c r="P280" s="30" t="str">
        <f ca="1">IFERROR(__xludf.DUMMYFUNCTION("""COMPUTED_VALUE"""),"BERAZATEGUI")</f>
        <v>BERAZATEGUI</v>
      </c>
      <c r="Q280" s="30" t="str">
        <f ca="1">IFERROR(__xludf.DUMMYFUNCTION("""COMPUTED_VALUE"""),"-34.77716855")</f>
        <v>-34.77716855</v>
      </c>
      <c r="R280" s="30" t="str">
        <f ca="1">IFERROR(__xludf.DUMMYFUNCTION("""COMPUTED_VALUE"""),"-58.25158024")</f>
        <v>-58.25158024</v>
      </c>
      <c r="S280" s="30" t="str">
        <f ca="1">IFERROR(__xludf.DUMMYFUNCTION("""COMPUTED_VALUE"""),"Municipal")</f>
        <v>Municipal</v>
      </c>
      <c r="T280" s="30" t="str">
        <f ca="1">IFERROR(__xludf.DUMMYFUNCTION("""COMPUTED_VALUE"""),"BERAZATEGUI")</f>
        <v>BERAZATEGUI</v>
      </c>
    </row>
    <row r="281" spans="1:20" ht="15.75" customHeight="1" x14ac:dyDescent="0.25">
      <c r="A281" s="30" t="str">
        <f ca="1">IFERROR(__xludf.DUMMYFUNCTION("""COMPUTED_VALUE"""),"50060912202547")</f>
        <v>50060912202547</v>
      </c>
      <c r="B281" s="30" t="str">
        <f ca="1">IFERROR(__xludf.DUMMYFUNCTION("""COMPUTED_VALUE"""),"UNIDAD SANITARIA N° 2 ANA G. GORINI")</f>
        <v>UNIDAD SANITARIA N° 2 ANA G. GORINI</v>
      </c>
      <c r="C281" s="30" t="str">
        <f ca="1">IFERROR(__xludf.DUMMYFUNCTION("""COMPUTED_VALUE"""),"Buenos Aires")</f>
        <v>Buenos Aires</v>
      </c>
      <c r="D281" s="30" t="str">
        <f ca="1">IFERROR(__xludf.DUMMYFUNCTION("""COMPUTED_VALUE"""),"6")</f>
        <v>6</v>
      </c>
      <c r="E281" s="30" t="str">
        <f ca="1">IFERROR(__xludf.DUMMYFUNCTION("""COMPUTED_VALUE"""),"")</f>
        <v/>
      </c>
      <c r="F281" s="29"/>
      <c r="G281" s="29"/>
      <c r="H281" s="30" t="str">
        <f ca="1">IFERROR(__xludf.DUMMYFUNCTION("""COMPUTED_VALUE"""),"inactivo")</f>
        <v>inactivo</v>
      </c>
      <c r="I281" s="30" t="str">
        <f ca="1">IFERROR(__xludf.DUMMYFUNCTION("""COMPUTED_VALUE"""),"- fuera circular 2")</f>
        <v>- fuera circular 2</v>
      </c>
      <c r="J281" s="29"/>
      <c r="K281" s="29"/>
      <c r="L281" s="30" t="str">
        <f ca="1">IFERROR(__xludf.DUMMYFUNCTION("""COMPUTED_VALUE"""),"No")</f>
        <v>No</v>
      </c>
      <c r="M281" s="30" t="str">
        <f ca="1">IFERROR(__xludf.DUMMYFUNCTION("""COMPUTED_VALUE"""),"6091010005")</f>
        <v>6091010005</v>
      </c>
      <c r="N281" s="30" t="str">
        <f ca="1">IFERROR(__xludf.DUMMYFUNCTION("""COMPUTED_VALUE"""),"GUILLERMO ENRIQUE HUDSON")</f>
        <v>GUILLERMO ENRIQUE HUDSON</v>
      </c>
      <c r="O281" s="30" t="str">
        <f ca="1">IFERROR(__xludf.DUMMYFUNCTION("""COMPUTED_VALUE"""),"691")</f>
        <v>691</v>
      </c>
      <c r="P281" s="30" t="str">
        <f ca="1">IFERROR(__xludf.DUMMYFUNCTION("""COMPUTED_VALUE"""),"BERAZATEGUI")</f>
        <v>BERAZATEGUI</v>
      </c>
      <c r="Q281" s="30" t="str">
        <f ca="1">IFERROR(__xludf.DUMMYFUNCTION("""COMPUTED_VALUE"""),"-34.78890586")</f>
        <v>-34.78890586</v>
      </c>
      <c r="R281" s="30" t="str">
        <f ca="1">IFERROR(__xludf.DUMMYFUNCTION("""COMPUTED_VALUE"""),"-58.16159749")</f>
        <v>-58.16159749</v>
      </c>
      <c r="S281" s="30" t="str">
        <f ca="1">IFERROR(__xludf.DUMMYFUNCTION("""COMPUTED_VALUE"""),"Municipal")</f>
        <v>Municipal</v>
      </c>
      <c r="T281" s="30" t="str">
        <f ca="1">IFERROR(__xludf.DUMMYFUNCTION("""COMPUTED_VALUE"""),"BERAZATEGUI")</f>
        <v>BERAZATEGUI</v>
      </c>
    </row>
    <row r="282" spans="1:20" ht="15.75" customHeight="1" x14ac:dyDescent="0.25">
      <c r="A282" s="30" t="str">
        <f ca="1">IFERROR(__xludf.DUMMYFUNCTION("""COMPUTED_VALUE"""),"50060912202641")</f>
        <v>50060912202641</v>
      </c>
      <c r="B282" s="30" t="str">
        <f ca="1">IFERROR(__xludf.DUMMYFUNCTION("""COMPUTED_VALUE"""),"UNIDAD SANITARIA N° 6 DE BERAZATEGUI")</f>
        <v>UNIDAD SANITARIA N° 6 DE BERAZATEGUI</v>
      </c>
      <c r="C282" s="30" t="str">
        <f ca="1">IFERROR(__xludf.DUMMYFUNCTION("""COMPUTED_VALUE"""),"Buenos Aires")</f>
        <v>Buenos Aires</v>
      </c>
      <c r="D282" s="30" t="str">
        <f ca="1">IFERROR(__xludf.DUMMYFUNCTION("""COMPUTED_VALUE"""),"6")</f>
        <v>6</v>
      </c>
      <c r="E282" s="30" t="str">
        <f ca="1">IFERROR(__xludf.DUMMYFUNCTION("""COMPUTED_VALUE"""),"")</f>
        <v/>
      </c>
      <c r="F282" s="29"/>
      <c r="G282" s="29"/>
      <c r="H282" s="30" t="str">
        <f ca="1">IFERROR(__xludf.DUMMYFUNCTION("""COMPUTED_VALUE"""),"activo")</f>
        <v>activo</v>
      </c>
      <c r="I282" s="29"/>
      <c r="J282" s="29"/>
      <c r="K282" s="29"/>
      <c r="L282" s="30" t="str">
        <f ca="1">IFERROR(__xludf.DUMMYFUNCTION("""COMPUTED_VALUE"""),"No")</f>
        <v>No</v>
      </c>
      <c r="M282" s="30" t="str">
        <f ca="1">IFERROR(__xludf.DUMMYFUNCTION("""COMPUTED_VALUE"""),"6091010001")</f>
        <v>6091010001</v>
      </c>
      <c r="N282" s="30" t="str">
        <f ca="1">IFERROR(__xludf.DUMMYFUNCTION("""COMPUTED_VALUE"""),"BERAZATEGUI")</f>
        <v>BERAZATEGUI</v>
      </c>
      <c r="O282" s="30" t="str">
        <f ca="1">IFERROR(__xludf.DUMMYFUNCTION("""COMPUTED_VALUE"""),"691")</f>
        <v>691</v>
      </c>
      <c r="P282" s="30" t="str">
        <f ca="1">IFERROR(__xludf.DUMMYFUNCTION("""COMPUTED_VALUE"""),"BERAZATEGUI")</f>
        <v>BERAZATEGUI</v>
      </c>
      <c r="Q282" s="30" t="str">
        <f ca="1">IFERROR(__xludf.DUMMYFUNCTION("""COMPUTED_VALUE"""),"-34.76878752")</f>
        <v>-34.76878752</v>
      </c>
      <c r="R282" s="30" t="str">
        <f ca="1">IFERROR(__xludf.DUMMYFUNCTION("""COMPUTED_VALUE"""),"-58.18423533")</f>
        <v>-58.18423533</v>
      </c>
      <c r="S282" s="30" t="str">
        <f ca="1">IFERROR(__xludf.DUMMYFUNCTION("""COMPUTED_VALUE"""),"Municipal")</f>
        <v>Municipal</v>
      </c>
      <c r="T282" s="30" t="str">
        <f ca="1">IFERROR(__xludf.DUMMYFUNCTION("""COMPUTED_VALUE"""),"BERAZATEGUI")</f>
        <v>BERAZATEGUI</v>
      </c>
    </row>
    <row r="283" spans="1:20" ht="15.75" customHeight="1" x14ac:dyDescent="0.25">
      <c r="A283" s="30" t="str">
        <f ca="1">IFERROR(__xludf.DUMMYFUNCTION("""COMPUTED_VALUE"""),"50060912215013")</f>
        <v>50060912215013</v>
      </c>
      <c r="B283" s="30" t="str">
        <f ca="1">IFERROR(__xludf.DUMMYFUNCTION("""COMPUTED_VALUE"""),"UNIDAD SANITARIA N° 17")</f>
        <v>UNIDAD SANITARIA N° 17</v>
      </c>
      <c r="C283" s="30" t="str">
        <f ca="1">IFERROR(__xludf.DUMMYFUNCTION("""COMPUTED_VALUE"""),"Buenos Aires")</f>
        <v>Buenos Aires</v>
      </c>
      <c r="D283" s="30" t="str">
        <f ca="1">IFERROR(__xludf.DUMMYFUNCTION("""COMPUTED_VALUE"""),"6")</f>
        <v>6</v>
      </c>
      <c r="E283" s="30" t="str">
        <f ca="1">IFERROR(__xludf.DUMMYFUNCTION("""COMPUTED_VALUE"""),"")</f>
        <v/>
      </c>
      <c r="F283" s="29"/>
      <c r="G283" s="29"/>
      <c r="H283" s="30" t="str">
        <f ca="1">IFERROR(__xludf.DUMMYFUNCTION("""COMPUTED_VALUE"""),"activo")</f>
        <v>activo</v>
      </c>
      <c r="I283" s="29"/>
      <c r="J283" s="29"/>
      <c r="K283" s="29"/>
      <c r="L283" s="30" t="str">
        <f ca="1">IFERROR(__xludf.DUMMYFUNCTION("""COMPUTED_VALUE"""),"No")</f>
        <v>No</v>
      </c>
      <c r="M283" s="30" t="str">
        <f ca="1">IFERROR(__xludf.DUMMYFUNCTION("""COMPUTED_VALUE"""),"6091010001")</f>
        <v>6091010001</v>
      </c>
      <c r="N283" s="30" t="str">
        <f ca="1">IFERROR(__xludf.DUMMYFUNCTION("""COMPUTED_VALUE"""),"BERAZATEGUI")</f>
        <v>BERAZATEGUI</v>
      </c>
      <c r="O283" s="30" t="str">
        <f ca="1">IFERROR(__xludf.DUMMYFUNCTION("""COMPUTED_VALUE"""),"691")</f>
        <v>691</v>
      </c>
      <c r="P283" s="30" t="str">
        <f ca="1">IFERROR(__xludf.DUMMYFUNCTION("""COMPUTED_VALUE"""),"BERAZATEGUI")</f>
        <v>BERAZATEGUI</v>
      </c>
      <c r="Q283" s="30" t="str">
        <f ca="1">IFERROR(__xludf.DUMMYFUNCTION("""COMPUTED_VALUE"""),"-34.7508738")</f>
        <v>-34.7508738</v>
      </c>
      <c r="R283" s="30" t="str">
        <f ca="1">IFERROR(__xludf.DUMMYFUNCTION("""COMPUTED_VALUE"""),"-58.2237791")</f>
        <v>-58.2237791</v>
      </c>
      <c r="S283" s="30" t="str">
        <f ca="1">IFERROR(__xludf.DUMMYFUNCTION("""COMPUTED_VALUE"""),"Municipal")</f>
        <v>Municipal</v>
      </c>
      <c r="T283" s="30" t="str">
        <f ca="1">IFERROR(__xludf.DUMMYFUNCTION("""COMPUTED_VALUE"""),"BERAZATEGUI")</f>
        <v>BERAZATEGUI</v>
      </c>
    </row>
    <row r="284" spans="1:20" ht="15.75" customHeight="1" x14ac:dyDescent="0.25">
      <c r="A284" s="30" t="str">
        <f ca="1">IFERROR(__xludf.DUMMYFUNCTION("""COMPUTED_VALUE"""),"50060912215016")</f>
        <v>50060912215016</v>
      </c>
      <c r="B284" s="30" t="str">
        <f ca="1">IFERROR(__xludf.DUMMYFUNCTION("""COMPUTED_VALUE"""),"UNIDAD SANITARIA N° 23 SAN PANTALEON")</f>
        <v>UNIDAD SANITARIA N° 23 SAN PANTALEON</v>
      </c>
      <c r="C284" s="30" t="str">
        <f ca="1">IFERROR(__xludf.DUMMYFUNCTION("""COMPUTED_VALUE"""),"Buenos Aires")</f>
        <v>Buenos Aires</v>
      </c>
      <c r="D284" s="30" t="str">
        <f ca="1">IFERROR(__xludf.DUMMYFUNCTION("""COMPUTED_VALUE"""),"6")</f>
        <v>6</v>
      </c>
      <c r="E284" s="30" t="str">
        <f ca="1">IFERROR(__xludf.DUMMYFUNCTION("""COMPUTED_VALUE"""),"")</f>
        <v/>
      </c>
      <c r="F284" s="29"/>
      <c r="G284" s="29"/>
      <c r="H284" s="30" t="str">
        <f ca="1">IFERROR(__xludf.DUMMYFUNCTION("""COMPUTED_VALUE"""),"activo")</f>
        <v>activo</v>
      </c>
      <c r="I284" s="29"/>
      <c r="J284" s="29"/>
      <c r="K284" s="29"/>
      <c r="L284" s="30" t="str">
        <f ca="1">IFERROR(__xludf.DUMMYFUNCTION("""COMPUTED_VALUE"""),"No")</f>
        <v>No</v>
      </c>
      <c r="M284" s="30" t="str">
        <f ca="1">IFERROR(__xludf.DUMMYFUNCTION("""COMPUTED_VALUE"""),"6091010001")</f>
        <v>6091010001</v>
      </c>
      <c r="N284" s="30" t="str">
        <f ca="1">IFERROR(__xludf.DUMMYFUNCTION("""COMPUTED_VALUE"""),"BERAZATEGUI")</f>
        <v>BERAZATEGUI</v>
      </c>
      <c r="O284" s="30" t="str">
        <f ca="1">IFERROR(__xludf.DUMMYFUNCTION("""COMPUTED_VALUE"""),"691")</f>
        <v>691</v>
      </c>
      <c r="P284" s="30" t="str">
        <f ca="1">IFERROR(__xludf.DUMMYFUNCTION("""COMPUTED_VALUE"""),"BERAZATEGUI")</f>
        <v>BERAZATEGUI</v>
      </c>
      <c r="Q284" s="30" t="str">
        <f ca="1">IFERROR(__xludf.DUMMYFUNCTION("""COMPUTED_VALUE"""),"-34.78828555")</f>
        <v>-34.78828555</v>
      </c>
      <c r="R284" s="30" t="str">
        <f ca="1">IFERROR(__xludf.DUMMYFUNCTION("""COMPUTED_VALUE"""),"-58.14994812")</f>
        <v>-58.14994812</v>
      </c>
      <c r="S284" s="30" t="str">
        <f ca="1">IFERROR(__xludf.DUMMYFUNCTION("""COMPUTED_VALUE"""),"Municipal")</f>
        <v>Municipal</v>
      </c>
      <c r="T284" s="30" t="str">
        <f ca="1">IFERROR(__xludf.DUMMYFUNCTION("""COMPUTED_VALUE"""),"BERAZATEGUI")</f>
        <v>BERAZATEGUI</v>
      </c>
    </row>
    <row r="285" spans="1:20" ht="15.75" customHeight="1" x14ac:dyDescent="0.25">
      <c r="A285" s="30" t="str">
        <f ca="1">IFERROR(__xludf.DUMMYFUNCTION("""COMPUTED_VALUE"""),"50061192202100")</f>
        <v>50061192202100</v>
      </c>
      <c r="B285" s="30" t="str">
        <f ca="1">IFERROR(__xludf.DUMMYFUNCTION("""COMPUTED_VALUE"""),"UNIDAD SANITARIA LAS MANDARINAS")</f>
        <v>UNIDAD SANITARIA LAS MANDARINAS</v>
      </c>
      <c r="C285" s="30" t="str">
        <f ca="1">IFERROR(__xludf.DUMMYFUNCTION("""COMPUTED_VALUE"""),"Buenos Aires")</f>
        <v>Buenos Aires</v>
      </c>
      <c r="D285" s="30" t="str">
        <f ca="1">IFERROR(__xludf.DUMMYFUNCTION("""COMPUTED_VALUE"""),"6")</f>
        <v>6</v>
      </c>
      <c r="E285" s="30" t="str">
        <f ca="1">IFERROR(__xludf.DUMMYFUNCTION("""COMPUTED_VALUE"""),"")</f>
        <v/>
      </c>
      <c r="F285" s="29"/>
      <c r="G285" s="29"/>
      <c r="H285" s="30" t="str">
        <f ca="1">IFERROR(__xludf.DUMMYFUNCTION("""COMPUTED_VALUE"""),"activo")</f>
        <v>activo</v>
      </c>
      <c r="I285" s="29"/>
      <c r="J285" s="29"/>
      <c r="K285" s="29"/>
      <c r="L285" s="30" t="str">
        <f ca="1">IFERROR(__xludf.DUMMYFUNCTION("""COMPUTED_VALUE"""),"No")</f>
        <v>No</v>
      </c>
      <c r="M285" s="30" t="str">
        <f ca="1">IFERROR(__xludf.DUMMYFUNCTION("""COMPUTED_VALUE"""),"6119050000")</f>
        <v>6119050000</v>
      </c>
      <c r="N285" s="30" t="str">
        <f ca="1">IFERROR(__xludf.DUMMYFUNCTION("""COMPUTED_VALUE"""),"CORONEL BRANDSEN")</f>
        <v>CORONEL BRANDSEN</v>
      </c>
      <c r="O285" s="30" t="str">
        <f ca="1">IFERROR(__xludf.DUMMYFUNCTION("""COMPUTED_VALUE"""),"6119")</f>
        <v>6119</v>
      </c>
      <c r="P285" s="30" t="str">
        <f ca="1">IFERROR(__xludf.DUMMYFUNCTION("""COMPUTED_VALUE"""),"BRANDSEN")</f>
        <v>BRANDSEN</v>
      </c>
      <c r="Q285" s="30" t="str">
        <f ca="1">IFERROR(__xludf.DUMMYFUNCTION("""COMPUTED_VALUE"""),"-35.15946837")</f>
        <v>-35.15946837</v>
      </c>
      <c r="R285" s="30" t="str">
        <f ca="1">IFERROR(__xludf.DUMMYFUNCTION("""COMPUTED_VALUE"""),"-58.24442625")</f>
        <v>-58.24442625</v>
      </c>
      <c r="S285" s="30" t="str">
        <f ca="1">IFERROR(__xludf.DUMMYFUNCTION("""COMPUTED_VALUE"""),"Municipal")</f>
        <v>Municipal</v>
      </c>
      <c r="T285" s="30" t="str">
        <f ca="1">IFERROR(__xludf.DUMMYFUNCTION("""COMPUTED_VALUE"""),"BRANDSEN")</f>
        <v>BRANDSEN</v>
      </c>
    </row>
    <row r="286" spans="1:20" ht="15.75" customHeight="1" x14ac:dyDescent="0.25">
      <c r="A286" s="30" t="str">
        <f ca="1">IFERROR(__xludf.DUMMYFUNCTION("""COMPUTED_VALUE"""),"50061342202762")</f>
        <v>50061342202762</v>
      </c>
      <c r="B286" s="30" t="str">
        <f ca="1">IFERROR(__xludf.DUMMYFUNCTION("""COMPUTED_VALUE"""),"UNIDAD SANITARIA SAGRADO CORAZON DE JESUS MAXIMO PAZ")</f>
        <v>UNIDAD SANITARIA SAGRADO CORAZON DE JESUS MAXIMO PAZ</v>
      </c>
      <c r="C286" s="30" t="str">
        <f ca="1">IFERROR(__xludf.DUMMYFUNCTION("""COMPUTED_VALUE"""),"Buenos Aires")</f>
        <v>Buenos Aires</v>
      </c>
      <c r="D286" s="30" t="str">
        <f ca="1">IFERROR(__xludf.DUMMYFUNCTION("""COMPUTED_VALUE"""),"6")</f>
        <v>6</v>
      </c>
      <c r="E286" s="30" t="str">
        <f ca="1">IFERROR(__xludf.DUMMYFUNCTION("""COMPUTED_VALUE"""),"")</f>
        <v/>
      </c>
      <c r="F286" s="29"/>
      <c r="G286" s="30" t="str">
        <f ca="1">IFERROR(__xludf.DUMMYFUNCTION("""COMPUTED_VALUE"""),"50060282202313")</f>
        <v>50060282202313</v>
      </c>
      <c r="H286" s="30" t="str">
        <f ca="1">IFERROR(__xludf.DUMMYFUNCTION("""COMPUTED_VALUE"""),"inactivo")</f>
        <v>inactivo</v>
      </c>
      <c r="I286" s="29"/>
      <c r="J286" s="29"/>
      <c r="K286" s="29"/>
      <c r="L286" s="30" t="str">
        <f ca="1">IFERROR(__xludf.DUMMYFUNCTION("""COMPUTED_VALUE"""),"No")</f>
        <v>No</v>
      </c>
      <c r="M286" s="30" t="str">
        <f ca="1">IFERROR(__xludf.DUMMYFUNCTION("""COMPUTED_VALUE"""),"6134050002")</f>
        <v>6134050002</v>
      </c>
      <c r="N286" s="30" t="str">
        <f ca="1">IFERROR(__xludf.DUMMYFUNCTION("""COMPUTED_VALUE"""),"MAXIMO PAZ")</f>
        <v>MAXIMO PAZ</v>
      </c>
      <c r="O286" s="30" t="str">
        <f ca="1">IFERROR(__xludf.DUMMYFUNCTION("""COMPUTED_VALUE"""),"6134")</f>
        <v>6134</v>
      </c>
      <c r="P286" s="30" t="str">
        <f ca="1">IFERROR(__xludf.DUMMYFUNCTION("""COMPUTED_VALUE"""),"CAÑUELAS")</f>
        <v>CAÑUELAS</v>
      </c>
      <c r="Q286" s="30" t="str">
        <f ca="1">IFERROR(__xludf.DUMMYFUNCTION("""COMPUTED_VALUE"""),"-34.93808453")</f>
        <v>-34.93808453</v>
      </c>
      <c r="R286" s="30" t="str">
        <f ca="1">IFERROR(__xludf.DUMMYFUNCTION("""COMPUTED_VALUE"""),"-58.61044908")</f>
        <v>-58.61044908</v>
      </c>
      <c r="S286" s="30" t="str">
        <f ca="1">IFERROR(__xludf.DUMMYFUNCTION("""COMPUTED_VALUE"""),"Municipal")</f>
        <v>Municipal</v>
      </c>
      <c r="T286" s="30" t="str">
        <f ca="1">IFERROR(__xludf.DUMMYFUNCTION("""COMPUTED_VALUE"""),"CAÑUELAS")</f>
        <v>CAÑUELAS</v>
      </c>
    </row>
    <row r="287" spans="1:20" ht="15.75" customHeight="1" x14ac:dyDescent="0.25">
      <c r="A287" s="30" t="str">
        <f ca="1">IFERROR(__xludf.DUMMYFUNCTION("""COMPUTED_VALUE"""),"50060282202313")</f>
        <v>50060282202313</v>
      </c>
      <c r="B287" s="30" t="str">
        <f ca="1">IFERROR(__xludf.DUMMYFUNCTION("""COMPUTED_VALUE"""),"UNIDAD SANITARIA GLEW II")</f>
        <v>UNIDAD SANITARIA GLEW II</v>
      </c>
      <c r="C287" s="30" t="str">
        <f ca="1">IFERROR(__xludf.DUMMYFUNCTION("""COMPUTED_VALUE"""),"Buenos Aires")</f>
        <v>Buenos Aires</v>
      </c>
      <c r="D287" s="30" t="str">
        <f ca="1">IFERROR(__xludf.DUMMYFUNCTION("""COMPUTED_VALUE"""),"6")</f>
        <v>6</v>
      </c>
      <c r="E287" s="30" t="str">
        <f ca="1">IFERROR(__xludf.DUMMYFUNCTION("""COMPUTED_VALUE"""),"si")</f>
        <v>si</v>
      </c>
      <c r="F287" s="30" t="str">
        <f ca="1">IFERROR(__xludf.DUMMYFUNCTION("""COMPUTED_VALUE"""),"50061342202762")</f>
        <v>50061342202762</v>
      </c>
      <c r="G287" s="29"/>
      <c r="H287" s="30" t="str">
        <f ca="1">IFERROR(__xludf.DUMMYFUNCTION("""COMPUTED_VALUE"""),"activo")</f>
        <v>activo</v>
      </c>
      <c r="I287" s="29"/>
      <c r="J287" s="29"/>
      <c r="K287" s="29"/>
      <c r="L287" s="30" t="str">
        <f ca="1">IFERROR(__xludf.DUMMYFUNCTION("""COMPUTED_VALUE"""),"No")</f>
        <v>No</v>
      </c>
      <c r="M287" s="30" t="str">
        <f ca="1">IFERROR(__xludf.DUMMYFUNCTION("""COMPUTED_VALUE"""),"6028010005")</f>
        <v>6028010005</v>
      </c>
      <c r="N287" s="30" t="str">
        <f ca="1">IFERROR(__xludf.DUMMYFUNCTION("""COMPUTED_VALUE"""),"GLEW")</f>
        <v>GLEW</v>
      </c>
      <c r="O287" s="30" t="str">
        <f ca="1">IFERROR(__xludf.DUMMYFUNCTION("""COMPUTED_VALUE"""),"628")</f>
        <v>628</v>
      </c>
      <c r="P287" s="30" t="str">
        <f ca="1">IFERROR(__xludf.DUMMYFUNCTION("""COMPUTED_VALUE"""),"ALMIRANTE BROWN")</f>
        <v>ALMIRANTE BROWN</v>
      </c>
      <c r="Q287" s="30" t="str">
        <f ca="1">IFERROR(__xludf.DUMMYFUNCTION("""COMPUTED_VALUE"""),"-34.89036289")</f>
        <v>-34.89036289</v>
      </c>
      <c r="R287" s="30" t="str">
        <f ca="1">IFERROR(__xludf.DUMMYFUNCTION("""COMPUTED_VALUE"""),"-58.36241341")</f>
        <v>-58.36241341</v>
      </c>
      <c r="S287" s="30" t="str">
        <f ca="1">IFERROR(__xludf.DUMMYFUNCTION("""COMPUTED_VALUE"""),"Municipal")</f>
        <v>Municipal</v>
      </c>
      <c r="T287" s="30" t="str">
        <f ca="1">IFERROR(__xludf.DUMMYFUNCTION("""COMPUTED_VALUE"""),"ALMIRANTE BROWN")</f>
        <v>ALMIRANTE BROWN</v>
      </c>
    </row>
    <row r="288" spans="1:20" ht="15.75" customHeight="1" x14ac:dyDescent="0.25">
      <c r="A288" s="30" t="str">
        <f ca="1">IFERROR(__xludf.DUMMYFUNCTION("""COMPUTED_VALUE"""),"50061472201403")</f>
        <v>50061472201403</v>
      </c>
      <c r="B288" s="30" t="str">
        <f ca="1">IFERROR(__xludf.DUMMYFUNCTION("""COMPUTED_VALUE"""),"CENTRO MATERNO INFANTIL DE CARLOS CASARES")</f>
        <v>CENTRO MATERNO INFANTIL DE CARLOS CASARES</v>
      </c>
      <c r="C288" s="30" t="str">
        <f ca="1">IFERROR(__xludf.DUMMYFUNCTION("""COMPUTED_VALUE"""),"Buenos Aires")</f>
        <v>Buenos Aires</v>
      </c>
      <c r="D288" s="30" t="str">
        <f ca="1">IFERROR(__xludf.DUMMYFUNCTION("""COMPUTED_VALUE"""),"6")</f>
        <v>6</v>
      </c>
      <c r="E288" s="30" t="str">
        <f ca="1">IFERROR(__xludf.DUMMYFUNCTION("""COMPUTED_VALUE"""),"")</f>
        <v/>
      </c>
      <c r="F288" s="29"/>
      <c r="G288" s="29"/>
      <c r="H288" s="30" t="str">
        <f ca="1">IFERROR(__xludf.DUMMYFUNCTION("""COMPUTED_VALUE"""),"inactivo")</f>
        <v>inactivo</v>
      </c>
      <c r="I288" s="29"/>
      <c r="J288" s="29"/>
      <c r="K288" s="29"/>
      <c r="L288" s="30" t="str">
        <f ca="1">IFERROR(__xludf.DUMMYFUNCTION("""COMPUTED_VALUE"""),"No")</f>
        <v>No</v>
      </c>
      <c r="M288" s="30" t="str">
        <f ca="1">IFERROR(__xludf.DUMMYFUNCTION("""COMPUTED_VALUE"""),"6147030000")</f>
        <v>6147030000</v>
      </c>
      <c r="N288" s="30" t="str">
        <f ca="1">IFERROR(__xludf.DUMMYFUNCTION("""COMPUTED_VALUE"""),"CARLOS CASARES")</f>
        <v>CARLOS CASARES</v>
      </c>
      <c r="O288" s="30" t="str">
        <f ca="1">IFERROR(__xludf.DUMMYFUNCTION("""COMPUTED_VALUE"""),"6147")</f>
        <v>6147</v>
      </c>
      <c r="P288" s="30" t="str">
        <f ca="1">IFERROR(__xludf.DUMMYFUNCTION("""COMPUTED_VALUE"""),"CARLOS CASARES")</f>
        <v>CARLOS CASARES</v>
      </c>
      <c r="Q288" s="30" t="str">
        <f ca="1">IFERROR(__xludf.DUMMYFUNCTION("""COMPUTED_VALUE"""),"-35.61706066")</f>
        <v>-35.61706066</v>
      </c>
      <c r="R288" s="30" t="str">
        <f ca="1">IFERROR(__xludf.DUMMYFUNCTION("""COMPUTED_VALUE"""),"-61.35987854")</f>
        <v>-61.35987854</v>
      </c>
      <c r="S288" s="30" t="str">
        <f ca="1">IFERROR(__xludf.DUMMYFUNCTION("""COMPUTED_VALUE"""),"Municipal")</f>
        <v>Municipal</v>
      </c>
      <c r="T288" s="30" t="str">
        <f ca="1">IFERROR(__xludf.DUMMYFUNCTION("""COMPUTED_VALUE"""),"CARLOS CASARES")</f>
        <v>CARLOS CASARES</v>
      </c>
    </row>
    <row r="289" spans="1:20" ht="15.75" customHeight="1" x14ac:dyDescent="0.25">
      <c r="A289" s="30" t="str">
        <f ca="1">IFERROR(__xludf.DUMMYFUNCTION("""COMPUTED_VALUE"""),"CI50068402202990")</f>
        <v>CI50068402202990</v>
      </c>
      <c r="B289" s="30" t="str">
        <f ca="1">IFERROR(__xludf.DUMMYFUNCTION("""COMPUTED_VALUE"""),"CAPS Nº 26 USAM")</f>
        <v>CAPS Nº 26 USAM</v>
      </c>
      <c r="C289" s="30" t="str">
        <f ca="1">IFERROR(__xludf.DUMMYFUNCTION("""COMPUTED_VALUE"""),"Buenos Aires")</f>
        <v>Buenos Aires</v>
      </c>
      <c r="D289" s="30" t="str">
        <f ca="1">IFERROR(__xludf.DUMMYFUNCTION("""COMPUTED_VALUE"""),"6")</f>
        <v>6</v>
      </c>
      <c r="E289" s="30" t="str">
        <f ca="1">IFERROR(__xludf.DUMMYFUNCTION("""COMPUTED_VALUE"""),"")</f>
        <v/>
      </c>
      <c r="F289" s="30" t="str">
        <f ca="1">IFERROR(__xludf.DUMMYFUNCTION("""COMPUTED_VALUE"""),"50061472201403")</f>
        <v>50061472201403</v>
      </c>
      <c r="G289" s="29"/>
      <c r="H289" s="30" t="str">
        <f ca="1">IFERROR(__xludf.DUMMYFUNCTION("""COMPUTED_VALUE"""),"inactivo")</f>
        <v>inactivo</v>
      </c>
      <c r="I289" s="30" t="str">
        <f ca="1">IFERROR(__xludf.DUMMYFUNCTION("""COMPUTED_VALUE"""),"Cambió su CI a REFES. Nuevo REFES: 50060282218926")</f>
        <v>Cambió su CI a REFES. Nuevo REFES: 50060282218926</v>
      </c>
      <c r="J289" s="29"/>
      <c r="K289" s="29"/>
      <c r="L289" s="30" t="str">
        <f ca="1">IFERROR(__xludf.DUMMYFUNCTION("""COMPUTED_VALUE"""),"No")</f>
        <v>No</v>
      </c>
      <c r="M289" s="30" t="str">
        <f ca="1">IFERROR(__xludf.DUMMYFUNCTION("""COMPUTED_VALUE"""),"#N/A")</f>
        <v>#N/A</v>
      </c>
      <c r="N289" s="30" t="str">
        <f ca="1">IFERROR(__xludf.DUMMYFUNCTION("""COMPUTED_VALUE"""),"#N/A")</f>
        <v>#N/A</v>
      </c>
      <c r="O289" s="30" t="str">
        <f ca="1">IFERROR(__xludf.DUMMYFUNCTION("""COMPUTED_VALUE"""),"#N/A")</f>
        <v>#N/A</v>
      </c>
      <c r="P289" s="30" t="str">
        <f ca="1">IFERROR(__xludf.DUMMYFUNCTION("""COMPUTED_VALUE"""),"ALMIRANTE BROWN")</f>
        <v>ALMIRANTE BROWN</v>
      </c>
      <c r="Q289" s="30" t="str">
        <f ca="1">IFERROR(__xludf.DUMMYFUNCTION("""COMPUTED_VALUE"""),"#N/A")</f>
        <v>#N/A</v>
      </c>
      <c r="R289" s="30" t="str">
        <f ca="1">IFERROR(__xludf.DUMMYFUNCTION("""COMPUTED_VALUE"""),"#N/A")</f>
        <v>#N/A</v>
      </c>
      <c r="S289" s="30" t="str">
        <f ca="1">IFERROR(__xludf.DUMMYFUNCTION("""COMPUTED_VALUE"""),"#N/A")</f>
        <v>#N/A</v>
      </c>
      <c r="T289" s="30" t="str">
        <f ca="1">IFERROR(__xludf.DUMMYFUNCTION("""COMPUTED_VALUE"""),"ALMIRANTE BROWN")</f>
        <v>ALMIRANTE BROWN</v>
      </c>
    </row>
    <row r="290" spans="1:20" ht="15.75" customHeight="1" x14ac:dyDescent="0.25">
      <c r="A290" s="30" t="str">
        <f ca="1">IFERROR(__xludf.DUMMYFUNCTION("""COMPUTED_VALUE"""),"50062242202458")</f>
        <v>50062242202458</v>
      </c>
      <c r="B290" s="30" t="str">
        <f ca="1">IFERROR(__xludf.DUMMYFUNCTION("""COMPUTED_VALUE"""),"UNIDAD SANITARIA MOQUEHUA")</f>
        <v>UNIDAD SANITARIA MOQUEHUA</v>
      </c>
      <c r="C290" s="30" t="str">
        <f ca="1">IFERROR(__xludf.DUMMYFUNCTION("""COMPUTED_VALUE"""),"Buenos Aires")</f>
        <v>Buenos Aires</v>
      </c>
      <c r="D290" s="30" t="str">
        <f ca="1">IFERROR(__xludf.DUMMYFUNCTION("""COMPUTED_VALUE"""),"6")</f>
        <v>6</v>
      </c>
      <c r="E290" s="30" t="str">
        <f ca="1">IFERROR(__xludf.DUMMYFUNCTION("""COMPUTED_VALUE"""),"")</f>
        <v/>
      </c>
      <c r="F290" s="29"/>
      <c r="G290" s="29"/>
      <c r="H290" s="30" t="str">
        <f ca="1">IFERROR(__xludf.DUMMYFUNCTION("""COMPUTED_VALUE"""),"inactivo")</f>
        <v>inactivo</v>
      </c>
      <c r="I290" s="29"/>
      <c r="J290" s="29"/>
      <c r="K290" s="29"/>
      <c r="L290" s="30" t="str">
        <f ca="1">IFERROR(__xludf.DUMMYFUNCTION("""COMPUTED_VALUE"""),"No")</f>
        <v>No</v>
      </c>
      <c r="M290" s="30" t="str">
        <f ca="1">IFERROR(__xludf.DUMMYFUNCTION("""COMPUTED_VALUE"""),"6224050000")</f>
        <v>6224050000</v>
      </c>
      <c r="N290" s="30" t="str">
        <f ca="1">IFERROR(__xludf.DUMMYFUNCTION("""COMPUTED_VALUE"""),"MOQUEHUA")</f>
        <v>MOQUEHUA</v>
      </c>
      <c r="O290" s="30" t="str">
        <f ca="1">IFERROR(__xludf.DUMMYFUNCTION("""COMPUTED_VALUE"""),"6224")</f>
        <v>6224</v>
      </c>
      <c r="P290" s="30" t="str">
        <f ca="1">IFERROR(__xludf.DUMMYFUNCTION("""COMPUTED_VALUE"""),"CHIVILCOY")</f>
        <v>CHIVILCOY</v>
      </c>
      <c r="Q290" s="30" t="str">
        <f ca="1">IFERROR(__xludf.DUMMYFUNCTION("""COMPUTED_VALUE"""),"-35.09007994")</f>
        <v>-35.09007994</v>
      </c>
      <c r="R290" s="30" t="str">
        <f ca="1">IFERROR(__xludf.DUMMYFUNCTION("""COMPUTED_VALUE"""),"-59.77578736")</f>
        <v>-59.77578736</v>
      </c>
      <c r="S290" s="30" t="str">
        <f ca="1">IFERROR(__xludf.DUMMYFUNCTION("""COMPUTED_VALUE"""),"Municipal")</f>
        <v>Municipal</v>
      </c>
      <c r="T290" s="30" t="str">
        <f ca="1">IFERROR(__xludf.DUMMYFUNCTION("""COMPUTED_VALUE"""),"CHIVILCOY")</f>
        <v>CHIVILCOY</v>
      </c>
    </row>
    <row r="291" spans="1:20" ht="15.75" customHeight="1" x14ac:dyDescent="0.25">
      <c r="A291" s="30" t="str">
        <f ca="1">IFERROR(__xludf.DUMMYFUNCTION("""COMPUTED_VALUE"""),"50061192202376")</f>
        <v>50061192202376</v>
      </c>
      <c r="B291" s="30" t="str">
        <f ca="1">IFERROR(__xludf.DUMMYFUNCTION("""COMPUTED_VALUE"""),"UNIDAD SANITARIA LA POSADA - SAMBOROMBON")</f>
        <v>UNIDAD SANITARIA LA POSADA - SAMBOROMBON</v>
      </c>
      <c r="C291" s="30" t="str">
        <f ca="1">IFERROR(__xludf.DUMMYFUNCTION("""COMPUTED_VALUE"""),"Buenos Aires")</f>
        <v>Buenos Aires</v>
      </c>
      <c r="D291" s="30" t="str">
        <f ca="1">IFERROR(__xludf.DUMMYFUNCTION("""COMPUTED_VALUE"""),"6")</f>
        <v>6</v>
      </c>
      <c r="E291" s="30" t="str">
        <f ca="1">IFERROR(__xludf.DUMMYFUNCTION("""COMPUTED_VALUE"""),"")</f>
        <v/>
      </c>
      <c r="F291" s="30" t="str">
        <f ca="1">IFERROR(__xludf.DUMMYFUNCTION("""COMPUTED_VALUE"""),"50062242202458")</f>
        <v>50062242202458</v>
      </c>
      <c r="G291" s="29"/>
      <c r="H291" s="30" t="str">
        <f ca="1">IFERROR(__xludf.DUMMYFUNCTION("""COMPUTED_VALUE"""),"activo")</f>
        <v>activo</v>
      </c>
      <c r="I291" s="29"/>
      <c r="J291" s="29"/>
      <c r="K291" s="29"/>
      <c r="L291" s="30" t="str">
        <f ca="1">IFERROR(__xludf.DUMMYFUNCTION("""COMPUTED_VALUE"""),"No")</f>
        <v>No</v>
      </c>
      <c r="M291" s="30" t="str">
        <f ca="1">IFERROR(__xludf.DUMMYFUNCTION("""COMPUTED_VALUE"""),"6119090000")</f>
        <v>6119090000</v>
      </c>
      <c r="N291" s="30" t="str">
        <f ca="1">IFERROR(__xludf.DUMMYFUNCTION("""COMPUTED_VALUE"""),"SAMBOROMBON")</f>
        <v>SAMBOROMBON</v>
      </c>
      <c r="O291" s="30" t="str">
        <f ca="1">IFERROR(__xludf.DUMMYFUNCTION("""COMPUTED_VALUE"""),"6119")</f>
        <v>6119</v>
      </c>
      <c r="P291" s="30" t="str">
        <f ca="1">IFERROR(__xludf.DUMMYFUNCTION("""COMPUTED_VALUE"""),"BRANDSEN")</f>
        <v>BRANDSEN</v>
      </c>
      <c r="Q291" s="30" t="str">
        <f ca="1">IFERROR(__xludf.DUMMYFUNCTION("""COMPUTED_VALUE"""),"-35.22374598")</f>
        <v>-35.22374598</v>
      </c>
      <c r="R291" s="30" t="str">
        <f ca="1">IFERROR(__xludf.DUMMYFUNCTION("""COMPUTED_VALUE"""),"-58.28212738")</f>
        <v>-58.28212738</v>
      </c>
      <c r="S291" s="30" t="str">
        <f ca="1">IFERROR(__xludf.DUMMYFUNCTION("""COMPUTED_VALUE"""),"Municipal")</f>
        <v>Municipal</v>
      </c>
      <c r="T291" s="30" t="str">
        <f ca="1">IFERROR(__xludf.DUMMYFUNCTION("""COMPUTED_VALUE"""),"BRANDSEN")</f>
        <v>BRANDSEN</v>
      </c>
    </row>
    <row r="292" spans="1:20" ht="15.75" customHeight="1" x14ac:dyDescent="0.25">
      <c r="A292" s="30" t="str">
        <f ca="1">IFERROR(__xludf.DUMMYFUNCTION("""COMPUTED_VALUE"""),"50062452201519")</f>
        <v>50062452201519</v>
      </c>
      <c r="B292" s="30" t="str">
        <f ca="1">IFERROR(__xludf.DUMMYFUNCTION("""COMPUTED_VALUE"""),"CIC ENSENADA")</f>
        <v>CIC ENSENADA</v>
      </c>
      <c r="C292" s="30" t="str">
        <f ca="1">IFERROR(__xludf.DUMMYFUNCTION("""COMPUTED_VALUE"""),"Buenos Aires")</f>
        <v>Buenos Aires</v>
      </c>
      <c r="D292" s="30" t="str">
        <f ca="1">IFERROR(__xludf.DUMMYFUNCTION("""COMPUTED_VALUE"""),"6")</f>
        <v>6</v>
      </c>
      <c r="E292" s="30" t="str">
        <f ca="1">IFERROR(__xludf.DUMMYFUNCTION("""COMPUTED_VALUE"""),"")</f>
        <v/>
      </c>
      <c r="F292" s="29"/>
      <c r="G292" s="29"/>
      <c r="H292" s="30" t="str">
        <f ca="1">IFERROR(__xludf.DUMMYFUNCTION("""COMPUTED_VALUE"""),"inactivo")</f>
        <v>inactivo</v>
      </c>
      <c r="I292" s="29"/>
      <c r="J292" s="29"/>
      <c r="K292" s="29"/>
      <c r="L292" s="30" t="str">
        <f ca="1">IFERROR(__xludf.DUMMYFUNCTION("""COMPUTED_VALUE"""),"No")</f>
        <v>No</v>
      </c>
      <c r="M292" s="30" t="str">
        <f ca="1">IFERROR(__xludf.DUMMYFUNCTION("""COMPUTED_VALUE"""),"6245010002")</f>
        <v>6245010002</v>
      </c>
      <c r="N292" s="30" t="str">
        <f ca="1">IFERROR(__xludf.DUMMYFUNCTION("""COMPUTED_VALUE"""),"ENSENADA")</f>
        <v>ENSENADA</v>
      </c>
      <c r="O292" s="30" t="str">
        <f ca="1">IFERROR(__xludf.DUMMYFUNCTION("""COMPUTED_VALUE"""),"6245")</f>
        <v>6245</v>
      </c>
      <c r="P292" s="30" t="str">
        <f ca="1">IFERROR(__xludf.DUMMYFUNCTION("""COMPUTED_VALUE"""),"ENSENADA")</f>
        <v>ENSENADA</v>
      </c>
      <c r="Q292" s="30" t="str">
        <f ca="1">IFERROR(__xludf.DUMMYFUNCTION("""COMPUTED_VALUE"""),"-34.8849237")</f>
        <v>-34.8849237</v>
      </c>
      <c r="R292" s="30" t="str">
        <f ca="1">IFERROR(__xludf.DUMMYFUNCTION("""COMPUTED_VALUE"""),"-57.9514394")</f>
        <v>-57.9514394</v>
      </c>
      <c r="S292" s="30" t="str">
        <f ca="1">IFERROR(__xludf.DUMMYFUNCTION("""COMPUTED_VALUE"""),"Municipal")</f>
        <v>Municipal</v>
      </c>
      <c r="T292" s="30" t="str">
        <f ca="1">IFERROR(__xludf.DUMMYFUNCTION("""COMPUTED_VALUE"""),"ENSENADA")</f>
        <v>ENSENADA</v>
      </c>
    </row>
    <row r="293" spans="1:20" ht="15.75" customHeight="1" x14ac:dyDescent="0.25">
      <c r="A293" s="30" t="str">
        <f ca="1">IFERROR(__xludf.DUMMYFUNCTION("""COMPUTED_VALUE"""),"50062452202108")</f>
        <v>50062452202108</v>
      </c>
      <c r="B293" s="30" t="str">
        <f ca="1">IFERROR(__xludf.DUMMYFUNCTION("""COMPUTED_VALUE"""),"UNIDAD SANITARIA BARRIO MOSCONI")</f>
        <v>UNIDAD SANITARIA BARRIO MOSCONI</v>
      </c>
      <c r="C293" s="30" t="str">
        <f ca="1">IFERROR(__xludf.DUMMYFUNCTION("""COMPUTED_VALUE"""),"Buenos Aires")</f>
        <v>Buenos Aires</v>
      </c>
      <c r="D293" s="30" t="str">
        <f ca="1">IFERROR(__xludf.DUMMYFUNCTION("""COMPUTED_VALUE"""),"6")</f>
        <v>6</v>
      </c>
      <c r="E293" s="30" t="str">
        <f ca="1">IFERROR(__xludf.DUMMYFUNCTION("""COMPUTED_VALUE"""),"")</f>
        <v/>
      </c>
      <c r="F293" s="29"/>
      <c r="G293" s="29"/>
      <c r="H293" s="30" t="str">
        <f ca="1">IFERROR(__xludf.DUMMYFUNCTION("""COMPUTED_VALUE"""),"activo")</f>
        <v>activo</v>
      </c>
      <c r="I293" s="29"/>
      <c r="J293" s="29"/>
      <c r="K293" s="29"/>
      <c r="L293" s="30" t="str">
        <f ca="1">IFERROR(__xludf.DUMMYFUNCTION("""COMPUTED_VALUE"""),"No")</f>
        <v>No</v>
      </c>
      <c r="M293" s="30" t="str">
        <f ca="1">IFERROR(__xludf.DUMMYFUNCTION("""COMPUTED_VALUE"""),"6245010002")</f>
        <v>6245010002</v>
      </c>
      <c r="N293" s="30" t="str">
        <f ca="1">IFERROR(__xludf.DUMMYFUNCTION("""COMPUTED_VALUE"""),"ENSENADA")</f>
        <v>ENSENADA</v>
      </c>
      <c r="O293" s="30" t="str">
        <f ca="1">IFERROR(__xludf.DUMMYFUNCTION("""COMPUTED_VALUE"""),"6245")</f>
        <v>6245</v>
      </c>
      <c r="P293" s="30" t="str">
        <f ca="1">IFERROR(__xludf.DUMMYFUNCTION("""COMPUTED_VALUE"""),"ENSENADA")</f>
        <v>ENSENADA</v>
      </c>
      <c r="Q293" s="30" t="str">
        <f ca="1">IFERROR(__xludf.DUMMYFUNCTION("""COMPUTED_VALUE"""),"-34.875164")</f>
        <v>-34.875164</v>
      </c>
      <c r="R293" s="30" t="str">
        <f ca="1">IFERROR(__xludf.DUMMYFUNCTION("""COMPUTED_VALUE"""),"-57.913529")</f>
        <v>-57.913529</v>
      </c>
      <c r="S293" s="30" t="str">
        <f ca="1">IFERROR(__xludf.DUMMYFUNCTION("""COMPUTED_VALUE"""),"Municipal")</f>
        <v>Municipal</v>
      </c>
      <c r="T293" s="30" t="str">
        <f ca="1">IFERROR(__xludf.DUMMYFUNCTION("""COMPUTED_VALUE"""),"ENSENADA")</f>
        <v>ENSENADA</v>
      </c>
    </row>
    <row r="294" spans="1:20" ht="15.75" customHeight="1" x14ac:dyDescent="0.25">
      <c r="A294" s="30" t="str">
        <f ca="1">IFERROR(__xludf.DUMMYFUNCTION("""COMPUTED_VALUE"""),"50062452202266")</f>
        <v>50062452202266</v>
      </c>
      <c r="B294" s="30" t="str">
        <f ca="1">IFERROR(__xludf.DUMMYFUNCTION("""COMPUTED_VALUE"""),"UNIDAD SANITARIA EL MOLINO")</f>
        <v>UNIDAD SANITARIA EL MOLINO</v>
      </c>
      <c r="C294" s="30" t="str">
        <f ca="1">IFERROR(__xludf.DUMMYFUNCTION("""COMPUTED_VALUE"""),"Buenos Aires")</f>
        <v>Buenos Aires</v>
      </c>
      <c r="D294" s="30" t="str">
        <f ca="1">IFERROR(__xludf.DUMMYFUNCTION("""COMPUTED_VALUE"""),"6")</f>
        <v>6</v>
      </c>
      <c r="E294" s="30" t="str">
        <f ca="1">IFERROR(__xludf.DUMMYFUNCTION("""COMPUTED_VALUE"""),"")</f>
        <v/>
      </c>
      <c r="F294" s="29"/>
      <c r="G294" s="29"/>
      <c r="H294" s="30" t="str">
        <f ca="1">IFERROR(__xludf.DUMMYFUNCTION("""COMPUTED_VALUE"""),"activo")</f>
        <v>activo</v>
      </c>
      <c r="I294" s="29"/>
      <c r="J294" s="29"/>
      <c r="K294" s="29"/>
      <c r="L294" s="30" t="str">
        <f ca="1">IFERROR(__xludf.DUMMYFUNCTION("""COMPUTED_VALUE"""),"No")</f>
        <v>No</v>
      </c>
      <c r="M294" s="30" t="str">
        <f ca="1">IFERROR(__xludf.DUMMYFUNCTION("""COMPUTED_VALUE"""),"6245010004")</f>
        <v>6245010004</v>
      </c>
      <c r="N294" s="30" t="str">
        <f ca="1">IFERROR(__xludf.DUMMYFUNCTION("""COMPUTED_VALUE"""),"PUNTA LARA")</f>
        <v>PUNTA LARA</v>
      </c>
      <c r="O294" s="30" t="str">
        <f ca="1">IFERROR(__xludf.DUMMYFUNCTION("""COMPUTED_VALUE"""),"6245")</f>
        <v>6245</v>
      </c>
      <c r="P294" s="30" t="str">
        <f ca="1">IFERROR(__xludf.DUMMYFUNCTION("""COMPUTED_VALUE"""),"ENSENADA")</f>
        <v>ENSENADA</v>
      </c>
      <c r="Q294" s="30" t="str">
        <f ca="1">IFERROR(__xludf.DUMMYFUNCTION("""COMPUTED_VALUE"""),"-34.823799")</f>
        <v>-34.823799</v>
      </c>
      <c r="R294" s="30" t="str">
        <f ca="1">IFERROR(__xludf.DUMMYFUNCTION("""COMPUTED_VALUE"""),"-57.985675")</f>
        <v>-57.985675</v>
      </c>
      <c r="S294" s="30" t="str">
        <f ca="1">IFERROR(__xludf.DUMMYFUNCTION("""COMPUTED_VALUE"""),"Municipal")</f>
        <v>Municipal</v>
      </c>
      <c r="T294" s="30" t="str">
        <f ca="1">IFERROR(__xludf.DUMMYFUNCTION("""COMPUTED_VALUE"""),"ENSENADA")</f>
        <v>ENSENADA</v>
      </c>
    </row>
    <row r="295" spans="1:20" ht="15.75" customHeight="1" x14ac:dyDescent="0.25">
      <c r="A295" s="30" t="str">
        <f ca="1">IFERROR(__xludf.DUMMYFUNCTION("""COMPUTED_VALUE"""),"50062452202540")</f>
        <v>50062452202540</v>
      </c>
      <c r="B295" s="30" t="str">
        <f ca="1">IFERROR(__xludf.DUMMYFUNCTION("""COMPUTED_VALUE"""),"UNIDAD SANITARIA N° 184 DE ENSENADA")</f>
        <v>UNIDAD SANITARIA N° 184 DE ENSENADA</v>
      </c>
      <c r="C295" s="30" t="str">
        <f ca="1">IFERROR(__xludf.DUMMYFUNCTION("""COMPUTED_VALUE"""),"Buenos Aires")</f>
        <v>Buenos Aires</v>
      </c>
      <c r="D295" s="30" t="str">
        <f ca="1">IFERROR(__xludf.DUMMYFUNCTION("""COMPUTED_VALUE"""),"6")</f>
        <v>6</v>
      </c>
      <c r="E295" s="30" t="str">
        <f ca="1">IFERROR(__xludf.DUMMYFUNCTION("""COMPUTED_VALUE"""),"")</f>
        <v/>
      </c>
      <c r="F295" s="29"/>
      <c r="G295" s="29"/>
      <c r="H295" s="30" t="str">
        <f ca="1">IFERROR(__xludf.DUMMYFUNCTION("""COMPUTED_VALUE"""),"activo")</f>
        <v>activo</v>
      </c>
      <c r="I295" s="29"/>
      <c r="J295" s="29"/>
      <c r="K295" s="29"/>
      <c r="L295" s="30" t="str">
        <f ca="1">IFERROR(__xludf.DUMMYFUNCTION("""COMPUTED_VALUE"""),"No")</f>
        <v>No</v>
      </c>
      <c r="M295" s="30" t="str">
        <f ca="1">IFERROR(__xludf.DUMMYFUNCTION("""COMPUTED_VALUE"""),"6245010004")</f>
        <v>6245010004</v>
      </c>
      <c r="N295" s="30" t="str">
        <f ca="1">IFERROR(__xludf.DUMMYFUNCTION("""COMPUTED_VALUE"""),"PUNTA LARA")</f>
        <v>PUNTA LARA</v>
      </c>
      <c r="O295" s="30" t="str">
        <f ca="1">IFERROR(__xludf.DUMMYFUNCTION("""COMPUTED_VALUE"""),"6245")</f>
        <v>6245</v>
      </c>
      <c r="P295" s="30" t="str">
        <f ca="1">IFERROR(__xludf.DUMMYFUNCTION("""COMPUTED_VALUE"""),"ENSENADA")</f>
        <v>ENSENADA</v>
      </c>
      <c r="Q295" s="30" t="str">
        <f ca="1">IFERROR(__xludf.DUMMYFUNCTION("""COMPUTED_VALUE"""),"-34.81334439")</f>
        <v>-34.81334439</v>
      </c>
      <c r="R295" s="30" t="str">
        <f ca="1">IFERROR(__xludf.DUMMYFUNCTION("""COMPUTED_VALUE"""),"-57.97875667")</f>
        <v>-57.97875667</v>
      </c>
      <c r="S295" s="30" t="str">
        <f ca="1">IFERROR(__xludf.DUMMYFUNCTION("""COMPUTED_VALUE"""),"Municipal")</f>
        <v>Municipal</v>
      </c>
      <c r="T295" s="30" t="str">
        <f ca="1">IFERROR(__xludf.DUMMYFUNCTION("""COMPUTED_VALUE"""),"ENSENADA")</f>
        <v>ENSENADA</v>
      </c>
    </row>
    <row r="296" spans="1:20" ht="15.75" customHeight="1" x14ac:dyDescent="0.25">
      <c r="A296" s="30" t="str">
        <f ca="1">IFERROR(__xludf.DUMMYFUNCTION("""COMPUTED_VALUE"""),"50062452202672")</f>
        <v>50062452202672</v>
      </c>
      <c r="B296" s="30" t="str">
        <f ca="1">IFERROR(__xludf.DUMMYFUNCTION("""COMPUTED_VALUE"""),"UNIDAD SANITARIA N° 80 DE ENSENADA")</f>
        <v>UNIDAD SANITARIA N° 80 DE ENSENADA</v>
      </c>
      <c r="C296" s="30" t="str">
        <f ca="1">IFERROR(__xludf.DUMMYFUNCTION("""COMPUTED_VALUE"""),"Buenos Aires")</f>
        <v>Buenos Aires</v>
      </c>
      <c r="D296" s="30" t="str">
        <f ca="1">IFERROR(__xludf.DUMMYFUNCTION("""COMPUTED_VALUE"""),"6")</f>
        <v>6</v>
      </c>
      <c r="E296" s="30" t="str">
        <f ca="1">IFERROR(__xludf.DUMMYFUNCTION("""COMPUTED_VALUE"""),"")</f>
        <v/>
      </c>
      <c r="F296" s="29"/>
      <c r="G296" s="29"/>
      <c r="H296" s="30" t="str">
        <f ca="1">IFERROR(__xludf.DUMMYFUNCTION("""COMPUTED_VALUE"""),"activo")</f>
        <v>activo</v>
      </c>
      <c r="I296" s="29"/>
      <c r="J296" s="29"/>
      <c r="K296" s="29"/>
      <c r="L296" s="30" t="str">
        <f ca="1">IFERROR(__xludf.DUMMYFUNCTION("""COMPUTED_VALUE"""),"No")</f>
        <v>No</v>
      </c>
      <c r="M296" s="30" t="str">
        <f ca="1">IFERROR(__xludf.DUMMYFUNCTION("""COMPUTED_VALUE"""),"6245010002")</f>
        <v>6245010002</v>
      </c>
      <c r="N296" s="30" t="str">
        <f ca="1">IFERROR(__xludf.DUMMYFUNCTION("""COMPUTED_VALUE"""),"ENSENADA")</f>
        <v>ENSENADA</v>
      </c>
      <c r="O296" s="30" t="str">
        <f ca="1">IFERROR(__xludf.DUMMYFUNCTION("""COMPUTED_VALUE"""),"6245")</f>
        <v>6245</v>
      </c>
      <c r="P296" s="30" t="str">
        <f ca="1">IFERROR(__xludf.DUMMYFUNCTION("""COMPUTED_VALUE"""),"ENSENADA")</f>
        <v>ENSENADA</v>
      </c>
      <c r="Q296" s="30" t="str">
        <f ca="1">IFERROR(__xludf.DUMMYFUNCTION("""COMPUTED_VALUE"""),"-34.88762859")</f>
        <v>-34.88762859</v>
      </c>
      <c r="R296" s="30" t="str">
        <f ca="1">IFERROR(__xludf.DUMMYFUNCTION("""COMPUTED_VALUE"""),"-57.94567966")</f>
        <v>-57.94567966</v>
      </c>
      <c r="S296" s="30" t="str">
        <f ca="1">IFERROR(__xludf.DUMMYFUNCTION("""COMPUTED_VALUE"""),"Municipal")</f>
        <v>Municipal</v>
      </c>
      <c r="T296" s="30" t="str">
        <f ca="1">IFERROR(__xludf.DUMMYFUNCTION("""COMPUTED_VALUE"""),"ENSENADA")</f>
        <v>ENSENADA</v>
      </c>
    </row>
    <row r="297" spans="1:20" ht="15.75" customHeight="1" x14ac:dyDescent="0.25">
      <c r="A297" s="30" t="str">
        <f ca="1">IFERROR(__xludf.DUMMYFUNCTION("""COMPUTED_VALUE"""),"50062522201215")</f>
        <v>50062522201215</v>
      </c>
      <c r="B297" s="30" t="str">
        <f ca="1">IFERROR(__xludf.DUMMYFUNCTION("""COMPUTED_VALUE"""),"CENTRO DE SALUD CORONEL DORREGO")</f>
        <v>CENTRO DE SALUD CORONEL DORREGO</v>
      </c>
      <c r="C297" s="30" t="str">
        <f ca="1">IFERROR(__xludf.DUMMYFUNCTION("""COMPUTED_VALUE"""),"Buenos Aires")</f>
        <v>Buenos Aires</v>
      </c>
      <c r="D297" s="30" t="str">
        <f ca="1">IFERROR(__xludf.DUMMYFUNCTION("""COMPUTED_VALUE"""),"6")</f>
        <v>6</v>
      </c>
      <c r="E297" s="30" t="str">
        <f ca="1">IFERROR(__xludf.DUMMYFUNCTION("""COMPUTED_VALUE"""),"")</f>
        <v/>
      </c>
      <c r="F297" s="29"/>
      <c r="G297" s="29"/>
      <c r="H297" s="30" t="str">
        <f ca="1">IFERROR(__xludf.DUMMYFUNCTION("""COMPUTED_VALUE"""),"inactivo")</f>
        <v>inactivo</v>
      </c>
      <c r="I297" s="29"/>
      <c r="J297" s="29"/>
      <c r="K297" s="29"/>
      <c r="L297" s="30" t="str">
        <f ca="1">IFERROR(__xludf.DUMMYFUNCTION("""COMPUTED_VALUE"""),"No")</f>
        <v>No</v>
      </c>
      <c r="M297" s="30" t="str">
        <f ca="1">IFERROR(__xludf.DUMMYFUNCTION("""COMPUTED_VALUE"""),"6252010004")</f>
        <v>6252010004</v>
      </c>
      <c r="N297" s="30" t="str">
        <f ca="1">IFERROR(__xludf.DUMMYFUNCTION("""COMPUTED_VALUE"""),"INGENIERO MASCHWITZ")</f>
        <v>INGENIERO MASCHWITZ</v>
      </c>
      <c r="O297" s="30" t="str">
        <f ca="1">IFERROR(__xludf.DUMMYFUNCTION("""COMPUTED_VALUE"""),"6252")</f>
        <v>6252</v>
      </c>
      <c r="P297" s="30" t="str">
        <f ca="1">IFERROR(__xludf.DUMMYFUNCTION("""COMPUTED_VALUE"""),"ESCOBAR")</f>
        <v>ESCOBAR</v>
      </c>
      <c r="Q297" s="30" t="str">
        <f ca="1">IFERROR(__xludf.DUMMYFUNCTION("""COMPUTED_VALUE"""),"-34.39424977")</f>
        <v>-34.39424977</v>
      </c>
      <c r="R297" s="30" t="str">
        <f ca="1">IFERROR(__xludf.DUMMYFUNCTION("""COMPUTED_VALUE"""),"-58.75485921")</f>
        <v>-58.75485921</v>
      </c>
      <c r="S297" s="30" t="str">
        <f ca="1">IFERROR(__xludf.DUMMYFUNCTION("""COMPUTED_VALUE"""),"Municipal")</f>
        <v>Municipal</v>
      </c>
      <c r="T297" s="30" t="str">
        <f ca="1">IFERROR(__xludf.DUMMYFUNCTION("""COMPUTED_VALUE"""),"ESCOBAR")</f>
        <v>ESCOBAR</v>
      </c>
    </row>
    <row r="298" spans="1:20" ht="15.75" customHeight="1" x14ac:dyDescent="0.25">
      <c r="A298" s="30" t="str">
        <f ca="1">IFERROR(__xludf.DUMMYFUNCTION("""COMPUTED_VALUE"""),"CI50068402202991")</f>
        <v>CI50068402202991</v>
      </c>
      <c r="B298" s="30" t="str">
        <f ca="1">IFERROR(__xludf.DUMMYFUNCTION("""COMPUTED_VALUE"""),"TROCHA 2 - EZEIZA")</f>
        <v>TROCHA 2 - EZEIZA</v>
      </c>
      <c r="C298" s="30" t="str">
        <f ca="1">IFERROR(__xludf.DUMMYFUNCTION("""COMPUTED_VALUE"""),"Buenos Aires")</f>
        <v>Buenos Aires</v>
      </c>
      <c r="D298" s="30" t="str">
        <f ca="1">IFERROR(__xludf.DUMMYFUNCTION("""COMPUTED_VALUE"""),"6")</f>
        <v>6</v>
      </c>
      <c r="E298" s="30" t="str">
        <f ca="1">IFERROR(__xludf.DUMMYFUNCTION("""COMPUTED_VALUE"""),"")</f>
        <v/>
      </c>
      <c r="F298" s="30" t="str">
        <f ca="1">IFERROR(__xludf.DUMMYFUNCTION("""COMPUTED_VALUE"""),"50062522201215")</f>
        <v>50062522201215</v>
      </c>
      <c r="G298" s="29"/>
      <c r="H298" s="30" t="str">
        <f ca="1">IFERROR(__xludf.DUMMYFUNCTION("""COMPUTED_VALUE"""),"activo")</f>
        <v>activo</v>
      </c>
      <c r="I298" s="29"/>
      <c r="J298" s="29"/>
      <c r="K298" s="29"/>
      <c r="L298" s="30" t="str">
        <f ca="1">IFERROR(__xludf.DUMMYFUNCTION("""COMPUTED_VALUE"""),"No")</f>
        <v>No</v>
      </c>
      <c r="M298" s="30" t="str">
        <f ca="1">IFERROR(__xludf.DUMMYFUNCTION("""COMPUTED_VALUE"""),"#N/A")</f>
        <v>#N/A</v>
      </c>
      <c r="N298" s="30" t="str">
        <f ca="1">IFERROR(__xludf.DUMMYFUNCTION("""COMPUTED_VALUE"""),"EL TALA")</f>
        <v>EL TALA</v>
      </c>
      <c r="O298" s="30" t="str">
        <f ca="1">IFERROR(__xludf.DUMMYFUNCTION("""COMPUTED_VALUE"""),"#N/A")</f>
        <v>#N/A</v>
      </c>
      <c r="P298" s="30" t="str">
        <f ca="1">IFERROR(__xludf.DUMMYFUNCTION("""COMPUTED_VALUE"""),"EZEIZA")</f>
        <v>EZEIZA</v>
      </c>
      <c r="Q298" s="30" t="str">
        <f ca="1">IFERROR(__xludf.DUMMYFUNCTION("""COMPUTED_VALUE"""),"#N/A")</f>
        <v>#N/A</v>
      </c>
      <c r="R298" s="30" t="str">
        <f ca="1">IFERROR(__xludf.DUMMYFUNCTION("""COMPUTED_VALUE"""),"#N/A")</f>
        <v>#N/A</v>
      </c>
      <c r="S298" s="30" t="str">
        <f ca="1">IFERROR(__xludf.DUMMYFUNCTION("""COMPUTED_VALUE"""),"#N/A")</f>
        <v>#N/A</v>
      </c>
      <c r="T298" s="30" t="str">
        <f ca="1">IFERROR(__xludf.DUMMYFUNCTION("""COMPUTED_VALUE"""),"EZEIZA")</f>
        <v>EZEIZA</v>
      </c>
    </row>
    <row r="299" spans="1:20" ht="15.75" customHeight="1" x14ac:dyDescent="0.25">
      <c r="A299" s="30" t="str">
        <f ca="1">IFERROR(__xludf.DUMMYFUNCTION("""COMPUTED_VALUE"""),"50062522201251")</f>
        <v>50062522201251</v>
      </c>
      <c r="B299" s="30" t="str">
        <f ca="1">IFERROR(__xludf.DUMMYFUNCTION("""COMPUTED_VALUE"""),"CENTRO DE SALUD JUAN CARLOS SELLES")</f>
        <v>CENTRO DE SALUD JUAN CARLOS SELLES</v>
      </c>
      <c r="C299" s="30" t="str">
        <f ca="1">IFERROR(__xludf.DUMMYFUNCTION("""COMPUTED_VALUE"""),"Buenos Aires")</f>
        <v>Buenos Aires</v>
      </c>
      <c r="D299" s="30" t="str">
        <f ca="1">IFERROR(__xludf.DUMMYFUNCTION("""COMPUTED_VALUE"""),"6")</f>
        <v>6</v>
      </c>
      <c r="E299" s="30" t="str">
        <f ca="1">IFERROR(__xludf.DUMMYFUNCTION("""COMPUTED_VALUE"""),"")</f>
        <v/>
      </c>
      <c r="F299" s="29"/>
      <c r="G299" s="29"/>
      <c r="H299" s="30" t="str">
        <f ca="1">IFERROR(__xludf.DUMMYFUNCTION("""COMPUTED_VALUE"""),"activo")</f>
        <v>activo</v>
      </c>
      <c r="I299" s="29"/>
      <c r="J299" s="29"/>
      <c r="K299" s="29"/>
      <c r="L299" s="30" t="str">
        <f ca="1">IFERROR(__xludf.DUMMYFUNCTION("""COMPUTED_VALUE"""),"No")</f>
        <v>No</v>
      </c>
      <c r="M299" s="30" t="str">
        <f ca="1">IFERROR(__xludf.DUMMYFUNCTION("""COMPUTED_VALUE"""),"6252010003")</f>
        <v>6252010003</v>
      </c>
      <c r="N299" s="30" t="str">
        <f ca="1">IFERROR(__xludf.DUMMYFUNCTION("""COMPUTED_VALUE"""),"GARIN")</f>
        <v>GARIN</v>
      </c>
      <c r="O299" s="30" t="str">
        <f ca="1">IFERROR(__xludf.DUMMYFUNCTION("""COMPUTED_VALUE"""),"6252")</f>
        <v>6252</v>
      </c>
      <c r="P299" s="30" t="str">
        <f ca="1">IFERROR(__xludf.DUMMYFUNCTION("""COMPUTED_VALUE"""),"ESCOBAR")</f>
        <v>ESCOBAR</v>
      </c>
      <c r="Q299" s="30" t="str">
        <f ca="1">IFERROR(__xludf.DUMMYFUNCTION("""COMPUTED_VALUE"""),"-34.45394")</f>
        <v>-34.45394</v>
      </c>
      <c r="R299" s="30" t="str">
        <f ca="1">IFERROR(__xludf.DUMMYFUNCTION("""COMPUTED_VALUE"""),"-58.73695")</f>
        <v>-58.73695</v>
      </c>
      <c r="S299" s="30" t="str">
        <f ca="1">IFERROR(__xludf.DUMMYFUNCTION("""COMPUTED_VALUE"""),"Municipal")</f>
        <v>Municipal</v>
      </c>
      <c r="T299" s="30" t="str">
        <f ca="1">IFERROR(__xludf.DUMMYFUNCTION("""COMPUTED_VALUE"""),"ESCOBAR")</f>
        <v>ESCOBAR</v>
      </c>
    </row>
    <row r="300" spans="1:20" ht="15.75" customHeight="1" x14ac:dyDescent="0.25">
      <c r="A300" s="30" t="str">
        <f ca="1">IFERROR(__xludf.DUMMYFUNCTION("""COMPUTED_VALUE"""),"50062522201339")</f>
        <v>50062522201339</v>
      </c>
      <c r="B300" s="30" t="str">
        <f ca="1">IFERROR(__xludf.DUMMYFUNCTION("""COMPUTED_VALUE"""),"CENTRO DE SALUD PERIFERICO CARLOS MENEM HIJO")</f>
        <v>CENTRO DE SALUD PERIFERICO CARLOS MENEM HIJO</v>
      </c>
      <c r="C300" s="30" t="str">
        <f ca="1">IFERROR(__xludf.DUMMYFUNCTION("""COMPUTED_VALUE"""),"Buenos Aires")</f>
        <v>Buenos Aires</v>
      </c>
      <c r="D300" s="30" t="str">
        <f ca="1">IFERROR(__xludf.DUMMYFUNCTION("""COMPUTED_VALUE"""),"6")</f>
        <v>6</v>
      </c>
      <c r="E300" s="30" t="str">
        <f ca="1">IFERROR(__xludf.DUMMYFUNCTION("""COMPUTED_VALUE"""),"")</f>
        <v/>
      </c>
      <c r="F300" s="29"/>
      <c r="G300" s="29"/>
      <c r="H300" s="30" t="str">
        <f ca="1">IFERROR(__xludf.DUMMYFUNCTION("""COMPUTED_VALUE"""),"inactivo")</f>
        <v>inactivo</v>
      </c>
      <c r="I300" s="29"/>
      <c r="J300" s="29"/>
      <c r="K300" s="29"/>
      <c r="L300" s="30" t="str">
        <f ca="1">IFERROR(__xludf.DUMMYFUNCTION("""COMPUTED_VALUE"""),"No")</f>
        <v>No</v>
      </c>
      <c r="M300" s="30" t="str">
        <f ca="1">IFERROR(__xludf.DUMMYFUNCTION("""COMPUTED_VALUE"""),"6252010001")</f>
        <v>6252010001</v>
      </c>
      <c r="N300" s="30" t="str">
        <f ca="1">IFERROR(__xludf.DUMMYFUNCTION("""COMPUTED_VALUE"""),"BELEN DE ESCOBAR")</f>
        <v>BELEN DE ESCOBAR</v>
      </c>
      <c r="O300" s="30" t="str">
        <f ca="1">IFERROR(__xludf.DUMMYFUNCTION("""COMPUTED_VALUE"""),"6252")</f>
        <v>6252</v>
      </c>
      <c r="P300" s="30" t="str">
        <f ca="1">IFERROR(__xludf.DUMMYFUNCTION("""COMPUTED_VALUE"""),"ESCOBAR")</f>
        <v>ESCOBAR</v>
      </c>
      <c r="Q300" s="30" t="str">
        <f ca="1">IFERROR(__xludf.DUMMYFUNCTION("""COMPUTED_VALUE"""),"-34.35105314")</f>
        <v>-34.35105314</v>
      </c>
      <c r="R300" s="30" t="str">
        <f ca="1">IFERROR(__xludf.DUMMYFUNCTION("""COMPUTED_VALUE"""),"-58.81773019")</f>
        <v>-58.81773019</v>
      </c>
      <c r="S300" s="30" t="str">
        <f ca="1">IFERROR(__xludf.DUMMYFUNCTION("""COMPUTED_VALUE"""),"Municipal")</f>
        <v>Municipal</v>
      </c>
      <c r="T300" s="30" t="str">
        <f ca="1">IFERROR(__xludf.DUMMYFUNCTION("""COMPUTED_VALUE"""),"ESCOBAR")</f>
        <v>ESCOBAR</v>
      </c>
    </row>
    <row r="301" spans="1:20" ht="15.75" customHeight="1" x14ac:dyDescent="0.25">
      <c r="A301" s="30" t="str">
        <f ca="1">IFERROR(__xludf.DUMMYFUNCTION("""COMPUTED_VALUE"""),"50062522201851")</f>
        <v>50062522201851</v>
      </c>
      <c r="B301" s="30" t="str">
        <f ca="1">IFERROR(__xludf.DUMMYFUNCTION("""COMPUTED_VALUE"""),"SALA DE PRIMEROS AUXILIOS LOMA VERDE")</f>
        <v>SALA DE PRIMEROS AUXILIOS LOMA VERDE</v>
      </c>
      <c r="C301" s="30" t="str">
        <f ca="1">IFERROR(__xludf.DUMMYFUNCTION("""COMPUTED_VALUE"""),"Buenos Aires")</f>
        <v>Buenos Aires</v>
      </c>
      <c r="D301" s="30" t="str">
        <f ca="1">IFERROR(__xludf.DUMMYFUNCTION("""COMPUTED_VALUE"""),"6")</f>
        <v>6</v>
      </c>
      <c r="E301" s="30" t="str">
        <f ca="1">IFERROR(__xludf.DUMMYFUNCTION("""COMPUTED_VALUE"""),"")</f>
        <v/>
      </c>
      <c r="F301" s="29"/>
      <c r="G301" s="29"/>
      <c r="H301" s="30" t="str">
        <f ca="1">IFERROR(__xludf.DUMMYFUNCTION("""COMPUTED_VALUE"""),"activo")</f>
        <v>activo</v>
      </c>
      <c r="I301" s="29"/>
      <c r="J301" s="29"/>
      <c r="K301" s="29"/>
      <c r="L301" s="30" t="str">
        <f ca="1">IFERROR(__xludf.DUMMYFUNCTION("""COMPUTED_VALUE"""),"No")</f>
        <v>No</v>
      </c>
      <c r="M301" s="30" t="str">
        <f ca="1">IFERROR(__xludf.DUMMYFUNCTION("""COMPUTED_VALUE"""),"6252010005")</f>
        <v>6252010005</v>
      </c>
      <c r="N301" s="30" t="str">
        <f ca="1">IFERROR(__xludf.DUMMYFUNCTION("""COMPUTED_VALUE"""),"LOMA VERDE")</f>
        <v>LOMA VERDE</v>
      </c>
      <c r="O301" s="30" t="str">
        <f ca="1">IFERROR(__xludf.DUMMYFUNCTION("""COMPUTED_VALUE"""),"6252")</f>
        <v>6252</v>
      </c>
      <c r="P301" s="30" t="str">
        <f ca="1">IFERROR(__xludf.DUMMYFUNCTION("""COMPUTED_VALUE"""),"ESCOBAR")</f>
        <v>ESCOBAR</v>
      </c>
      <c r="Q301" s="30" t="str">
        <f ca="1">IFERROR(__xludf.DUMMYFUNCTION("""COMPUTED_VALUE"""),"-34.323686")</f>
        <v>-34.323686</v>
      </c>
      <c r="R301" s="30" t="str">
        <f ca="1">IFERROR(__xludf.DUMMYFUNCTION("""COMPUTED_VALUE"""),"-58.849819")</f>
        <v>-58.849819</v>
      </c>
      <c r="S301" s="30" t="str">
        <f ca="1">IFERROR(__xludf.DUMMYFUNCTION("""COMPUTED_VALUE"""),"Municipal")</f>
        <v>Municipal</v>
      </c>
      <c r="T301" s="30" t="str">
        <f ca="1">IFERROR(__xludf.DUMMYFUNCTION("""COMPUTED_VALUE"""),"ESCOBAR")</f>
        <v>ESCOBAR</v>
      </c>
    </row>
    <row r="302" spans="1:20" ht="15.75" customHeight="1" x14ac:dyDescent="0.25">
      <c r="A302" s="30" t="str">
        <f ca="1">IFERROR(__xludf.DUMMYFUNCTION("""COMPUTED_VALUE"""),"50062602202463")</f>
        <v>50062602202463</v>
      </c>
      <c r="B302" s="30" t="str">
        <f ca="1">IFERROR(__xludf.DUMMYFUNCTION("""COMPUTED_VALUE"""),"UNIDAD SANITARIA N° 1 DE LUIS GUILLON")</f>
        <v>UNIDAD SANITARIA N° 1 DE LUIS GUILLON</v>
      </c>
      <c r="C302" s="30" t="str">
        <f ca="1">IFERROR(__xludf.DUMMYFUNCTION("""COMPUTED_VALUE"""),"Buenos Aires")</f>
        <v>Buenos Aires</v>
      </c>
      <c r="D302" s="30" t="str">
        <f ca="1">IFERROR(__xludf.DUMMYFUNCTION("""COMPUTED_VALUE"""),"6")</f>
        <v>6</v>
      </c>
      <c r="E302" s="30" t="str">
        <f ca="1">IFERROR(__xludf.DUMMYFUNCTION("""COMPUTED_VALUE"""),"")</f>
        <v/>
      </c>
      <c r="F302" s="29"/>
      <c r="G302" s="29"/>
      <c r="H302" s="30" t="str">
        <f ca="1">IFERROR(__xludf.DUMMYFUNCTION("""COMPUTED_VALUE"""),"inactivo")</f>
        <v>inactivo</v>
      </c>
      <c r="I302" s="30" t="str">
        <f ca="1">IFERROR(__xludf.DUMMYFUNCTION("""COMPUTED_VALUE"""),"- fuera circular 2")</f>
        <v>- fuera circular 2</v>
      </c>
      <c r="J302" s="29"/>
      <c r="K302" s="29"/>
      <c r="L302" s="30" t="str">
        <f ca="1">IFERROR(__xludf.DUMMYFUNCTION("""COMPUTED_VALUE"""),"No")</f>
        <v>No</v>
      </c>
      <c r="M302" s="30" t="str">
        <f ca="1">IFERROR(__xludf.DUMMYFUNCTION("""COMPUTED_VALUE"""),"6260010003")</f>
        <v>6260010003</v>
      </c>
      <c r="N302" s="30" t="str">
        <f ca="1">IFERROR(__xludf.DUMMYFUNCTION("""COMPUTED_VALUE"""),"LUIS GUILLON")</f>
        <v>LUIS GUILLON</v>
      </c>
      <c r="O302" s="30" t="str">
        <f ca="1">IFERROR(__xludf.DUMMYFUNCTION("""COMPUTED_VALUE"""),"6260")</f>
        <v>6260</v>
      </c>
      <c r="P302" s="30" t="str">
        <f ca="1">IFERROR(__xludf.DUMMYFUNCTION("""COMPUTED_VALUE"""),"ESTEBAN ECHEVERRÍA")</f>
        <v>ESTEBAN ECHEVERRÍA</v>
      </c>
      <c r="Q302" s="30" t="str">
        <f ca="1">IFERROR(__xludf.DUMMYFUNCTION("""COMPUTED_VALUE"""),"-34.804125")</f>
        <v>-34.804125</v>
      </c>
      <c r="R302" s="30" t="str">
        <f ca="1">IFERROR(__xludf.DUMMYFUNCTION("""COMPUTED_VALUE"""),"-58.45499")</f>
        <v>-58.45499</v>
      </c>
      <c r="S302" s="30" t="str">
        <f ca="1">IFERROR(__xludf.DUMMYFUNCTION("""COMPUTED_VALUE"""),"Municipal")</f>
        <v>Municipal</v>
      </c>
      <c r="T302" s="30" t="str">
        <f ca="1">IFERROR(__xludf.DUMMYFUNCTION("""COMPUTED_VALUE"""),"ESTEBAN ECHEVERRÍA")</f>
        <v>ESTEBAN ECHEVERRÍA</v>
      </c>
    </row>
    <row r="303" spans="1:20" ht="15.75" customHeight="1" x14ac:dyDescent="0.25">
      <c r="A303" s="30" t="str">
        <f ca="1">IFERROR(__xludf.DUMMYFUNCTION("""COMPUTED_VALUE"""),"50062602202521")</f>
        <v>50062602202521</v>
      </c>
      <c r="B303" s="30" t="str">
        <f ca="1">IFERROR(__xludf.DUMMYFUNCTION("""COMPUTED_VALUE"""),"UNIDAD SANITARIA N° 16 LAS COLINAS DE ESTEBAN ECHEVERRIA")</f>
        <v>UNIDAD SANITARIA N° 16 LAS COLINAS DE ESTEBAN ECHEVERRIA</v>
      </c>
      <c r="C303" s="30" t="str">
        <f ca="1">IFERROR(__xludf.DUMMYFUNCTION("""COMPUTED_VALUE"""),"Buenos Aires")</f>
        <v>Buenos Aires</v>
      </c>
      <c r="D303" s="30" t="str">
        <f ca="1">IFERROR(__xludf.DUMMYFUNCTION("""COMPUTED_VALUE"""),"6")</f>
        <v>6</v>
      </c>
      <c r="E303" s="30" t="str">
        <f ca="1">IFERROR(__xludf.DUMMYFUNCTION("""COMPUTED_VALUE"""),"")</f>
        <v/>
      </c>
      <c r="F303" s="29"/>
      <c r="G303" s="29"/>
      <c r="H303" s="30" t="str">
        <f ca="1">IFERROR(__xludf.DUMMYFUNCTION("""COMPUTED_VALUE"""),"inactivo")</f>
        <v>inactivo</v>
      </c>
      <c r="I303" s="30" t="str">
        <f ca="1">IFERROR(__xludf.DUMMYFUNCTION("""COMPUTED_VALUE"""),"- fuera circular 2")</f>
        <v>- fuera circular 2</v>
      </c>
      <c r="J303" s="29"/>
      <c r="K303" s="29"/>
      <c r="L303" s="30" t="str">
        <f ca="1">IFERROR(__xludf.DUMMYFUNCTION("""COMPUTED_VALUE"""),"No")</f>
        <v>No</v>
      </c>
      <c r="M303" s="30" t="str">
        <f ca="1">IFERROR(__xludf.DUMMYFUNCTION("""COMPUTED_VALUE"""),"6260010004")</f>
        <v>6260010004</v>
      </c>
      <c r="N303" s="30" t="str">
        <f ca="1">IFERROR(__xludf.DUMMYFUNCTION("""COMPUTED_VALUE"""),"MONTE GRANDE")</f>
        <v>MONTE GRANDE</v>
      </c>
      <c r="O303" s="30" t="str">
        <f ca="1">IFERROR(__xludf.DUMMYFUNCTION("""COMPUTED_VALUE"""),"6260")</f>
        <v>6260</v>
      </c>
      <c r="P303" s="30" t="str">
        <f ca="1">IFERROR(__xludf.DUMMYFUNCTION("""COMPUTED_VALUE"""),"ESTEBAN ECHEVERRÍA")</f>
        <v>ESTEBAN ECHEVERRÍA</v>
      </c>
      <c r="Q303" s="30" t="str">
        <f ca="1">IFERROR(__xludf.DUMMYFUNCTION("""COMPUTED_VALUE"""),"-34.844252")</f>
        <v>-34.844252</v>
      </c>
      <c r="R303" s="30" t="str">
        <f ca="1">IFERROR(__xludf.DUMMYFUNCTION("""COMPUTED_VALUE"""),"-58.441154")</f>
        <v>-58.441154</v>
      </c>
      <c r="S303" s="30" t="str">
        <f ca="1">IFERROR(__xludf.DUMMYFUNCTION("""COMPUTED_VALUE"""),"Municipal")</f>
        <v>Municipal</v>
      </c>
      <c r="T303" s="30" t="str">
        <f ca="1">IFERROR(__xludf.DUMMYFUNCTION("""COMPUTED_VALUE"""),"ESTEBAN ECHEVERRÍA")</f>
        <v>ESTEBAN ECHEVERRÍA</v>
      </c>
    </row>
    <row r="304" spans="1:20" ht="15.75" customHeight="1" x14ac:dyDescent="0.25">
      <c r="A304" s="30" t="str">
        <f ca="1">IFERROR(__xludf.DUMMYFUNCTION("""COMPUTED_VALUE"""),"50062602202591")</f>
        <v>50062602202591</v>
      </c>
      <c r="B304" s="30" t="str">
        <f ca="1">IFERROR(__xludf.DUMMYFUNCTION("""COMPUTED_VALUE"""),"UNIDAD SANITARIA N° 3 EL JAGUEL DE ESTEBAN ECHEVERRIA")</f>
        <v>UNIDAD SANITARIA N° 3 EL JAGUEL DE ESTEBAN ECHEVERRIA</v>
      </c>
      <c r="C304" s="30" t="str">
        <f ca="1">IFERROR(__xludf.DUMMYFUNCTION("""COMPUTED_VALUE"""),"Buenos Aires")</f>
        <v>Buenos Aires</v>
      </c>
      <c r="D304" s="30" t="str">
        <f ca="1">IFERROR(__xludf.DUMMYFUNCTION("""COMPUTED_VALUE"""),"6")</f>
        <v>6</v>
      </c>
      <c r="E304" s="30" t="str">
        <f ca="1">IFERROR(__xludf.DUMMYFUNCTION("""COMPUTED_VALUE"""),"")</f>
        <v/>
      </c>
      <c r="F304" s="29"/>
      <c r="G304" s="29"/>
      <c r="H304" s="30" t="str">
        <f ca="1">IFERROR(__xludf.DUMMYFUNCTION("""COMPUTED_VALUE"""),"activo")</f>
        <v>activo</v>
      </c>
      <c r="I304" s="29"/>
      <c r="J304" s="29"/>
      <c r="K304" s="29"/>
      <c r="L304" s="30" t="str">
        <f ca="1">IFERROR(__xludf.DUMMYFUNCTION("""COMPUTED_VALUE"""),"No")</f>
        <v>No</v>
      </c>
      <c r="M304" s="30" t="str">
        <f ca="1">IFERROR(__xludf.DUMMYFUNCTION("""COMPUTED_VALUE"""),"6260010002")</f>
        <v>6260010002</v>
      </c>
      <c r="N304" s="30" t="str">
        <f ca="1">IFERROR(__xludf.DUMMYFUNCTION("""COMPUTED_VALUE"""),"EL JAGÜEL")</f>
        <v>EL JAGÜEL</v>
      </c>
      <c r="O304" s="30" t="str">
        <f ca="1">IFERROR(__xludf.DUMMYFUNCTION("""COMPUTED_VALUE"""),"6260")</f>
        <v>6260</v>
      </c>
      <c r="P304" s="30" t="str">
        <f ca="1">IFERROR(__xludf.DUMMYFUNCTION("""COMPUTED_VALUE"""),"ESTEBAN ECHEVERRÍA")</f>
        <v>ESTEBAN ECHEVERRÍA</v>
      </c>
      <c r="Q304" s="30" t="str">
        <f ca="1">IFERROR(__xludf.DUMMYFUNCTION("""COMPUTED_VALUE"""),"-34.842438")</f>
        <v>-34.842438</v>
      </c>
      <c r="R304" s="30" t="str">
        <f ca="1">IFERROR(__xludf.DUMMYFUNCTION("""COMPUTED_VALUE"""),"-58.488382")</f>
        <v>-58.488382</v>
      </c>
      <c r="S304" s="30" t="str">
        <f ca="1">IFERROR(__xludf.DUMMYFUNCTION("""COMPUTED_VALUE"""),"Municipal")</f>
        <v>Municipal</v>
      </c>
      <c r="T304" s="30" t="str">
        <f ca="1">IFERROR(__xludf.DUMMYFUNCTION("""COMPUTED_VALUE"""),"ESTEBAN ECHEVERRÍA")</f>
        <v>ESTEBAN ECHEVERRÍA</v>
      </c>
    </row>
    <row r="305" spans="1:20" ht="15.75" customHeight="1" x14ac:dyDescent="0.25">
      <c r="A305" s="30" t="str">
        <f ca="1">IFERROR(__xludf.DUMMYFUNCTION("""COMPUTED_VALUE"""),"50062662201809")</f>
        <v>50062662201809</v>
      </c>
      <c r="B305" s="30" t="str">
        <f ca="1">IFERROR(__xludf.DUMMYFUNCTION("""COMPUTED_VALUE"""),"SALA DE PRIMEROS AUXILIOS CRUZ PARADA ROBLES")</f>
        <v>SALA DE PRIMEROS AUXILIOS CRUZ PARADA ROBLES</v>
      </c>
      <c r="C305" s="30" t="str">
        <f ca="1">IFERROR(__xludf.DUMMYFUNCTION("""COMPUTED_VALUE"""),"Buenos Aires")</f>
        <v>Buenos Aires</v>
      </c>
      <c r="D305" s="30" t="str">
        <f ca="1">IFERROR(__xludf.DUMMYFUNCTION("""COMPUTED_VALUE"""),"6")</f>
        <v>6</v>
      </c>
      <c r="E305" s="30" t="str">
        <f ca="1">IFERROR(__xludf.DUMMYFUNCTION("""COMPUTED_VALUE"""),"")</f>
        <v/>
      </c>
      <c r="F305" s="29"/>
      <c r="G305" s="30" t="str">
        <f ca="1">IFERROR(__xludf.DUMMYFUNCTION("""COMPUTED_VALUE"""),"50064082202745")</f>
        <v>50064082202745</v>
      </c>
      <c r="H305" s="30" t="str">
        <f ca="1">IFERROR(__xludf.DUMMYFUNCTION("""COMPUTED_VALUE"""),"inactivo")</f>
        <v>inactivo</v>
      </c>
      <c r="I305" s="29"/>
      <c r="J305" s="29"/>
      <c r="K305" s="29"/>
      <c r="L305" s="30" t="str">
        <f ca="1">IFERROR(__xludf.DUMMYFUNCTION("""COMPUTED_VALUE"""),"No")</f>
        <v>No</v>
      </c>
      <c r="M305" s="30" t="str">
        <f ca="1">IFERROR(__xludf.DUMMYFUNCTION("""COMPUTED_VALUE"""),"6266060002")</f>
        <v>6266060002</v>
      </c>
      <c r="N305" s="30" t="str">
        <f ca="1">IFERROR(__xludf.DUMMYFUNCTION("""COMPUTED_VALUE"""),"PARADA ROBLES")</f>
        <v>PARADA ROBLES</v>
      </c>
      <c r="O305" s="30" t="str">
        <f ca="1">IFERROR(__xludf.DUMMYFUNCTION("""COMPUTED_VALUE"""),"6266")</f>
        <v>6266</v>
      </c>
      <c r="P305" s="30" t="str">
        <f ca="1">IFERROR(__xludf.DUMMYFUNCTION("""COMPUTED_VALUE"""),"EXALTACIÓN DE LA CRUZ")</f>
        <v>EXALTACIÓN DE LA CRUZ</v>
      </c>
      <c r="Q305" s="30" t="str">
        <f ca="1">IFERROR(__xludf.DUMMYFUNCTION("""COMPUTED_VALUE"""),"-34.37231685")</f>
        <v>-34.37231685</v>
      </c>
      <c r="R305" s="30" t="str">
        <f ca="1">IFERROR(__xludf.DUMMYFUNCTION("""COMPUTED_VALUE"""),"-59.05007172")</f>
        <v>-59.05007172</v>
      </c>
      <c r="S305" s="30" t="str">
        <f ca="1">IFERROR(__xludf.DUMMYFUNCTION("""COMPUTED_VALUE"""),"Municipal")</f>
        <v>Municipal</v>
      </c>
      <c r="T305" s="30" t="str">
        <f ca="1">IFERROR(__xludf.DUMMYFUNCTION("""COMPUTED_VALUE"""),"EXALTACIÓN DE LA CRUZ")</f>
        <v>EXALTACIÓN DE LA CRUZ</v>
      </c>
    </row>
    <row r="306" spans="1:20" ht="15.75" customHeight="1" x14ac:dyDescent="0.25">
      <c r="A306" s="30" t="str">
        <f ca="1">IFERROR(__xludf.DUMMYFUNCTION("""COMPUTED_VALUE"""),"50064082202745")</f>
        <v>50064082202745</v>
      </c>
      <c r="B306" s="30" t="str">
        <f ca="1">IFERROR(__xludf.DUMMYFUNCTION("""COMPUTED_VALUE"""),"CENTRO DE SALUD DR. RAMON CARRILLO")</f>
        <v>CENTRO DE SALUD DR. RAMON CARRILLO</v>
      </c>
      <c r="C306" s="30" t="str">
        <f ca="1">IFERROR(__xludf.DUMMYFUNCTION("""COMPUTED_VALUE"""),"Buenos Aires")</f>
        <v>Buenos Aires</v>
      </c>
      <c r="D306" s="30" t="str">
        <f ca="1">IFERROR(__xludf.DUMMYFUNCTION("""COMPUTED_VALUE"""),"6")</f>
        <v>6</v>
      </c>
      <c r="E306" s="30" t="str">
        <f ca="1">IFERROR(__xludf.DUMMYFUNCTION("""COMPUTED_VALUE"""),"")</f>
        <v/>
      </c>
      <c r="F306" s="30" t="str">
        <f ca="1">IFERROR(__xludf.DUMMYFUNCTION("""COMPUTED_VALUE"""),"50062662201809")</f>
        <v>50062662201809</v>
      </c>
      <c r="G306" s="29"/>
      <c r="H306" s="30" t="str">
        <f ca="1">IFERROR(__xludf.DUMMYFUNCTION("""COMPUTED_VALUE"""),"activo")</f>
        <v>activo</v>
      </c>
      <c r="I306" s="29"/>
      <c r="J306" s="29"/>
      <c r="K306" s="29"/>
      <c r="L306" s="30" t="str">
        <f ca="1">IFERROR(__xludf.DUMMYFUNCTION("""COMPUTED_VALUE"""),"No")</f>
        <v>No</v>
      </c>
      <c r="M306" s="30" t="str">
        <f ca="1">IFERROR(__xludf.DUMMYFUNCTION("""COMPUTED_VALUE"""),"6408010001")</f>
        <v>6408010001</v>
      </c>
      <c r="N306" s="30" t="str">
        <f ca="1">IFERROR(__xludf.DUMMYFUNCTION("""COMPUTED_VALUE"""),"HURLINGHAM")</f>
        <v>HURLINGHAM</v>
      </c>
      <c r="O306" s="30" t="str">
        <f ca="1">IFERROR(__xludf.DUMMYFUNCTION("""COMPUTED_VALUE"""),"6408")</f>
        <v>6408</v>
      </c>
      <c r="P306" s="30" t="str">
        <f ca="1">IFERROR(__xludf.DUMMYFUNCTION("""COMPUTED_VALUE"""),"HURLINGHAM")</f>
        <v>HURLINGHAM</v>
      </c>
      <c r="Q306" s="30" t="str">
        <f ca="1">IFERROR(__xludf.DUMMYFUNCTION("""COMPUTED_VALUE"""),"-34.61941559")</f>
        <v>-34.61941559</v>
      </c>
      <c r="R306" s="30" t="str">
        <f ca="1">IFERROR(__xludf.DUMMYFUNCTION("""COMPUTED_VALUE"""),"-58.61919522")</f>
        <v>-58.61919522</v>
      </c>
      <c r="S306" s="30" t="str">
        <f ca="1">IFERROR(__xludf.DUMMYFUNCTION("""COMPUTED_VALUE"""),"Municipal")</f>
        <v>Municipal</v>
      </c>
      <c r="T306" s="30" t="str">
        <f ca="1">IFERROR(__xludf.DUMMYFUNCTION("""COMPUTED_VALUE"""),"HURLINGHAM")</f>
        <v>HURLINGHAM</v>
      </c>
    </row>
    <row r="307" spans="1:20" ht="15.75" customHeight="1" x14ac:dyDescent="0.25">
      <c r="A307" s="30" t="str">
        <f ca="1">IFERROR(__xludf.DUMMYFUNCTION("""COMPUTED_VALUE"""),"50062662201852")</f>
        <v>50062662201852</v>
      </c>
      <c r="B307" s="30" t="str">
        <f ca="1">IFERROR(__xludf.DUMMYFUNCTION("""COMPUTED_VALUE"""),"SALA DE PRIMEROS AUXILIOS LOS CARDALES")</f>
        <v>SALA DE PRIMEROS AUXILIOS LOS CARDALES</v>
      </c>
      <c r="C307" s="30" t="str">
        <f ca="1">IFERROR(__xludf.DUMMYFUNCTION("""COMPUTED_VALUE"""),"Buenos Aires")</f>
        <v>Buenos Aires</v>
      </c>
      <c r="D307" s="30" t="str">
        <f ca="1">IFERROR(__xludf.DUMMYFUNCTION("""COMPUTED_VALUE"""),"6")</f>
        <v>6</v>
      </c>
      <c r="E307" s="30" t="str">
        <f ca="1">IFERROR(__xludf.DUMMYFUNCTION("""COMPUTED_VALUE"""),"")</f>
        <v/>
      </c>
      <c r="F307" s="29"/>
      <c r="G307" s="30" t="str">
        <f ca="1">IFERROR(__xludf.DUMMYFUNCTION("""COMPUTED_VALUE"""),"50064342202626")</f>
        <v>50064342202626</v>
      </c>
      <c r="H307" s="30" t="str">
        <f ca="1">IFERROR(__xludf.DUMMYFUNCTION("""COMPUTED_VALUE"""),"inactivo")</f>
        <v>inactivo</v>
      </c>
      <c r="I307" s="29"/>
      <c r="J307" s="29"/>
      <c r="K307" s="29"/>
      <c r="L307" s="30" t="str">
        <f ca="1">IFERROR(__xludf.DUMMYFUNCTION("""COMPUTED_VALUE"""),"No")</f>
        <v>No</v>
      </c>
      <c r="M307" s="30" t="str">
        <f ca="1">IFERROR(__xludf.DUMMYFUNCTION("""COMPUTED_VALUE"""),"6266040000")</f>
        <v>6266040000</v>
      </c>
      <c r="N307" s="30" t="str">
        <f ca="1">IFERROR(__xludf.DUMMYFUNCTION("""COMPUTED_VALUE"""),"LOS CARDALES")</f>
        <v>LOS CARDALES</v>
      </c>
      <c r="O307" s="30" t="str">
        <f ca="1">IFERROR(__xludf.DUMMYFUNCTION("""COMPUTED_VALUE"""),"6266")</f>
        <v>6266</v>
      </c>
      <c r="P307" s="30" t="str">
        <f ca="1">IFERROR(__xludf.DUMMYFUNCTION("""COMPUTED_VALUE"""),"EXALTACIÓN DE LA CRUZ")</f>
        <v>EXALTACIÓN DE LA CRUZ</v>
      </c>
      <c r="Q307" s="30" t="str">
        <f ca="1">IFERROR(__xludf.DUMMYFUNCTION("""COMPUTED_VALUE"""),"-34.33032271")</f>
        <v>-34.33032271</v>
      </c>
      <c r="R307" s="30" t="str">
        <f ca="1">IFERROR(__xludf.DUMMYFUNCTION("""COMPUTED_VALUE"""),"-58.98541975")</f>
        <v>-58.98541975</v>
      </c>
      <c r="S307" s="30" t="str">
        <f ca="1">IFERROR(__xludf.DUMMYFUNCTION("""COMPUTED_VALUE"""),"Municipal")</f>
        <v>Municipal</v>
      </c>
      <c r="T307" s="30" t="str">
        <f ca="1">IFERROR(__xludf.DUMMYFUNCTION("""COMPUTED_VALUE"""),"EXALTACIÓN DE LA CRUZ")</f>
        <v>EXALTACIÓN DE LA CRUZ</v>
      </c>
    </row>
    <row r="308" spans="1:20" ht="15.75" customHeight="1" x14ac:dyDescent="0.25">
      <c r="A308" s="30" t="str">
        <f ca="1">IFERROR(__xludf.DUMMYFUNCTION("""COMPUTED_VALUE"""),"50064342202626")</f>
        <v>50064342202626</v>
      </c>
      <c r="B308" s="30" t="str">
        <f ca="1">IFERROR(__xludf.DUMMYFUNCTION("""COMPUTED_VALUE"""),"UNIDAD SANITARIA N° 48 VILLA PORA DE LANUS")</f>
        <v>UNIDAD SANITARIA N° 48 VILLA PORA DE LANUS</v>
      </c>
      <c r="C308" s="30" t="str">
        <f ca="1">IFERROR(__xludf.DUMMYFUNCTION("""COMPUTED_VALUE"""),"Buenos Aires")</f>
        <v>Buenos Aires</v>
      </c>
      <c r="D308" s="30" t="str">
        <f ca="1">IFERROR(__xludf.DUMMYFUNCTION("""COMPUTED_VALUE"""),"6")</f>
        <v>6</v>
      </c>
      <c r="E308" s="30" t="str">
        <f ca="1">IFERROR(__xludf.DUMMYFUNCTION("""COMPUTED_VALUE"""),"")</f>
        <v/>
      </c>
      <c r="F308" s="30" t="str">
        <f ca="1">IFERROR(__xludf.DUMMYFUNCTION("""COMPUTED_VALUE"""),"50062662201852")</f>
        <v>50062662201852</v>
      </c>
      <c r="G308" s="29"/>
      <c r="H308" s="30" t="str">
        <f ca="1">IFERROR(__xludf.DUMMYFUNCTION("""COMPUTED_VALUE"""),"activo")</f>
        <v>activo</v>
      </c>
      <c r="I308" s="29"/>
      <c r="J308" s="29"/>
      <c r="K308" s="29"/>
      <c r="L308" s="30" t="str">
        <f ca="1">IFERROR(__xludf.DUMMYFUNCTION("""COMPUTED_VALUE"""),"No")</f>
        <v>No</v>
      </c>
      <c r="M308" s="30" t="str">
        <f ca="1">IFERROR(__xludf.DUMMYFUNCTION("""COMPUTED_VALUE"""),"6434010002")</f>
        <v>6434010002</v>
      </c>
      <c r="N308" s="30" t="str">
        <f ca="1">IFERROR(__xludf.DUMMYFUNCTION("""COMPUTED_VALUE"""),"LANUS ESTE")</f>
        <v>LANUS ESTE</v>
      </c>
      <c r="O308" s="30" t="str">
        <f ca="1">IFERROR(__xludf.DUMMYFUNCTION("""COMPUTED_VALUE"""),"6434")</f>
        <v>6434</v>
      </c>
      <c r="P308" s="30" t="str">
        <f ca="1">IFERROR(__xludf.DUMMYFUNCTION("""COMPUTED_VALUE"""),"LANÚS")</f>
        <v>LANÚS</v>
      </c>
      <c r="Q308" s="30" t="str">
        <f ca="1">IFERROR(__xludf.DUMMYFUNCTION("""COMPUTED_VALUE"""),"-34.7108793")</f>
        <v>-34.7108793</v>
      </c>
      <c r="R308" s="30" t="str">
        <f ca="1">IFERROR(__xludf.DUMMYFUNCTION("""COMPUTED_VALUE"""),"-58.3573473")</f>
        <v>-58.3573473</v>
      </c>
      <c r="S308" s="30" t="str">
        <f ca="1">IFERROR(__xludf.DUMMYFUNCTION("""COMPUTED_VALUE"""),"Municipal")</f>
        <v>Municipal</v>
      </c>
      <c r="T308" s="30" t="str">
        <f ca="1">IFERROR(__xludf.DUMMYFUNCTION("""COMPUTED_VALUE"""),"LANÚS")</f>
        <v>LANÚS</v>
      </c>
    </row>
    <row r="309" spans="1:20" ht="15.75" customHeight="1" x14ac:dyDescent="0.25">
      <c r="A309" s="30" t="str">
        <f ca="1">IFERROR(__xludf.DUMMYFUNCTION("""COMPUTED_VALUE"""),"50062662201874")</f>
        <v>50062662201874</v>
      </c>
      <c r="B309" s="30" t="str">
        <f ca="1">IFERROR(__xludf.DUMMYFUNCTION("""COMPUTED_VALUE"""),"SALA DE PRIMEROS AUXILIOS PAVON")</f>
        <v>SALA DE PRIMEROS AUXILIOS PAVON</v>
      </c>
      <c r="C309" s="30" t="str">
        <f ca="1">IFERROR(__xludf.DUMMYFUNCTION("""COMPUTED_VALUE"""),"Buenos Aires")</f>
        <v>Buenos Aires</v>
      </c>
      <c r="D309" s="30" t="str">
        <f ca="1">IFERROR(__xludf.DUMMYFUNCTION("""COMPUTED_VALUE"""),"6")</f>
        <v>6</v>
      </c>
      <c r="E309" s="30" t="str">
        <f ca="1">IFERROR(__xludf.DUMMYFUNCTION("""COMPUTED_VALUE"""),"")</f>
        <v/>
      </c>
      <c r="F309" s="29"/>
      <c r="G309" s="30" t="str">
        <f ca="1">IFERROR(__xludf.DUMMYFUNCTION("""COMPUTED_VALUE"""),"50064342201371")</f>
        <v>50064342201371</v>
      </c>
      <c r="H309" s="30" t="str">
        <f ca="1">IFERROR(__xludf.DUMMYFUNCTION("""COMPUTED_VALUE"""),"inactivo")</f>
        <v>inactivo</v>
      </c>
      <c r="I309" s="29"/>
      <c r="J309" s="29"/>
      <c r="K309" s="29"/>
      <c r="L309" s="30" t="str">
        <f ca="1">IFERROR(__xludf.DUMMYFUNCTION("""COMPUTED_VALUE"""),"No")</f>
        <v>No</v>
      </c>
      <c r="M309" s="30" t="str">
        <f ca="1">IFERROR(__xludf.DUMMYFUNCTION("""COMPUTED_VALUE"""),"6266060003")</f>
        <v>6266060003</v>
      </c>
      <c r="N309" s="30" t="str">
        <f ca="1">IFERROR(__xludf.DUMMYFUNCTION("""COMPUTED_VALUE"""),"PAVON")</f>
        <v>PAVON</v>
      </c>
      <c r="O309" s="30" t="str">
        <f ca="1">IFERROR(__xludf.DUMMYFUNCTION("""COMPUTED_VALUE"""),"6266")</f>
        <v>6266</v>
      </c>
      <c r="P309" s="30" t="str">
        <f ca="1">IFERROR(__xludf.DUMMYFUNCTION("""COMPUTED_VALUE"""),"EXALTACIÓN DE LA CRUZ")</f>
        <v>EXALTACIÓN DE LA CRUZ</v>
      </c>
      <c r="Q309" s="30" t="str">
        <f ca="1">IFERROR(__xludf.DUMMYFUNCTION("""COMPUTED_VALUE"""),"-34.37304653")</f>
        <v>-34.37304653</v>
      </c>
      <c r="R309" s="30" t="str">
        <f ca="1">IFERROR(__xludf.DUMMYFUNCTION("""COMPUTED_VALUE"""),"-59.04977989")</f>
        <v>-59.04977989</v>
      </c>
      <c r="S309" s="30" t="str">
        <f ca="1">IFERROR(__xludf.DUMMYFUNCTION("""COMPUTED_VALUE"""),"Municipal")</f>
        <v>Municipal</v>
      </c>
      <c r="T309" s="30" t="str">
        <f ca="1">IFERROR(__xludf.DUMMYFUNCTION("""COMPUTED_VALUE"""),"EXALTACIÓN DE LA CRUZ")</f>
        <v>EXALTACIÓN DE LA CRUZ</v>
      </c>
    </row>
    <row r="310" spans="1:20" ht="15.75" customHeight="1" x14ac:dyDescent="0.25">
      <c r="A310" s="30" t="str">
        <f ca="1">IFERROR(__xludf.DUMMYFUNCTION("""COMPUTED_VALUE"""),"50064342201371")</f>
        <v>50064342201371</v>
      </c>
      <c r="B310" s="30" t="str">
        <f ca="1">IFERROR(__xludf.DUMMYFUNCTION("""COMPUTED_VALUE"""),"CENTRO DE SALUD VILLA ESLOVENA")</f>
        <v>CENTRO DE SALUD VILLA ESLOVENA</v>
      </c>
      <c r="C310" s="30" t="str">
        <f ca="1">IFERROR(__xludf.DUMMYFUNCTION("""COMPUTED_VALUE"""),"Buenos Aires")</f>
        <v>Buenos Aires</v>
      </c>
      <c r="D310" s="30" t="str">
        <f ca="1">IFERROR(__xludf.DUMMYFUNCTION("""COMPUTED_VALUE"""),"6")</f>
        <v>6</v>
      </c>
      <c r="E310" s="30" t="str">
        <f ca="1">IFERROR(__xludf.DUMMYFUNCTION("""COMPUTED_VALUE"""),"")</f>
        <v/>
      </c>
      <c r="F310" s="30" t="str">
        <f ca="1">IFERROR(__xludf.DUMMYFUNCTION("""COMPUTED_VALUE"""),"50062662201874")</f>
        <v>50062662201874</v>
      </c>
      <c r="G310" s="29"/>
      <c r="H310" s="30" t="str">
        <f ca="1">IFERROR(__xludf.DUMMYFUNCTION("""COMPUTED_VALUE"""),"activo")</f>
        <v>activo</v>
      </c>
      <c r="I310" s="29"/>
      <c r="J310" s="29"/>
      <c r="K310" s="29"/>
      <c r="L310" s="30" t="str">
        <f ca="1">IFERROR(__xludf.DUMMYFUNCTION("""COMPUTED_VALUE"""),"No")</f>
        <v>No</v>
      </c>
      <c r="M310" s="30" t="str">
        <f ca="1">IFERROR(__xludf.DUMMYFUNCTION("""COMPUTED_VALUE"""),"6434010003")</f>
        <v>6434010003</v>
      </c>
      <c r="N310" s="30" t="str">
        <f ca="1">IFERROR(__xludf.DUMMYFUNCTION("""COMPUTED_VALUE"""),"LANUS OESTE")</f>
        <v>LANUS OESTE</v>
      </c>
      <c r="O310" s="30" t="str">
        <f ca="1">IFERROR(__xludf.DUMMYFUNCTION("""COMPUTED_VALUE"""),"6434")</f>
        <v>6434</v>
      </c>
      <c r="P310" s="30" t="str">
        <f ca="1">IFERROR(__xludf.DUMMYFUNCTION("""COMPUTED_VALUE"""),"LANÚS")</f>
        <v>LANÚS</v>
      </c>
      <c r="Q310" s="30" t="str">
        <f ca="1">IFERROR(__xludf.DUMMYFUNCTION("""COMPUTED_VALUE"""),"-34.71726647")</f>
        <v>-34.71726647</v>
      </c>
      <c r="R310" s="30" t="str">
        <f ca="1">IFERROR(__xludf.DUMMYFUNCTION("""COMPUTED_VALUE"""),"-58.42005837")</f>
        <v>-58.42005837</v>
      </c>
      <c r="S310" s="30" t="str">
        <f ca="1">IFERROR(__xludf.DUMMYFUNCTION("""COMPUTED_VALUE"""),"Municipal")</f>
        <v>Municipal</v>
      </c>
      <c r="T310" s="30" t="str">
        <f ca="1">IFERROR(__xludf.DUMMYFUNCTION("""COMPUTED_VALUE"""),"LANÚS")</f>
        <v>LANÚS</v>
      </c>
    </row>
    <row r="311" spans="1:20" ht="15.75" customHeight="1" x14ac:dyDescent="0.25">
      <c r="A311" s="30" t="str">
        <f ca="1">IFERROR(__xludf.DUMMYFUNCTION("""COMPUTED_VALUE"""),"50062702201065")</f>
        <v>50062702201065</v>
      </c>
      <c r="B311" s="30" t="str">
        <f ca="1">IFERROR(__xludf.DUMMYFUNCTION("""COMPUTED_VALUE"""),"CENTRO DE SALUD N° 19")</f>
        <v>CENTRO DE SALUD N° 19</v>
      </c>
      <c r="C311" s="30" t="str">
        <f ca="1">IFERROR(__xludf.DUMMYFUNCTION("""COMPUTED_VALUE"""),"Buenos Aires")</f>
        <v>Buenos Aires</v>
      </c>
      <c r="D311" s="30" t="str">
        <f ca="1">IFERROR(__xludf.DUMMYFUNCTION("""COMPUTED_VALUE"""),"6")</f>
        <v>6</v>
      </c>
      <c r="E311" s="30" t="str">
        <f ca="1">IFERROR(__xludf.DUMMYFUNCTION("""COMPUTED_VALUE"""),"")</f>
        <v/>
      </c>
      <c r="F311" s="29"/>
      <c r="G311" s="29"/>
      <c r="H311" s="30" t="str">
        <f ca="1">IFERROR(__xludf.DUMMYFUNCTION("""COMPUTED_VALUE"""),"inactivo")</f>
        <v>inactivo</v>
      </c>
      <c r="I311" s="30" t="str">
        <f ca="1">IFERROR(__xludf.DUMMYFUNCTION("""COMPUTED_VALUE"""),"se dio de baja durante la Adenda al CAI 2020. Cambio su Codigo REFES a 50062702402020. sigue siendo el mismo efector")</f>
        <v>se dio de baja durante la Adenda al CAI 2020. Cambio su Codigo REFES a 50062702402020. sigue siendo el mismo efector</v>
      </c>
      <c r="J311" s="29"/>
      <c r="K311" s="29"/>
      <c r="L311" s="30" t="str">
        <f ca="1">IFERROR(__xludf.DUMMYFUNCTION("""COMPUTED_VALUE"""),"No")</f>
        <v>No</v>
      </c>
      <c r="M311" s="30" t="str">
        <f ca="1">IFERROR(__xludf.DUMMYFUNCTION("""COMPUTED_VALUE"""),"6270010005")</f>
        <v>6270010005</v>
      </c>
      <c r="N311" s="30" t="str">
        <f ca="1">IFERROR(__xludf.DUMMYFUNCTION("""COMPUTED_VALUE"""),"LA UNION")</f>
        <v>LA UNION</v>
      </c>
      <c r="O311" s="30" t="str">
        <f ca="1">IFERROR(__xludf.DUMMYFUNCTION("""COMPUTED_VALUE"""),"6270")</f>
        <v>6270</v>
      </c>
      <c r="P311" s="30" t="str">
        <f ca="1">IFERROR(__xludf.DUMMYFUNCTION("""COMPUTED_VALUE"""),"EZEIZA")</f>
        <v>EZEIZA</v>
      </c>
      <c r="Q311" s="30" t="str">
        <f ca="1">IFERROR(__xludf.DUMMYFUNCTION("""COMPUTED_VALUE"""),"-34.88649419")</f>
        <v>-34.88649419</v>
      </c>
      <c r="R311" s="30" t="str">
        <f ca="1">IFERROR(__xludf.DUMMYFUNCTION("""COMPUTED_VALUE"""),"-58.55270863")</f>
        <v>-58.55270863</v>
      </c>
      <c r="S311" s="30" t="str">
        <f ca="1">IFERROR(__xludf.DUMMYFUNCTION("""COMPUTED_VALUE"""),"Municipal")</f>
        <v>Municipal</v>
      </c>
      <c r="T311" s="30" t="str">
        <f ca="1">IFERROR(__xludf.DUMMYFUNCTION("""COMPUTED_VALUE"""),"EZEIZA")</f>
        <v>EZEIZA</v>
      </c>
    </row>
    <row r="312" spans="1:20" ht="15.75" customHeight="1" x14ac:dyDescent="0.25">
      <c r="A312" s="30" t="str">
        <f ca="1">IFERROR(__xludf.DUMMYFUNCTION("""COMPUTED_VALUE"""),"50062702201331")</f>
        <v>50062702201331</v>
      </c>
      <c r="B312" s="30" t="str">
        <f ca="1">IFERROR(__xludf.DUMMYFUNCTION("""COMPUTED_VALUE"""),"CENTRO DE SALUD N° 7")</f>
        <v>CENTRO DE SALUD N° 7</v>
      </c>
      <c r="C312" s="30" t="str">
        <f ca="1">IFERROR(__xludf.DUMMYFUNCTION("""COMPUTED_VALUE"""),"Buenos Aires")</f>
        <v>Buenos Aires</v>
      </c>
      <c r="D312" s="30" t="str">
        <f ca="1">IFERROR(__xludf.DUMMYFUNCTION("""COMPUTED_VALUE"""),"6")</f>
        <v>6</v>
      </c>
      <c r="E312" s="30" t="str">
        <f ca="1">IFERROR(__xludf.DUMMYFUNCTION("""COMPUTED_VALUE"""),"")</f>
        <v/>
      </c>
      <c r="F312" s="29"/>
      <c r="G312" s="29"/>
      <c r="H312" s="30" t="str">
        <f ca="1">IFERROR(__xludf.DUMMYFUNCTION("""COMPUTED_VALUE"""),"activo")</f>
        <v>activo</v>
      </c>
      <c r="I312" s="29"/>
      <c r="J312" s="29"/>
      <c r="K312" s="29"/>
      <c r="L312" s="30" t="str">
        <f ca="1">IFERROR(__xludf.DUMMYFUNCTION("""COMPUTED_VALUE"""),"No")</f>
        <v>No</v>
      </c>
      <c r="M312" s="30" t="str">
        <f ca="1">IFERROR(__xludf.DUMMYFUNCTION("""COMPUTED_VALUE"""),"6270010003")</f>
        <v>6270010003</v>
      </c>
      <c r="N312" s="30" t="str">
        <f ca="1">IFERROR(__xludf.DUMMYFUNCTION("""COMPUTED_VALUE"""),"CARLOS SPEGAZZINI")</f>
        <v>CARLOS SPEGAZZINI</v>
      </c>
      <c r="O312" s="30" t="str">
        <f ca="1">IFERROR(__xludf.DUMMYFUNCTION("""COMPUTED_VALUE"""),"6270")</f>
        <v>6270</v>
      </c>
      <c r="P312" s="30" t="str">
        <f ca="1">IFERROR(__xludf.DUMMYFUNCTION("""COMPUTED_VALUE"""),"EZEIZA")</f>
        <v>EZEIZA</v>
      </c>
      <c r="Q312" s="30" t="str">
        <f ca="1">IFERROR(__xludf.DUMMYFUNCTION("""COMPUTED_VALUE"""),"-34.92095059")</f>
        <v>-34.92095059</v>
      </c>
      <c r="R312" s="30" t="str">
        <f ca="1">IFERROR(__xludf.DUMMYFUNCTION("""COMPUTED_VALUE"""),"-58.59609604")</f>
        <v>-58.59609604</v>
      </c>
      <c r="S312" s="30" t="str">
        <f ca="1">IFERROR(__xludf.DUMMYFUNCTION("""COMPUTED_VALUE"""),"Municipal")</f>
        <v>Municipal</v>
      </c>
      <c r="T312" s="30" t="str">
        <f ca="1">IFERROR(__xludf.DUMMYFUNCTION("""COMPUTED_VALUE"""),"EZEIZA")</f>
        <v>EZEIZA</v>
      </c>
    </row>
    <row r="313" spans="1:20" ht="15.75" customHeight="1" x14ac:dyDescent="0.25">
      <c r="A313" s="30" t="str">
        <f ca="1">IFERROR(__xludf.DUMMYFUNCTION("""COMPUTED_VALUE"""),"50062702201447")</f>
        <v>50062702201447</v>
      </c>
      <c r="B313" s="30" t="str">
        <f ca="1">IFERROR(__xludf.DUMMYFUNCTION("""COMPUTED_VALUE"""),"CENTRO DE SALUD N° 24 LA CUNITA")</f>
        <v>CENTRO DE SALUD N° 24 LA CUNITA</v>
      </c>
      <c r="C313" s="30" t="str">
        <f ca="1">IFERROR(__xludf.DUMMYFUNCTION("""COMPUTED_VALUE"""),"Buenos Aires")</f>
        <v>Buenos Aires</v>
      </c>
      <c r="D313" s="30" t="str">
        <f ca="1">IFERROR(__xludf.DUMMYFUNCTION("""COMPUTED_VALUE"""),"6")</f>
        <v>6</v>
      </c>
      <c r="E313" s="30" t="str">
        <f ca="1">IFERROR(__xludf.DUMMYFUNCTION("""COMPUTED_VALUE"""),"")</f>
        <v/>
      </c>
      <c r="F313" s="29"/>
      <c r="G313" s="29"/>
      <c r="H313" s="30" t="str">
        <f ca="1">IFERROR(__xludf.DUMMYFUNCTION("""COMPUTED_VALUE"""),"activo")</f>
        <v>activo</v>
      </c>
      <c r="I313" s="29"/>
      <c r="J313" s="29"/>
      <c r="K313" s="29"/>
      <c r="L313" s="30" t="str">
        <f ca="1">IFERROR(__xludf.DUMMYFUNCTION("""COMPUTED_VALUE"""),"No")</f>
        <v>No</v>
      </c>
      <c r="M313" s="30" t="str">
        <f ca="1">IFERROR(__xludf.DUMMYFUNCTION("""COMPUTED_VALUE"""),"6270010004")</f>
        <v>6270010004</v>
      </c>
      <c r="N313" s="30" t="str">
        <f ca="1">IFERROR(__xludf.DUMMYFUNCTION("""COMPUTED_VALUE"""),"JOSE MARIA EZEIZA")</f>
        <v>JOSE MARIA EZEIZA</v>
      </c>
      <c r="O313" s="30" t="str">
        <f ca="1">IFERROR(__xludf.DUMMYFUNCTION("""COMPUTED_VALUE"""),"6270")</f>
        <v>6270</v>
      </c>
      <c r="P313" s="30" t="str">
        <f ca="1">IFERROR(__xludf.DUMMYFUNCTION("""COMPUTED_VALUE"""),"EZEIZA")</f>
        <v>EZEIZA</v>
      </c>
      <c r="Q313" s="30" t="str">
        <f ca="1">IFERROR(__xludf.DUMMYFUNCTION("""COMPUTED_VALUE"""),"-34.85170638")</f>
        <v>-34.85170638</v>
      </c>
      <c r="R313" s="30" t="str">
        <f ca="1">IFERROR(__xludf.DUMMYFUNCTION("""COMPUTED_VALUE"""),"-58.53936195")</f>
        <v>-58.53936195</v>
      </c>
      <c r="S313" s="30" t="str">
        <f ca="1">IFERROR(__xludf.DUMMYFUNCTION("""COMPUTED_VALUE"""),"Municipal")</f>
        <v>Municipal</v>
      </c>
      <c r="T313" s="30" t="str">
        <f ca="1">IFERROR(__xludf.DUMMYFUNCTION("""COMPUTED_VALUE"""),"EZEIZA")</f>
        <v>EZEIZA</v>
      </c>
    </row>
    <row r="314" spans="1:20" ht="15.75" customHeight="1" x14ac:dyDescent="0.25">
      <c r="A314" s="30" t="str">
        <f ca="1">IFERROR(__xludf.DUMMYFUNCTION("""COMPUTED_VALUE"""),"50062702202475")</f>
        <v>50062702202475</v>
      </c>
      <c r="B314" s="30" t="str">
        <f ca="1">IFERROR(__xludf.DUMMYFUNCTION("""COMPUTED_VALUE"""),"CENTRO DE SALUD N° 10")</f>
        <v>CENTRO DE SALUD N° 10</v>
      </c>
      <c r="C314" s="30" t="str">
        <f ca="1">IFERROR(__xludf.DUMMYFUNCTION("""COMPUTED_VALUE"""),"Buenos Aires")</f>
        <v>Buenos Aires</v>
      </c>
      <c r="D314" s="30" t="str">
        <f ca="1">IFERROR(__xludf.DUMMYFUNCTION("""COMPUTED_VALUE"""),"6")</f>
        <v>6</v>
      </c>
      <c r="E314" s="30" t="str">
        <f ca="1">IFERROR(__xludf.DUMMYFUNCTION("""COMPUTED_VALUE"""),"")</f>
        <v/>
      </c>
      <c r="F314" s="29"/>
      <c r="G314" s="29"/>
      <c r="H314" s="30" t="str">
        <f ca="1">IFERROR(__xludf.DUMMYFUNCTION("""COMPUTED_VALUE"""),"activo")</f>
        <v>activo</v>
      </c>
      <c r="I314" s="29"/>
      <c r="J314" s="29"/>
      <c r="K314" s="29"/>
      <c r="L314" s="30" t="str">
        <f ca="1">IFERROR(__xludf.DUMMYFUNCTION("""COMPUTED_VALUE"""),"No")</f>
        <v>No</v>
      </c>
      <c r="M314" s="30" t="str">
        <f ca="1">IFERROR(__xludf.DUMMYFUNCTION("""COMPUTED_VALUE"""),"6270010005")</f>
        <v>6270010005</v>
      </c>
      <c r="N314" s="30" t="str">
        <f ca="1">IFERROR(__xludf.DUMMYFUNCTION("""COMPUTED_VALUE"""),"LA UNION")</f>
        <v>LA UNION</v>
      </c>
      <c r="O314" s="30" t="str">
        <f ca="1">IFERROR(__xludf.DUMMYFUNCTION("""COMPUTED_VALUE"""),"6270")</f>
        <v>6270</v>
      </c>
      <c r="P314" s="30" t="str">
        <f ca="1">IFERROR(__xludf.DUMMYFUNCTION("""COMPUTED_VALUE"""),"EZEIZA")</f>
        <v>EZEIZA</v>
      </c>
      <c r="Q314" s="30" t="str">
        <f ca="1">IFERROR(__xludf.DUMMYFUNCTION("""COMPUTED_VALUE"""),"-34.855416")</f>
        <v>-34.855416</v>
      </c>
      <c r="R314" s="30" t="str">
        <f ca="1">IFERROR(__xludf.DUMMYFUNCTION("""COMPUTED_VALUE"""),"-58.545009")</f>
        <v>-58.545009</v>
      </c>
      <c r="S314" s="30" t="str">
        <f ca="1">IFERROR(__xludf.DUMMYFUNCTION("""COMPUTED_VALUE"""),"Municipal")</f>
        <v>Municipal</v>
      </c>
      <c r="T314" s="30" t="str">
        <f ca="1">IFERROR(__xludf.DUMMYFUNCTION("""COMPUTED_VALUE"""),"EZEIZA")</f>
        <v>EZEIZA</v>
      </c>
    </row>
    <row r="315" spans="1:20" ht="15.75" customHeight="1" x14ac:dyDescent="0.25">
      <c r="A315" s="30" t="str">
        <f ca="1">IFERROR(__xludf.DUMMYFUNCTION("""COMPUTED_VALUE"""),"50062702202492")</f>
        <v>50062702202492</v>
      </c>
      <c r="B315" s="30" t="str">
        <f ca="1">IFERROR(__xludf.DUMMYFUNCTION("""COMPUTED_VALUE"""),"CENTRO DE SALUD N° 12")</f>
        <v>CENTRO DE SALUD N° 12</v>
      </c>
      <c r="C315" s="30" t="str">
        <f ca="1">IFERROR(__xludf.DUMMYFUNCTION("""COMPUTED_VALUE"""),"Buenos Aires")</f>
        <v>Buenos Aires</v>
      </c>
      <c r="D315" s="30" t="str">
        <f ca="1">IFERROR(__xludf.DUMMYFUNCTION("""COMPUTED_VALUE"""),"6")</f>
        <v>6</v>
      </c>
      <c r="E315" s="30" t="str">
        <f ca="1">IFERROR(__xludf.DUMMYFUNCTION("""COMPUTED_VALUE"""),"")</f>
        <v/>
      </c>
      <c r="F315" s="29"/>
      <c r="G315" s="29"/>
      <c r="H315" s="30" t="str">
        <f ca="1">IFERROR(__xludf.DUMMYFUNCTION("""COMPUTED_VALUE"""),"activo")</f>
        <v>activo</v>
      </c>
      <c r="I315" s="29"/>
      <c r="J315" s="29"/>
      <c r="K315" s="29"/>
      <c r="L315" s="30" t="str">
        <f ca="1">IFERROR(__xludf.DUMMYFUNCTION("""COMPUTED_VALUE"""),"No")</f>
        <v>No</v>
      </c>
      <c r="M315" s="30" t="str">
        <f ca="1">IFERROR(__xludf.DUMMYFUNCTION("""COMPUTED_VALUE"""),"6270010006")</f>
        <v>6270010006</v>
      </c>
      <c r="N315" s="30" t="str">
        <f ca="1">IFERROR(__xludf.DUMMYFUNCTION("""COMPUTED_VALUE"""),"TRISTAN SUAREZ")</f>
        <v>TRISTAN SUAREZ</v>
      </c>
      <c r="O315" s="30" t="str">
        <f ca="1">IFERROR(__xludf.DUMMYFUNCTION("""COMPUTED_VALUE"""),"6270")</f>
        <v>6270</v>
      </c>
      <c r="P315" s="30" t="str">
        <f ca="1">IFERROR(__xludf.DUMMYFUNCTION("""COMPUTED_VALUE"""),"EZEIZA")</f>
        <v>EZEIZA</v>
      </c>
      <c r="Q315" s="30" t="str">
        <f ca="1">IFERROR(__xludf.DUMMYFUNCTION("""COMPUTED_VALUE"""),"-34.888146")</f>
        <v>-34.888146</v>
      </c>
      <c r="R315" s="30" t="str">
        <f ca="1">IFERROR(__xludf.DUMMYFUNCTION("""COMPUTED_VALUE"""),"-58.575359")</f>
        <v>-58.575359</v>
      </c>
      <c r="S315" s="30" t="str">
        <f ca="1">IFERROR(__xludf.DUMMYFUNCTION("""COMPUTED_VALUE"""),"Municipal")</f>
        <v>Municipal</v>
      </c>
      <c r="T315" s="30" t="str">
        <f ca="1">IFERROR(__xludf.DUMMYFUNCTION("""COMPUTED_VALUE"""),"EZEIZA")</f>
        <v>EZEIZA</v>
      </c>
    </row>
    <row r="316" spans="1:20" ht="15.75" customHeight="1" x14ac:dyDescent="0.25">
      <c r="A316" s="30" t="str">
        <f ca="1">IFERROR(__xludf.DUMMYFUNCTION("""COMPUTED_VALUE"""),"50062702202518")</f>
        <v>50062702202518</v>
      </c>
      <c r="B316" s="30" t="str">
        <f ca="1">IFERROR(__xludf.DUMMYFUNCTION("""COMPUTED_VALUE"""),"CENTRO DE SALUD N° 16")</f>
        <v>CENTRO DE SALUD N° 16</v>
      </c>
      <c r="C316" s="30" t="str">
        <f ca="1">IFERROR(__xludf.DUMMYFUNCTION("""COMPUTED_VALUE"""),"Buenos Aires")</f>
        <v>Buenos Aires</v>
      </c>
      <c r="D316" s="30" t="str">
        <f ca="1">IFERROR(__xludf.DUMMYFUNCTION("""COMPUTED_VALUE"""),"6")</f>
        <v>6</v>
      </c>
      <c r="E316" s="30" t="str">
        <f ca="1">IFERROR(__xludf.DUMMYFUNCTION("""COMPUTED_VALUE"""),"")</f>
        <v/>
      </c>
      <c r="F316" s="29"/>
      <c r="G316" s="29"/>
      <c r="H316" s="30" t="str">
        <f ca="1">IFERROR(__xludf.DUMMYFUNCTION("""COMPUTED_VALUE"""),"activo")</f>
        <v>activo</v>
      </c>
      <c r="I316" s="29"/>
      <c r="J316" s="29"/>
      <c r="K316" s="29"/>
      <c r="L316" s="30" t="str">
        <f ca="1">IFERROR(__xludf.DUMMYFUNCTION("""COMPUTED_VALUE"""),"No")</f>
        <v>No</v>
      </c>
      <c r="M316" s="30" t="str">
        <f ca="1">IFERROR(__xludf.DUMMYFUNCTION("""COMPUTED_VALUE"""),"6270010004")</f>
        <v>6270010004</v>
      </c>
      <c r="N316" s="30" t="str">
        <f ca="1">IFERROR(__xludf.DUMMYFUNCTION("""COMPUTED_VALUE"""),"JOSE MARIA EZEIZA")</f>
        <v>JOSE MARIA EZEIZA</v>
      </c>
      <c r="O316" s="30" t="str">
        <f ca="1">IFERROR(__xludf.DUMMYFUNCTION("""COMPUTED_VALUE"""),"6270")</f>
        <v>6270</v>
      </c>
      <c r="P316" s="30" t="str">
        <f ca="1">IFERROR(__xludf.DUMMYFUNCTION("""COMPUTED_VALUE"""),"EZEIZA")</f>
        <v>EZEIZA</v>
      </c>
      <c r="Q316" s="30" t="str">
        <f ca="1">IFERROR(__xludf.DUMMYFUNCTION("""COMPUTED_VALUE"""),"-34.84554744")</f>
        <v>-34.84554744</v>
      </c>
      <c r="R316" s="30" t="str">
        <f ca="1">IFERROR(__xludf.DUMMYFUNCTION("""COMPUTED_VALUE"""),"-58.51727414")</f>
        <v>-58.51727414</v>
      </c>
      <c r="S316" s="30" t="str">
        <f ca="1">IFERROR(__xludf.DUMMYFUNCTION("""COMPUTED_VALUE"""),"Municipal")</f>
        <v>Municipal</v>
      </c>
      <c r="T316" s="30" t="str">
        <f ca="1">IFERROR(__xludf.DUMMYFUNCTION("""COMPUTED_VALUE"""),"EZEIZA")</f>
        <v>EZEIZA</v>
      </c>
    </row>
    <row r="317" spans="1:20" ht="15.75" customHeight="1" x14ac:dyDescent="0.25">
      <c r="A317" s="30" t="str">
        <f ca="1">IFERROR(__xludf.DUMMYFUNCTION("""COMPUTED_VALUE"""),"50062702202589")</f>
        <v>50062702202589</v>
      </c>
      <c r="B317" s="30" t="str">
        <f ca="1">IFERROR(__xludf.DUMMYFUNCTION("""COMPUTED_VALUE"""),"CENTRO DE SALUD N° 3  LA CUNITA 2")</f>
        <v>CENTRO DE SALUD N° 3  LA CUNITA 2</v>
      </c>
      <c r="C317" s="30" t="str">
        <f ca="1">IFERROR(__xludf.DUMMYFUNCTION("""COMPUTED_VALUE"""),"Buenos Aires")</f>
        <v>Buenos Aires</v>
      </c>
      <c r="D317" s="30" t="str">
        <f ca="1">IFERROR(__xludf.DUMMYFUNCTION("""COMPUTED_VALUE"""),"6")</f>
        <v>6</v>
      </c>
      <c r="E317" s="30" t="str">
        <f ca="1">IFERROR(__xludf.DUMMYFUNCTION("""COMPUTED_VALUE"""),"")</f>
        <v/>
      </c>
      <c r="F317" s="29"/>
      <c r="G317" s="29"/>
      <c r="H317" s="30" t="str">
        <f ca="1">IFERROR(__xludf.DUMMYFUNCTION("""COMPUTED_VALUE"""),"activo")</f>
        <v>activo</v>
      </c>
      <c r="I317" s="29"/>
      <c r="J317" s="29"/>
      <c r="K317" s="29"/>
      <c r="L317" s="30" t="str">
        <f ca="1">IFERROR(__xludf.DUMMYFUNCTION("""COMPUTED_VALUE"""),"No")</f>
        <v>No</v>
      </c>
      <c r="M317" s="30" t="str">
        <f ca="1">IFERROR(__xludf.DUMMYFUNCTION("""COMPUTED_VALUE"""),"6270010005")</f>
        <v>6270010005</v>
      </c>
      <c r="N317" s="30" t="str">
        <f ca="1">IFERROR(__xludf.DUMMYFUNCTION("""COMPUTED_VALUE"""),"LA UNION")</f>
        <v>LA UNION</v>
      </c>
      <c r="O317" s="30" t="str">
        <f ca="1">IFERROR(__xludf.DUMMYFUNCTION("""COMPUTED_VALUE"""),"6270")</f>
        <v>6270</v>
      </c>
      <c r="P317" s="30" t="str">
        <f ca="1">IFERROR(__xludf.DUMMYFUNCTION("""COMPUTED_VALUE"""),"EZEIZA")</f>
        <v>EZEIZA</v>
      </c>
      <c r="Q317" s="30" t="str">
        <f ca="1">IFERROR(__xludf.DUMMYFUNCTION("""COMPUTED_VALUE"""),"-34.870681")</f>
        <v>-34.870681</v>
      </c>
      <c r="R317" s="30" t="str">
        <f ca="1">IFERROR(__xludf.DUMMYFUNCTION("""COMPUTED_VALUE"""),"-58.531233")</f>
        <v>-58.531233</v>
      </c>
      <c r="S317" s="30" t="str">
        <f ca="1">IFERROR(__xludf.DUMMYFUNCTION("""COMPUTED_VALUE"""),"Municipal")</f>
        <v>Municipal</v>
      </c>
      <c r="T317" s="30" t="str">
        <f ca="1">IFERROR(__xludf.DUMMYFUNCTION("""COMPUTED_VALUE"""),"EZEIZA")</f>
        <v>EZEIZA</v>
      </c>
    </row>
    <row r="318" spans="1:20" ht="15.75" customHeight="1" x14ac:dyDescent="0.25">
      <c r="A318" s="30" t="str">
        <f ca="1">IFERROR(__xludf.DUMMYFUNCTION("""COMPUTED_VALUE"""),"50062702202642")</f>
        <v>50062702202642</v>
      </c>
      <c r="B318" s="30" t="str">
        <f ca="1">IFERROR(__xludf.DUMMYFUNCTION("""COMPUTED_VALUE"""),"CENTRO DE SALUD N° 6")</f>
        <v>CENTRO DE SALUD N° 6</v>
      </c>
      <c r="C318" s="30" t="str">
        <f ca="1">IFERROR(__xludf.DUMMYFUNCTION("""COMPUTED_VALUE"""),"Buenos Aires")</f>
        <v>Buenos Aires</v>
      </c>
      <c r="D318" s="30" t="str">
        <f ca="1">IFERROR(__xludf.DUMMYFUNCTION("""COMPUTED_VALUE"""),"6")</f>
        <v>6</v>
      </c>
      <c r="E318" s="30" t="str">
        <f ca="1">IFERROR(__xludf.DUMMYFUNCTION("""COMPUTED_VALUE"""),"")</f>
        <v/>
      </c>
      <c r="F318" s="29"/>
      <c r="G318" s="29"/>
      <c r="H318" s="30" t="str">
        <f ca="1">IFERROR(__xludf.DUMMYFUNCTION("""COMPUTED_VALUE"""),"activo")</f>
        <v>activo</v>
      </c>
      <c r="I318" s="29"/>
      <c r="J318" s="29"/>
      <c r="K318" s="29"/>
      <c r="L318" s="30" t="str">
        <f ca="1">IFERROR(__xludf.DUMMYFUNCTION("""COMPUTED_VALUE"""),"No")</f>
        <v>No</v>
      </c>
      <c r="M318" s="30" t="str">
        <f ca="1">IFERROR(__xludf.DUMMYFUNCTION("""COMPUTED_VALUE"""),"6270010003")</f>
        <v>6270010003</v>
      </c>
      <c r="N318" s="30" t="str">
        <f ca="1">IFERROR(__xludf.DUMMYFUNCTION("""COMPUTED_VALUE"""),"CARLOS SPEGAZZINI")</f>
        <v>CARLOS SPEGAZZINI</v>
      </c>
      <c r="O318" s="30" t="str">
        <f ca="1">IFERROR(__xludf.DUMMYFUNCTION("""COMPUTED_VALUE"""),"6270")</f>
        <v>6270</v>
      </c>
      <c r="P318" s="30" t="str">
        <f ca="1">IFERROR(__xludf.DUMMYFUNCTION("""COMPUTED_VALUE"""),"EZEIZA")</f>
        <v>EZEIZA</v>
      </c>
      <c r="Q318" s="30" t="str">
        <f ca="1">IFERROR(__xludf.DUMMYFUNCTION("""COMPUTED_VALUE"""),"-34.90448617")</f>
        <v>-34.90448617</v>
      </c>
      <c r="R318" s="30" t="str">
        <f ca="1">IFERROR(__xludf.DUMMYFUNCTION("""COMPUTED_VALUE"""),"-58.57423639")</f>
        <v>-58.57423639</v>
      </c>
      <c r="S318" s="30" t="str">
        <f ca="1">IFERROR(__xludf.DUMMYFUNCTION("""COMPUTED_VALUE"""),"Municipal")</f>
        <v>Municipal</v>
      </c>
      <c r="T318" s="30" t="str">
        <f ca="1">IFERROR(__xludf.DUMMYFUNCTION("""COMPUTED_VALUE"""),"EZEIZA")</f>
        <v>EZEIZA</v>
      </c>
    </row>
    <row r="319" spans="1:20" ht="15.75" customHeight="1" x14ac:dyDescent="0.25">
      <c r="A319" s="30" t="str">
        <f ca="1">IFERROR(__xludf.DUMMYFUNCTION("""COMPUTED_VALUE"""),"50062702215029")</f>
        <v>50062702215029</v>
      </c>
      <c r="B319" s="30" t="str">
        <f ca="1">IFERROR(__xludf.DUMMYFUNCTION("""COMPUTED_VALUE"""),"UNIDAD SANITARIA N° 5")</f>
        <v>UNIDAD SANITARIA N° 5</v>
      </c>
      <c r="C319" s="30" t="str">
        <f ca="1">IFERROR(__xludf.DUMMYFUNCTION("""COMPUTED_VALUE"""),"Buenos Aires")</f>
        <v>Buenos Aires</v>
      </c>
      <c r="D319" s="30" t="str">
        <f ca="1">IFERROR(__xludf.DUMMYFUNCTION("""COMPUTED_VALUE"""),"6")</f>
        <v>6</v>
      </c>
      <c r="E319" s="30" t="str">
        <f ca="1">IFERROR(__xludf.DUMMYFUNCTION("""COMPUTED_VALUE"""),"")</f>
        <v/>
      </c>
      <c r="F319" s="29"/>
      <c r="G319" s="29"/>
      <c r="H319" s="30" t="str">
        <f ca="1">IFERROR(__xludf.DUMMYFUNCTION("""COMPUTED_VALUE"""),"inactivo")</f>
        <v>inactivo</v>
      </c>
      <c r="I319" s="29"/>
      <c r="J319" s="29"/>
      <c r="K319" s="29"/>
      <c r="L319" s="30" t="str">
        <f ca="1">IFERROR(__xludf.DUMMYFUNCTION("""COMPUTED_VALUE"""),"No")</f>
        <v>No</v>
      </c>
      <c r="M319" s="30" t="str">
        <f ca="1">IFERROR(__xludf.DUMMYFUNCTION("""COMPUTED_VALUE"""),"6270010006")</f>
        <v>6270010006</v>
      </c>
      <c r="N319" s="30" t="str">
        <f ca="1">IFERROR(__xludf.DUMMYFUNCTION("""COMPUTED_VALUE"""),"TRISTAN SUAREZ")</f>
        <v>TRISTAN SUAREZ</v>
      </c>
      <c r="O319" s="30" t="str">
        <f ca="1">IFERROR(__xludf.DUMMYFUNCTION("""COMPUTED_VALUE"""),"6270")</f>
        <v>6270</v>
      </c>
      <c r="P319" s="30" t="str">
        <f ca="1">IFERROR(__xludf.DUMMYFUNCTION("""COMPUTED_VALUE"""),"EZEIZA")</f>
        <v>EZEIZA</v>
      </c>
      <c r="Q319" s="30" t="str">
        <f ca="1">IFERROR(__xludf.DUMMYFUNCTION("""COMPUTED_VALUE"""),"-34.89295806")</f>
        <v>-34.89295806</v>
      </c>
      <c r="R319" s="30" t="str">
        <f ca="1">IFERROR(__xludf.DUMMYFUNCTION("""COMPUTED_VALUE"""),"-58.56711745")</f>
        <v>-58.56711745</v>
      </c>
      <c r="S319" s="30" t="str">
        <f ca="1">IFERROR(__xludf.DUMMYFUNCTION("""COMPUTED_VALUE"""),"Municipal")</f>
        <v>Municipal</v>
      </c>
      <c r="T319" s="30" t="str">
        <f ca="1">IFERROR(__xludf.DUMMYFUNCTION("""COMPUTED_VALUE"""),"EZEIZA")</f>
        <v>EZEIZA</v>
      </c>
    </row>
    <row r="320" spans="1:20" ht="15.75" customHeight="1" x14ac:dyDescent="0.25">
      <c r="A320" s="30" t="str">
        <f ca="1">IFERROR(__xludf.DUMMYFUNCTION("""COMPUTED_VALUE"""),"50062742201213")</f>
        <v>50062742201213</v>
      </c>
      <c r="B320" s="30" t="str">
        <f ca="1">IFERROR(__xludf.DUMMYFUNCTION("""COMPUTED_VALUE"""),"CENTRO DE SALUD CAROLINA II")</f>
        <v>CENTRO DE SALUD CAROLINA II</v>
      </c>
      <c r="C320" s="30" t="str">
        <f ca="1">IFERROR(__xludf.DUMMYFUNCTION("""COMPUTED_VALUE"""),"Buenos Aires")</f>
        <v>Buenos Aires</v>
      </c>
      <c r="D320" s="30" t="str">
        <f ca="1">IFERROR(__xludf.DUMMYFUNCTION("""COMPUTED_VALUE"""),"6")</f>
        <v>6</v>
      </c>
      <c r="E320" s="30" t="str">
        <f ca="1">IFERROR(__xludf.DUMMYFUNCTION("""COMPUTED_VALUE"""),"")</f>
        <v/>
      </c>
      <c r="F320" s="29"/>
      <c r="G320" s="29"/>
      <c r="H320" s="30" t="str">
        <f ca="1">IFERROR(__xludf.DUMMYFUNCTION("""COMPUTED_VALUE"""),"activo")</f>
        <v>activo</v>
      </c>
      <c r="I320" s="30" t="str">
        <f ca="1">IFERROR(__xludf.DUMMYFUNCTION("""COMPUTED_VALUE"""),"2020")</f>
        <v>2020</v>
      </c>
      <c r="J320" s="29"/>
      <c r="K320" s="29"/>
      <c r="L320" s="30" t="str">
        <f ca="1">IFERROR(__xludf.DUMMYFUNCTION("""COMPUTED_VALUE"""),"No")</f>
        <v>No</v>
      </c>
      <c r="M320" s="30" t="str">
        <f ca="1">IFERROR(__xludf.DUMMYFUNCTION("""COMPUTED_VALUE"""),"6274010003")</f>
        <v>6274010003</v>
      </c>
      <c r="N320" s="30" t="str">
        <f ca="1">IFERROR(__xludf.DUMMYFUNCTION("""COMPUTED_VALUE"""),"FLORENCIO VARELA")</f>
        <v>FLORENCIO VARELA</v>
      </c>
      <c r="O320" s="30" t="str">
        <f ca="1">IFERROR(__xludf.DUMMYFUNCTION("""COMPUTED_VALUE"""),"6274")</f>
        <v>6274</v>
      </c>
      <c r="P320" s="30" t="str">
        <f ca="1">IFERROR(__xludf.DUMMYFUNCTION("""COMPUTED_VALUE"""),"FLORENCIO VARELA")</f>
        <v>FLORENCIO VARELA</v>
      </c>
      <c r="Q320" s="30" t="str">
        <f ca="1">IFERROR(__xludf.DUMMYFUNCTION("""COMPUTED_VALUE"""),"-34.82289143")</f>
        <v>-34.82289143</v>
      </c>
      <c r="R320" s="30" t="str">
        <f ca="1">IFERROR(__xludf.DUMMYFUNCTION("""COMPUTED_VALUE"""),"-58.1957345")</f>
        <v>-58.1957345</v>
      </c>
      <c r="S320" s="30" t="str">
        <f ca="1">IFERROR(__xludf.DUMMYFUNCTION("""COMPUTED_VALUE"""),"Municipal")</f>
        <v>Municipal</v>
      </c>
      <c r="T320" s="30" t="str">
        <f ca="1">IFERROR(__xludf.DUMMYFUNCTION("""COMPUTED_VALUE"""),"FLORENCIO VARELA")</f>
        <v>FLORENCIO VARELA</v>
      </c>
    </row>
    <row r="321" spans="1:20" ht="15.75" customHeight="1" x14ac:dyDescent="0.25">
      <c r="A321" s="30" t="str">
        <f ca="1">IFERROR(__xludf.DUMMYFUNCTION("""COMPUTED_VALUE"""),"50062742201218")</f>
        <v>50062742201218</v>
      </c>
      <c r="B321" s="30" t="str">
        <f ca="1">IFERROR(__xludf.DUMMYFUNCTION("""COMPUTED_VALUE"""),"CENTRO DE SALUD DON JOSE")</f>
        <v>CENTRO DE SALUD DON JOSE</v>
      </c>
      <c r="C321" s="30" t="str">
        <f ca="1">IFERROR(__xludf.DUMMYFUNCTION("""COMPUTED_VALUE"""),"Buenos Aires")</f>
        <v>Buenos Aires</v>
      </c>
      <c r="D321" s="30" t="str">
        <f ca="1">IFERROR(__xludf.DUMMYFUNCTION("""COMPUTED_VALUE"""),"6")</f>
        <v>6</v>
      </c>
      <c r="E321" s="30" t="str">
        <f ca="1">IFERROR(__xludf.DUMMYFUNCTION("""COMPUTED_VALUE"""),"")</f>
        <v/>
      </c>
      <c r="F321" s="29"/>
      <c r="G321" s="29"/>
      <c r="H321" s="30" t="str">
        <f ca="1">IFERROR(__xludf.DUMMYFUNCTION("""COMPUTED_VALUE"""),"activo")</f>
        <v>activo</v>
      </c>
      <c r="I321" s="29"/>
      <c r="J321" s="29"/>
      <c r="K321" s="29"/>
      <c r="L321" s="30" t="str">
        <f ca="1">IFERROR(__xludf.DUMMYFUNCTION("""COMPUTED_VALUE"""),"No")</f>
        <v>No</v>
      </c>
      <c r="M321" s="30" t="str">
        <f ca="1">IFERROR(__xludf.DUMMYFUNCTION("""COMPUTED_VALUE"""),"6274010003")</f>
        <v>6274010003</v>
      </c>
      <c r="N321" s="30" t="str">
        <f ca="1">IFERROR(__xludf.DUMMYFUNCTION("""COMPUTED_VALUE"""),"FLORENCIO VARELA")</f>
        <v>FLORENCIO VARELA</v>
      </c>
      <c r="O321" s="30" t="str">
        <f ca="1">IFERROR(__xludf.DUMMYFUNCTION("""COMPUTED_VALUE"""),"6274")</f>
        <v>6274</v>
      </c>
      <c r="P321" s="30" t="str">
        <f ca="1">IFERROR(__xludf.DUMMYFUNCTION("""COMPUTED_VALUE"""),"FLORENCIO VARELA")</f>
        <v>FLORENCIO VARELA</v>
      </c>
      <c r="Q321" s="30" t="str">
        <f ca="1">IFERROR(__xludf.DUMMYFUNCTION("""COMPUTED_VALUE"""),"-34.795192")</f>
        <v>-34.795192</v>
      </c>
      <c r="R321" s="30" t="str">
        <f ca="1">IFERROR(__xludf.DUMMYFUNCTION("""COMPUTED_VALUE"""),"-58.311764")</f>
        <v>-58.311764</v>
      </c>
      <c r="S321" s="30" t="str">
        <f ca="1">IFERROR(__xludf.DUMMYFUNCTION("""COMPUTED_VALUE"""),"Municipal")</f>
        <v>Municipal</v>
      </c>
      <c r="T321" s="30" t="str">
        <f ca="1">IFERROR(__xludf.DUMMYFUNCTION("""COMPUTED_VALUE"""),"FLORENCIO VARELA")</f>
        <v>FLORENCIO VARELA</v>
      </c>
    </row>
    <row r="322" spans="1:20" ht="15.75" customHeight="1" x14ac:dyDescent="0.25">
      <c r="A322" s="30" t="str">
        <f ca="1">IFERROR(__xludf.DUMMYFUNCTION("""COMPUTED_VALUE"""),"50062742202134")</f>
        <v>50062742202134</v>
      </c>
      <c r="B322" s="30" t="str">
        <f ca="1">IFERROR(__xludf.DUMMYFUNCTION("""COMPUTED_VALUE"""),"UNIDAD SANITARIA BARRIO SIRENA DE FLORENCIO VARELA")</f>
        <v>UNIDAD SANITARIA BARRIO SIRENA DE FLORENCIO VARELA</v>
      </c>
      <c r="C322" s="30" t="str">
        <f ca="1">IFERROR(__xludf.DUMMYFUNCTION("""COMPUTED_VALUE"""),"Buenos Aires")</f>
        <v>Buenos Aires</v>
      </c>
      <c r="D322" s="30" t="str">
        <f ca="1">IFERROR(__xludf.DUMMYFUNCTION("""COMPUTED_VALUE"""),"6")</f>
        <v>6</v>
      </c>
      <c r="E322" s="30" t="str">
        <f ca="1">IFERROR(__xludf.DUMMYFUNCTION("""COMPUTED_VALUE"""),"")</f>
        <v/>
      </c>
      <c r="F322" s="29"/>
      <c r="G322" s="29"/>
      <c r="H322" s="30" t="str">
        <f ca="1">IFERROR(__xludf.DUMMYFUNCTION("""COMPUTED_VALUE"""),"activo")</f>
        <v>activo</v>
      </c>
      <c r="I322" s="29"/>
      <c r="J322" s="29"/>
      <c r="K322" s="29"/>
      <c r="L322" s="30" t="str">
        <f ca="1">IFERROR(__xludf.DUMMYFUNCTION("""COMPUTED_VALUE"""),"No")</f>
        <v>No</v>
      </c>
      <c r="M322" s="30" t="str">
        <f ca="1">IFERROR(__xludf.DUMMYFUNCTION("""COMPUTED_VALUE"""),"6274010003")</f>
        <v>6274010003</v>
      </c>
      <c r="N322" s="30" t="str">
        <f ca="1">IFERROR(__xludf.DUMMYFUNCTION("""COMPUTED_VALUE"""),"FLORENCIO VARELA")</f>
        <v>FLORENCIO VARELA</v>
      </c>
      <c r="O322" s="30" t="str">
        <f ca="1">IFERROR(__xludf.DUMMYFUNCTION("""COMPUTED_VALUE"""),"6274")</f>
        <v>6274</v>
      </c>
      <c r="P322" s="30" t="str">
        <f ca="1">IFERROR(__xludf.DUMMYFUNCTION("""COMPUTED_VALUE"""),"FLORENCIO VARELA")</f>
        <v>FLORENCIO VARELA</v>
      </c>
      <c r="Q322" s="30" t="str">
        <f ca="1">IFERROR(__xludf.DUMMYFUNCTION("""COMPUTED_VALUE"""),"-34.78180375")</f>
        <v>-34.78180375</v>
      </c>
      <c r="R322" s="30" t="str">
        <f ca="1">IFERROR(__xludf.DUMMYFUNCTION("""COMPUTED_VALUE"""),"-58.29129839")</f>
        <v>-58.29129839</v>
      </c>
      <c r="S322" s="30" t="str">
        <f ca="1">IFERROR(__xludf.DUMMYFUNCTION("""COMPUTED_VALUE"""),"Municipal")</f>
        <v>Municipal</v>
      </c>
      <c r="T322" s="30" t="str">
        <f ca="1">IFERROR(__xludf.DUMMYFUNCTION("""COMPUTED_VALUE"""),"FLORENCIO VARELA")</f>
        <v>FLORENCIO VARELA</v>
      </c>
    </row>
    <row r="323" spans="1:20" ht="15.75" customHeight="1" x14ac:dyDescent="0.25">
      <c r="A323" s="30" t="str">
        <f ca="1">IFERROR(__xludf.DUMMYFUNCTION("""COMPUTED_VALUE"""),"50062742202212")</f>
        <v>50062742202212</v>
      </c>
      <c r="B323" s="30" t="str">
        <f ca="1">IFERROR(__xludf.DUMMYFUNCTION("""COMPUTED_VALUE"""),"UNIDAD SANITARIA DR. ARTURO OÑATIVIA BARRIO EL PARQUE")</f>
        <v>UNIDAD SANITARIA DR. ARTURO OÑATIVIA BARRIO EL PARQUE</v>
      </c>
      <c r="C323" s="30" t="str">
        <f ca="1">IFERROR(__xludf.DUMMYFUNCTION("""COMPUTED_VALUE"""),"Buenos Aires")</f>
        <v>Buenos Aires</v>
      </c>
      <c r="D323" s="30" t="str">
        <f ca="1">IFERROR(__xludf.DUMMYFUNCTION("""COMPUTED_VALUE"""),"6")</f>
        <v>6</v>
      </c>
      <c r="E323" s="30" t="str">
        <f ca="1">IFERROR(__xludf.DUMMYFUNCTION("""COMPUTED_VALUE"""),"")</f>
        <v/>
      </c>
      <c r="F323" s="29"/>
      <c r="G323" s="29"/>
      <c r="H323" s="30" t="str">
        <f ca="1">IFERROR(__xludf.DUMMYFUNCTION("""COMPUTED_VALUE"""),"activo")</f>
        <v>activo</v>
      </c>
      <c r="I323" s="29"/>
      <c r="J323" s="29"/>
      <c r="K323" s="29"/>
      <c r="L323" s="30" t="str">
        <f ca="1">IFERROR(__xludf.DUMMYFUNCTION("""COMPUTED_VALUE"""),"No")</f>
        <v>No</v>
      </c>
      <c r="M323" s="30" t="str">
        <f ca="1">IFERROR(__xludf.DUMMYFUNCTION("""COMPUTED_VALUE"""),"6274010003")</f>
        <v>6274010003</v>
      </c>
      <c r="N323" s="30" t="str">
        <f ca="1">IFERROR(__xludf.DUMMYFUNCTION("""COMPUTED_VALUE"""),"FLORENCIO VARELA")</f>
        <v>FLORENCIO VARELA</v>
      </c>
      <c r="O323" s="30" t="str">
        <f ca="1">IFERROR(__xludf.DUMMYFUNCTION("""COMPUTED_VALUE"""),"6274")</f>
        <v>6274</v>
      </c>
      <c r="P323" s="30" t="str">
        <f ca="1">IFERROR(__xludf.DUMMYFUNCTION("""COMPUTED_VALUE"""),"FLORENCIO VARELA")</f>
        <v>FLORENCIO VARELA</v>
      </c>
      <c r="Q323" s="30" t="str">
        <f ca="1">IFERROR(__xludf.DUMMYFUNCTION("""COMPUTED_VALUE"""),"-34.78293255")</f>
        <v>-34.78293255</v>
      </c>
      <c r="R323" s="30" t="str">
        <f ca="1">IFERROR(__xludf.DUMMYFUNCTION("""COMPUTED_VALUE"""),"-58.29139709")</f>
        <v>-58.29139709</v>
      </c>
      <c r="S323" s="30" t="str">
        <f ca="1">IFERROR(__xludf.DUMMYFUNCTION("""COMPUTED_VALUE"""),"Municipal")</f>
        <v>Municipal</v>
      </c>
      <c r="T323" s="30" t="str">
        <f ca="1">IFERROR(__xludf.DUMMYFUNCTION("""COMPUTED_VALUE"""),"FLORENCIO VARELA")</f>
        <v>FLORENCIO VARELA</v>
      </c>
    </row>
    <row r="324" spans="1:20" ht="15.75" customHeight="1" x14ac:dyDescent="0.25">
      <c r="A324" s="30" t="str">
        <f ca="1">IFERROR(__xludf.DUMMYFUNCTION("""COMPUTED_VALUE"""),"50062742202226")</f>
        <v>50062742202226</v>
      </c>
      <c r="B324" s="30" t="str">
        <f ca="1">IFERROR(__xludf.DUMMYFUNCTION("""COMPUTED_VALUE"""),"UNIDAD SANITARIA DR. EVARISTO RODRIGUEZ - VILLA HUDSON")</f>
        <v>UNIDAD SANITARIA DR. EVARISTO RODRIGUEZ - VILLA HUDSON</v>
      </c>
      <c r="C324" s="30" t="str">
        <f ca="1">IFERROR(__xludf.DUMMYFUNCTION("""COMPUTED_VALUE"""),"Buenos Aires")</f>
        <v>Buenos Aires</v>
      </c>
      <c r="D324" s="30" t="str">
        <f ca="1">IFERROR(__xludf.DUMMYFUNCTION("""COMPUTED_VALUE"""),"6")</f>
        <v>6</v>
      </c>
      <c r="E324" s="30" t="str">
        <f ca="1">IFERROR(__xludf.DUMMYFUNCTION("""COMPUTED_VALUE"""),"")</f>
        <v/>
      </c>
      <c r="F324" s="29"/>
      <c r="G324" s="29"/>
      <c r="H324" s="30" t="str">
        <f ca="1">IFERROR(__xludf.DUMMYFUNCTION("""COMPUTED_VALUE"""),"activo")</f>
        <v>activo</v>
      </c>
      <c r="I324" s="29"/>
      <c r="J324" s="29"/>
      <c r="K324" s="29"/>
      <c r="L324" s="30" t="str">
        <f ca="1">IFERROR(__xludf.DUMMYFUNCTION("""COMPUTED_VALUE"""),"No")</f>
        <v>No</v>
      </c>
      <c r="M324" s="30" t="str">
        <f ca="1">IFERROR(__xludf.DUMMYFUNCTION("""COMPUTED_VALUE"""),"6274010003")</f>
        <v>6274010003</v>
      </c>
      <c r="N324" s="30" t="str">
        <f ca="1">IFERROR(__xludf.DUMMYFUNCTION("""COMPUTED_VALUE"""),"FLORENCIO VARELA")</f>
        <v>FLORENCIO VARELA</v>
      </c>
      <c r="O324" s="30" t="str">
        <f ca="1">IFERROR(__xludf.DUMMYFUNCTION("""COMPUTED_VALUE"""),"6274")</f>
        <v>6274</v>
      </c>
      <c r="P324" s="30" t="str">
        <f ca="1">IFERROR(__xludf.DUMMYFUNCTION("""COMPUTED_VALUE"""),"FLORENCIO VARELA")</f>
        <v>FLORENCIO VARELA</v>
      </c>
      <c r="Q324" s="30" t="str">
        <f ca="1">IFERROR(__xludf.DUMMYFUNCTION("""COMPUTED_VALUE"""),"-34.8402237")</f>
        <v>-34.8402237</v>
      </c>
      <c r="R324" s="30" t="str">
        <f ca="1">IFERROR(__xludf.DUMMYFUNCTION("""COMPUTED_VALUE"""),"-58.23263311")</f>
        <v>-58.23263311</v>
      </c>
      <c r="S324" s="30" t="str">
        <f ca="1">IFERROR(__xludf.DUMMYFUNCTION("""COMPUTED_VALUE"""),"Municipal")</f>
        <v>Municipal</v>
      </c>
      <c r="T324" s="30" t="str">
        <f ca="1">IFERROR(__xludf.DUMMYFUNCTION("""COMPUTED_VALUE"""),"FLORENCIO VARELA")</f>
        <v>FLORENCIO VARELA</v>
      </c>
    </row>
    <row r="325" spans="1:20" ht="15.75" customHeight="1" x14ac:dyDescent="0.25">
      <c r="A325" s="30" t="str">
        <f ca="1">IFERROR(__xludf.DUMMYFUNCTION("""COMPUTED_VALUE"""),"50062742202363")</f>
        <v>50062742202363</v>
      </c>
      <c r="B325" s="30" t="str">
        <f ca="1">IFERROR(__xludf.DUMMYFUNCTION("""COMPUTED_VALUE"""),"UNIDAD SANITARIA LA ESMERALDA")</f>
        <v>UNIDAD SANITARIA LA ESMERALDA</v>
      </c>
      <c r="C325" s="30" t="str">
        <f ca="1">IFERROR(__xludf.DUMMYFUNCTION("""COMPUTED_VALUE"""),"Buenos Aires")</f>
        <v>Buenos Aires</v>
      </c>
      <c r="D325" s="30" t="str">
        <f ca="1">IFERROR(__xludf.DUMMYFUNCTION("""COMPUTED_VALUE"""),"6")</f>
        <v>6</v>
      </c>
      <c r="E325" s="30" t="str">
        <f ca="1">IFERROR(__xludf.DUMMYFUNCTION("""COMPUTED_VALUE"""),"")</f>
        <v/>
      </c>
      <c r="F325" s="29"/>
      <c r="G325" s="29"/>
      <c r="H325" s="30" t="str">
        <f ca="1">IFERROR(__xludf.DUMMYFUNCTION("""COMPUTED_VALUE"""),"activo")</f>
        <v>activo</v>
      </c>
      <c r="I325" s="29"/>
      <c r="J325" s="29"/>
      <c r="K325" s="29"/>
      <c r="L325" s="30" t="str">
        <f ca="1">IFERROR(__xludf.DUMMYFUNCTION("""COMPUTED_VALUE"""),"No")</f>
        <v>No</v>
      </c>
      <c r="M325" s="30" t="str">
        <f ca="1">IFERROR(__xludf.DUMMYFUNCTION("""COMPUTED_VALUE"""),"6274010003")</f>
        <v>6274010003</v>
      </c>
      <c r="N325" s="30" t="str">
        <f ca="1">IFERROR(__xludf.DUMMYFUNCTION("""COMPUTED_VALUE"""),"FLORENCIO VARELA")</f>
        <v>FLORENCIO VARELA</v>
      </c>
      <c r="O325" s="30" t="str">
        <f ca="1">IFERROR(__xludf.DUMMYFUNCTION("""COMPUTED_VALUE"""),"6274")</f>
        <v>6274</v>
      </c>
      <c r="P325" s="30" t="str">
        <f ca="1">IFERROR(__xludf.DUMMYFUNCTION("""COMPUTED_VALUE"""),"FLORENCIO VARELA")</f>
        <v>FLORENCIO VARELA</v>
      </c>
      <c r="Q325" s="30" t="str">
        <f ca="1">IFERROR(__xludf.DUMMYFUNCTION("""COMPUTED_VALUE"""),"-34.820862")</f>
        <v>-34.820862</v>
      </c>
      <c r="R325" s="30" t="str">
        <f ca="1">IFERROR(__xludf.DUMMYFUNCTION("""COMPUTED_VALUE"""),"-58.284749")</f>
        <v>-58.284749</v>
      </c>
      <c r="S325" s="30" t="str">
        <f ca="1">IFERROR(__xludf.DUMMYFUNCTION("""COMPUTED_VALUE"""),"Municipal")</f>
        <v>Municipal</v>
      </c>
      <c r="T325" s="30" t="str">
        <f ca="1">IFERROR(__xludf.DUMMYFUNCTION("""COMPUTED_VALUE"""),"FLORENCIO VARELA")</f>
        <v>FLORENCIO VARELA</v>
      </c>
    </row>
    <row r="326" spans="1:20" ht="15.75" customHeight="1" x14ac:dyDescent="0.25">
      <c r="A326" s="30" t="str">
        <f ca="1">IFERROR(__xludf.DUMMYFUNCTION("""COMPUTED_VALUE"""),"50062742202402")</f>
        <v>50062742202402</v>
      </c>
      <c r="B326" s="30" t="str">
        <f ca="1">IFERROR(__xludf.DUMMYFUNCTION("""COMPUTED_VALUE"""),"UNIDAD SANITARIA LAS MALVINAS")</f>
        <v>UNIDAD SANITARIA LAS MALVINAS</v>
      </c>
      <c r="C326" s="30" t="str">
        <f ca="1">IFERROR(__xludf.DUMMYFUNCTION("""COMPUTED_VALUE"""),"Buenos Aires")</f>
        <v>Buenos Aires</v>
      </c>
      <c r="D326" s="30" t="str">
        <f ca="1">IFERROR(__xludf.DUMMYFUNCTION("""COMPUTED_VALUE"""),"6")</f>
        <v>6</v>
      </c>
      <c r="E326" s="30" t="str">
        <f ca="1">IFERROR(__xludf.DUMMYFUNCTION("""COMPUTED_VALUE"""),"")</f>
        <v/>
      </c>
      <c r="F326" s="29"/>
      <c r="G326" s="29"/>
      <c r="H326" s="30" t="str">
        <f ca="1">IFERROR(__xludf.DUMMYFUNCTION("""COMPUTED_VALUE"""),"activo")</f>
        <v>activo</v>
      </c>
      <c r="I326" s="29"/>
      <c r="J326" s="29"/>
      <c r="K326" s="29"/>
      <c r="L326" s="30" t="str">
        <f ca="1">IFERROR(__xludf.DUMMYFUNCTION("""COMPUTED_VALUE"""),"No")</f>
        <v>No</v>
      </c>
      <c r="M326" s="30" t="str">
        <f ca="1">IFERROR(__xludf.DUMMYFUNCTION("""COMPUTED_VALUE"""),"6274010003")</f>
        <v>6274010003</v>
      </c>
      <c r="N326" s="30" t="str">
        <f ca="1">IFERROR(__xludf.DUMMYFUNCTION("""COMPUTED_VALUE"""),"FLORENCIO VARELA")</f>
        <v>FLORENCIO VARELA</v>
      </c>
      <c r="O326" s="30" t="str">
        <f ca="1">IFERROR(__xludf.DUMMYFUNCTION("""COMPUTED_VALUE"""),"6274")</f>
        <v>6274</v>
      </c>
      <c r="P326" s="30" t="str">
        <f ca="1">IFERROR(__xludf.DUMMYFUNCTION("""COMPUTED_VALUE"""),"FLORENCIO VARELA")</f>
        <v>FLORENCIO VARELA</v>
      </c>
      <c r="Q326" s="30" t="str">
        <f ca="1">IFERROR(__xludf.DUMMYFUNCTION("""COMPUTED_VALUE"""),"-34.80769792")</f>
        <v>-34.80769792</v>
      </c>
      <c r="R326" s="30" t="str">
        <f ca="1">IFERROR(__xludf.DUMMYFUNCTION("""COMPUTED_VALUE"""),"-58.32629585")</f>
        <v>-58.32629585</v>
      </c>
      <c r="S326" s="30" t="str">
        <f ca="1">IFERROR(__xludf.DUMMYFUNCTION("""COMPUTED_VALUE"""),"Municipal")</f>
        <v>Municipal</v>
      </c>
      <c r="T326" s="30" t="str">
        <f ca="1">IFERROR(__xludf.DUMMYFUNCTION("""COMPUTED_VALUE"""),"FLORENCIO VARELA")</f>
        <v>FLORENCIO VARELA</v>
      </c>
    </row>
    <row r="327" spans="1:20" ht="15.75" customHeight="1" x14ac:dyDescent="0.25">
      <c r="A327" s="30" t="str">
        <f ca="1">IFERROR(__xludf.DUMMYFUNCTION("""COMPUTED_VALUE"""),"50062742202553")</f>
        <v>50062742202553</v>
      </c>
      <c r="B327" s="30" t="str">
        <f ca="1">IFERROR(__xludf.DUMMYFUNCTION("""COMPUTED_VALUE"""),"UNIDAD SANITARIA N° 2 DE ZEBALLOS FLORENCIO VARELA")</f>
        <v>UNIDAD SANITARIA N° 2 DE ZEBALLOS FLORENCIO VARELA</v>
      </c>
      <c r="C327" s="30" t="str">
        <f ca="1">IFERROR(__xludf.DUMMYFUNCTION("""COMPUTED_VALUE"""),"Buenos Aires")</f>
        <v>Buenos Aires</v>
      </c>
      <c r="D327" s="30" t="str">
        <f ca="1">IFERROR(__xludf.DUMMYFUNCTION("""COMPUTED_VALUE"""),"6")</f>
        <v>6</v>
      </c>
      <c r="E327" s="30" t="str">
        <f ca="1">IFERROR(__xludf.DUMMYFUNCTION("""COMPUTED_VALUE"""),"")</f>
        <v/>
      </c>
      <c r="F327" s="29"/>
      <c r="G327" s="29"/>
      <c r="H327" s="30" t="str">
        <f ca="1">IFERROR(__xludf.DUMMYFUNCTION("""COMPUTED_VALUE"""),"activo")</f>
        <v>activo</v>
      </c>
      <c r="I327" s="29"/>
      <c r="J327" s="29"/>
      <c r="K327" s="29"/>
      <c r="L327" s="30" t="str">
        <f ca="1">IFERROR(__xludf.DUMMYFUNCTION("""COMPUTED_VALUE"""),"No")</f>
        <v>No</v>
      </c>
      <c r="M327" s="30" t="str">
        <f ca="1">IFERROR(__xludf.DUMMYFUNCTION("""COMPUTED_VALUE"""),"6274030")</f>
        <v>6274030</v>
      </c>
      <c r="N327" s="30" t="str">
        <f ca="1">IFERROR(__xludf.DUMMYFUNCTION("""COMPUTED_VALUE"""),"ZEBALLOS")</f>
        <v>ZEBALLOS</v>
      </c>
      <c r="O327" s="30" t="str">
        <f ca="1">IFERROR(__xludf.DUMMYFUNCTION("""COMPUTED_VALUE"""),"6274")</f>
        <v>6274</v>
      </c>
      <c r="P327" s="30" t="str">
        <f ca="1">IFERROR(__xludf.DUMMYFUNCTION("""COMPUTED_VALUE"""),"FLORENCIO VARELA")</f>
        <v>FLORENCIO VARELA</v>
      </c>
      <c r="Q327" s="30" t="str">
        <f ca="1">IFERROR(__xludf.DUMMYFUNCTION("""COMPUTED_VALUE"""),"-34.80814719")</f>
        <v>-34.80814719</v>
      </c>
      <c r="R327" s="30" t="str">
        <f ca="1">IFERROR(__xludf.DUMMYFUNCTION("""COMPUTED_VALUE"""),"-58.24920917")</f>
        <v>-58.24920917</v>
      </c>
      <c r="S327" s="30" t="str">
        <f ca="1">IFERROR(__xludf.DUMMYFUNCTION("""COMPUTED_VALUE"""),"Municipal")</f>
        <v>Municipal</v>
      </c>
      <c r="T327" s="30" t="str">
        <f ca="1">IFERROR(__xludf.DUMMYFUNCTION("""COMPUTED_VALUE"""),"FLORENCIO VARELA")</f>
        <v>FLORENCIO VARELA</v>
      </c>
    </row>
    <row r="328" spans="1:20" ht="15.75" customHeight="1" x14ac:dyDescent="0.25">
      <c r="A328" s="30" t="str">
        <f ca="1">IFERROR(__xludf.DUMMYFUNCTION("""COMPUTED_VALUE"""),"50062742202703")</f>
        <v>50062742202703</v>
      </c>
      <c r="B328" s="30" t="str">
        <f ca="1">IFERROR(__xludf.DUMMYFUNCTION("""COMPUTED_VALUE"""),"UNIDAD SANITARIA PADRE MUJICA")</f>
        <v>UNIDAD SANITARIA PADRE MUJICA</v>
      </c>
      <c r="C328" s="30" t="str">
        <f ca="1">IFERROR(__xludf.DUMMYFUNCTION("""COMPUTED_VALUE"""),"Buenos Aires")</f>
        <v>Buenos Aires</v>
      </c>
      <c r="D328" s="30" t="str">
        <f ca="1">IFERROR(__xludf.DUMMYFUNCTION("""COMPUTED_VALUE"""),"6")</f>
        <v>6</v>
      </c>
      <c r="E328" s="30" t="str">
        <f ca="1">IFERROR(__xludf.DUMMYFUNCTION("""COMPUTED_VALUE"""),"")</f>
        <v/>
      </c>
      <c r="F328" s="29"/>
      <c r="G328" s="29"/>
      <c r="H328" s="30" t="str">
        <f ca="1">IFERROR(__xludf.DUMMYFUNCTION("""COMPUTED_VALUE"""),"activo")</f>
        <v>activo</v>
      </c>
      <c r="I328" s="29"/>
      <c r="J328" s="29"/>
      <c r="K328" s="29"/>
      <c r="L328" s="30" t="str">
        <f ca="1">IFERROR(__xludf.DUMMYFUNCTION("""COMPUTED_VALUE"""),"No")</f>
        <v>No</v>
      </c>
      <c r="M328" s="30" t="str">
        <f ca="1">IFERROR(__xludf.DUMMYFUNCTION("""COMPUTED_VALUE"""),"6274010003")</f>
        <v>6274010003</v>
      </c>
      <c r="N328" s="30" t="str">
        <f ca="1">IFERROR(__xludf.DUMMYFUNCTION("""COMPUTED_VALUE"""),"FLORENCIO VARELA")</f>
        <v>FLORENCIO VARELA</v>
      </c>
      <c r="O328" s="30" t="str">
        <f ca="1">IFERROR(__xludf.DUMMYFUNCTION("""COMPUTED_VALUE"""),"6274")</f>
        <v>6274</v>
      </c>
      <c r="P328" s="30" t="str">
        <f ca="1">IFERROR(__xludf.DUMMYFUNCTION("""COMPUTED_VALUE"""),"FLORENCIO VARELA")</f>
        <v>FLORENCIO VARELA</v>
      </c>
      <c r="Q328" s="30" t="str">
        <f ca="1">IFERROR(__xludf.DUMMYFUNCTION("""COMPUTED_VALUE"""),"-34.80892238")</f>
        <v>-34.80892238</v>
      </c>
      <c r="R328" s="30" t="str">
        <f ca="1">IFERROR(__xludf.DUMMYFUNCTION("""COMPUTED_VALUE"""),"-58.31333542")</f>
        <v>-58.31333542</v>
      </c>
      <c r="S328" s="30" t="str">
        <f ca="1">IFERROR(__xludf.DUMMYFUNCTION("""COMPUTED_VALUE"""),"Municipal")</f>
        <v>Municipal</v>
      </c>
      <c r="T328" s="30" t="str">
        <f ca="1">IFERROR(__xludf.DUMMYFUNCTION("""COMPUTED_VALUE"""),"FLORENCIO VARELA")</f>
        <v>FLORENCIO VARELA</v>
      </c>
    </row>
    <row r="329" spans="1:20" ht="15.75" customHeight="1" x14ac:dyDescent="0.25">
      <c r="A329" s="30" t="str">
        <f ca="1">IFERROR(__xludf.DUMMYFUNCTION("""COMPUTED_VALUE"""),"50062742202723")</f>
        <v>50062742202723</v>
      </c>
      <c r="B329" s="30" t="str">
        <f ca="1">IFERROR(__xludf.DUMMYFUNCTION("""COMPUTED_VALUE"""),"UNIDAD SANITARIA PICO DE ORO DR. NICOLAS BOCUZZI")</f>
        <v>UNIDAD SANITARIA PICO DE ORO DR. NICOLAS BOCUZZI</v>
      </c>
      <c r="C329" s="30" t="str">
        <f ca="1">IFERROR(__xludf.DUMMYFUNCTION("""COMPUTED_VALUE"""),"Buenos Aires")</f>
        <v>Buenos Aires</v>
      </c>
      <c r="D329" s="30" t="str">
        <f ca="1">IFERROR(__xludf.DUMMYFUNCTION("""COMPUTED_VALUE"""),"6")</f>
        <v>6</v>
      </c>
      <c r="E329" s="30" t="str">
        <f ca="1">IFERROR(__xludf.DUMMYFUNCTION("""COMPUTED_VALUE"""),"")</f>
        <v/>
      </c>
      <c r="F329" s="29"/>
      <c r="G329" s="29"/>
      <c r="H329" s="30" t="str">
        <f ca="1">IFERROR(__xludf.DUMMYFUNCTION("""COMPUTED_VALUE"""),"activo")</f>
        <v>activo</v>
      </c>
      <c r="I329" s="29"/>
      <c r="J329" s="29"/>
      <c r="K329" s="29"/>
      <c r="L329" s="30" t="str">
        <f ca="1">IFERROR(__xludf.DUMMYFUNCTION("""COMPUTED_VALUE"""),"No")</f>
        <v>No</v>
      </c>
      <c r="M329" s="30" t="str">
        <f ca="1">IFERROR(__xludf.DUMMYFUNCTION("""COMPUTED_VALUE"""),"6274010003")</f>
        <v>6274010003</v>
      </c>
      <c r="N329" s="30" t="str">
        <f ca="1">IFERROR(__xludf.DUMMYFUNCTION("""COMPUTED_VALUE"""),"FLORENCIO VARELA")</f>
        <v>FLORENCIO VARELA</v>
      </c>
      <c r="O329" s="30" t="str">
        <f ca="1">IFERROR(__xludf.DUMMYFUNCTION("""COMPUTED_VALUE"""),"6274")</f>
        <v>6274</v>
      </c>
      <c r="P329" s="30" t="str">
        <f ca="1">IFERROR(__xludf.DUMMYFUNCTION("""COMPUTED_VALUE"""),"FLORENCIO VARELA")</f>
        <v>FLORENCIO VARELA</v>
      </c>
      <c r="Q329" s="30" t="str">
        <f ca="1">IFERROR(__xludf.DUMMYFUNCTION("""COMPUTED_VALUE"""),"-34.83789016")</f>
        <v>-34.83789016</v>
      </c>
      <c r="R329" s="30" t="str">
        <f ca="1">IFERROR(__xludf.DUMMYFUNCTION("""COMPUTED_VALUE"""),"-58.28591251")</f>
        <v>-58.28591251</v>
      </c>
      <c r="S329" s="30" t="str">
        <f ca="1">IFERROR(__xludf.DUMMYFUNCTION("""COMPUTED_VALUE"""),"Municipal")</f>
        <v>Municipal</v>
      </c>
      <c r="T329" s="30" t="str">
        <f ca="1">IFERROR(__xludf.DUMMYFUNCTION("""COMPUTED_VALUE"""),"FLORENCIO VARELA")</f>
        <v>FLORENCIO VARELA</v>
      </c>
    </row>
    <row r="330" spans="1:20" ht="15.75" customHeight="1" x14ac:dyDescent="0.25">
      <c r="A330" s="30" t="str">
        <f ca="1">IFERROR(__xludf.DUMMYFUNCTION("""COMPUTED_VALUE"""),"50062742202783")</f>
        <v>50062742202783</v>
      </c>
      <c r="B330" s="30" t="str">
        <f ca="1">IFERROR(__xludf.DUMMYFUNCTION("""COMPUTED_VALUE"""),"UNIDAD SANITARIA SAN EDUARDO")</f>
        <v>UNIDAD SANITARIA SAN EDUARDO</v>
      </c>
      <c r="C330" s="30" t="str">
        <f ca="1">IFERROR(__xludf.DUMMYFUNCTION("""COMPUTED_VALUE"""),"Buenos Aires")</f>
        <v>Buenos Aires</v>
      </c>
      <c r="D330" s="30" t="str">
        <f ca="1">IFERROR(__xludf.DUMMYFUNCTION("""COMPUTED_VALUE"""),"6")</f>
        <v>6</v>
      </c>
      <c r="E330" s="30" t="str">
        <f ca="1">IFERROR(__xludf.DUMMYFUNCTION("""COMPUTED_VALUE"""),"")</f>
        <v/>
      </c>
      <c r="F330" s="29"/>
      <c r="G330" s="29"/>
      <c r="H330" s="30" t="str">
        <f ca="1">IFERROR(__xludf.DUMMYFUNCTION("""COMPUTED_VALUE"""),"inactivo")</f>
        <v>inactivo</v>
      </c>
      <c r="I330" s="30" t="str">
        <f ca="1">IFERROR(__xludf.DUMMYFUNCTION("""COMPUTED_VALUE"""),"- fuera circular 2")</f>
        <v>- fuera circular 2</v>
      </c>
      <c r="J330" s="29"/>
      <c r="K330" s="29"/>
      <c r="L330" s="30" t="str">
        <f ca="1">IFERROR(__xludf.DUMMYFUNCTION("""COMPUTED_VALUE"""),"No")</f>
        <v>No</v>
      </c>
      <c r="M330" s="30" t="str">
        <f ca="1">IFERROR(__xludf.DUMMYFUNCTION("""COMPUTED_VALUE"""),"6274010003")</f>
        <v>6274010003</v>
      </c>
      <c r="N330" s="30" t="str">
        <f ca="1">IFERROR(__xludf.DUMMYFUNCTION("""COMPUTED_VALUE"""),"FLORENCIO VARELA")</f>
        <v>FLORENCIO VARELA</v>
      </c>
      <c r="O330" s="30" t="str">
        <f ca="1">IFERROR(__xludf.DUMMYFUNCTION("""COMPUTED_VALUE"""),"6274")</f>
        <v>6274</v>
      </c>
      <c r="P330" s="30" t="str">
        <f ca="1">IFERROR(__xludf.DUMMYFUNCTION("""COMPUTED_VALUE"""),"FLORENCIO VARELA")</f>
        <v>FLORENCIO VARELA</v>
      </c>
      <c r="Q330" s="30" t="str">
        <f ca="1">IFERROR(__xludf.DUMMYFUNCTION("""COMPUTED_VALUE"""),"-34.7845693")</f>
        <v>-34.7845693</v>
      </c>
      <c r="R330" s="30" t="str">
        <f ca="1">IFERROR(__xludf.DUMMYFUNCTION("""COMPUTED_VALUE"""),"-58.2823558")</f>
        <v>-58.2823558</v>
      </c>
      <c r="S330" s="30" t="str">
        <f ca="1">IFERROR(__xludf.DUMMYFUNCTION("""COMPUTED_VALUE"""),"Municipal")</f>
        <v>Municipal</v>
      </c>
      <c r="T330" s="30" t="str">
        <f ca="1">IFERROR(__xludf.DUMMYFUNCTION("""COMPUTED_VALUE"""),"FLORENCIO VARELA")</f>
        <v>FLORENCIO VARELA</v>
      </c>
    </row>
    <row r="331" spans="1:20" ht="15.75" customHeight="1" x14ac:dyDescent="0.25">
      <c r="A331" s="30" t="str">
        <f ca="1">IFERROR(__xludf.DUMMYFUNCTION("""COMPUTED_VALUE"""),"50062742202867")</f>
        <v>50062742202867</v>
      </c>
      <c r="B331" s="30" t="str">
        <f ca="1">IFERROR(__xludf.DUMMYFUNCTION("""COMPUTED_VALUE"""),"UNIDAD SANITARIA VILLA ANGELICA")</f>
        <v>UNIDAD SANITARIA VILLA ANGELICA</v>
      </c>
      <c r="C331" s="30" t="str">
        <f ca="1">IFERROR(__xludf.DUMMYFUNCTION("""COMPUTED_VALUE"""),"Buenos Aires")</f>
        <v>Buenos Aires</v>
      </c>
      <c r="D331" s="30" t="str">
        <f ca="1">IFERROR(__xludf.DUMMYFUNCTION("""COMPUTED_VALUE"""),"6")</f>
        <v>6</v>
      </c>
      <c r="E331" s="30" t="str">
        <f ca="1">IFERROR(__xludf.DUMMYFUNCTION("""COMPUTED_VALUE"""),"")</f>
        <v/>
      </c>
      <c r="F331" s="29"/>
      <c r="G331" s="29"/>
      <c r="H331" s="30" t="str">
        <f ca="1">IFERROR(__xludf.DUMMYFUNCTION("""COMPUTED_VALUE"""),"activo")</f>
        <v>activo</v>
      </c>
      <c r="I331" s="29"/>
      <c r="J331" s="29"/>
      <c r="K331" s="29"/>
      <c r="L331" s="30" t="str">
        <f ca="1">IFERROR(__xludf.DUMMYFUNCTION("""COMPUTED_VALUE"""),"No")</f>
        <v>No</v>
      </c>
      <c r="M331" s="30" t="str">
        <f ca="1">IFERROR(__xludf.DUMMYFUNCTION("""COMPUTED_VALUE"""),"6274010003")</f>
        <v>6274010003</v>
      </c>
      <c r="N331" s="30" t="str">
        <f ca="1">IFERROR(__xludf.DUMMYFUNCTION("""COMPUTED_VALUE"""),"FLORENCIO VARELA")</f>
        <v>FLORENCIO VARELA</v>
      </c>
      <c r="O331" s="30" t="str">
        <f ca="1">IFERROR(__xludf.DUMMYFUNCTION("""COMPUTED_VALUE"""),"6274")</f>
        <v>6274</v>
      </c>
      <c r="P331" s="30" t="str">
        <f ca="1">IFERROR(__xludf.DUMMYFUNCTION("""COMPUTED_VALUE"""),"FLORENCIO VARELA")</f>
        <v>FLORENCIO VARELA</v>
      </c>
      <c r="Q331" s="30" t="str">
        <f ca="1">IFERROR(__xludf.DUMMYFUNCTION("""COMPUTED_VALUE"""),"-34.79718793")</f>
        <v>-34.79718793</v>
      </c>
      <c r="R331" s="30" t="str">
        <f ca="1">IFERROR(__xludf.DUMMYFUNCTION("""COMPUTED_VALUE"""),"-58.26130056")</f>
        <v>-58.26130056</v>
      </c>
      <c r="S331" s="30" t="str">
        <f ca="1">IFERROR(__xludf.DUMMYFUNCTION("""COMPUTED_VALUE"""),"Municipal")</f>
        <v>Municipal</v>
      </c>
      <c r="T331" s="30" t="str">
        <f ca="1">IFERROR(__xludf.DUMMYFUNCTION("""COMPUTED_VALUE"""),"FLORENCIO VARELA")</f>
        <v>FLORENCIO VARELA</v>
      </c>
    </row>
    <row r="332" spans="1:20" ht="15.75" customHeight="1" x14ac:dyDescent="0.25">
      <c r="A332" s="30" t="str">
        <f ca="1">IFERROR(__xludf.DUMMYFUNCTION("""COMPUTED_VALUE"""),"50062742202930")</f>
        <v>50062742202930</v>
      </c>
      <c r="B332" s="30" t="str">
        <f ca="1">IFERROR(__xludf.DUMMYFUNCTION("""COMPUTED_VALUE"""),"UNIDAD SANITARIA 20 DE JUNIO DE FLORENCIO VARELA")</f>
        <v>UNIDAD SANITARIA 20 DE JUNIO DE FLORENCIO VARELA</v>
      </c>
      <c r="C332" s="30" t="str">
        <f ca="1">IFERROR(__xludf.DUMMYFUNCTION("""COMPUTED_VALUE"""),"Buenos Aires")</f>
        <v>Buenos Aires</v>
      </c>
      <c r="D332" s="30" t="str">
        <f ca="1">IFERROR(__xludf.DUMMYFUNCTION("""COMPUTED_VALUE"""),"6")</f>
        <v>6</v>
      </c>
      <c r="E332" s="30" t="str">
        <f ca="1">IFERROR(__xludf.DUMMYFUNCTION("""COMPUTED_VALUE"""),"")</f>
        <v/>
      </c>
      <c r="F332" s="29"/>
      <c r="G332" s="29"/>
      <c r="H332" s="30" t="str">
        <f ca="1">IFERROR(__xludf.DUMMYFUNCTION("""COMPUTED_VALUE"""),"activo")</f>
        <v>activo</v>
      </c>
      <c r="I332" s="29"/>
      <c r="J332" s="29"/>
      <c r="K332" s="29"/>
      <c r="L332" s="30" t="str">
        <f ca="1">IFERROR(__xludf.DUMMYFUNCTION("""COMPUTED_VALUE"""),"No")</f>
        <v>No</v>
      </c>
      <c r="M332" s="30" t="str">
        <f ca="1">IFERROR(__xludf.DUMMYFUNCTION("""COMPUTED_VALUE"""),"6274010003")</f>
        <v>6274010003</v>
      </c>
      <c r="N332" s="30" t="str">
        <f ca="1">IFERROR(__xludf.DUMMYFUNCTION("""COMPUTED_VALUE"""),"FLORENCIO VARELA")</f>
        <v>FLORENCIO VARELA</v>
      </c>
      <c r="O332" s="30" t="str">
        <f ca="1">IFERROR(__xludf.DUMMYFUNCTION("""COMPUTED_VALUE"""),"6274")</f>
        <v>6274</v>
      </c>
      <c r="P332" s="30" t="str">
        <f ca="1">IFERROR(__xludf.DUMMYFUNCTION("""COMPUTED_VALUE"""),"FLORENCIO VARELA")</f>
        <v>FLORENCIO VARELA</v>
      </c>
      <c r="Q332" s="30" t="str">
        <f ca="1">IFERROR(__xludf.DUMMYFUNCTION("""COMPUTED_VALUE"""),"-34.80050934")</f>
        <v>-34.80050934</v>
      </c>
      <c r="R332" s="30" t="str">
        <f ca="1">IFERROR(__xludf.DUMMYFUNCTION("""COMPUTED_VALUE"""),"-58.29154515")</f>
        <v>-58.29154515</v>
      </c>
      <c r="S332" s="30" t="str">
        <f ca="1">IFERROR(__xludf.DUMMYFUNCTION("""COMPUTED_VALUE"""),"Municipal")</f>
        <v>Municipal</v>
      </c>
      <c r="T332" s="30" t="str">
        <f ca="1">IFERROR(__xludf.DUMMYFUNCTION("""COMPUTED_VALUE"""),"FLORENCIO VARELA")</f>
        <v>FLORENCIO VARELA</v>
      </c>
    </row>
    <row r="333" spans="1:20" ht="15.75" customHeight="1" x14ac:dyDescent="0.25">
      <c r="A333" s="30" t="str">
        <f ca="1">IFERROR(__xludf.DUMMYFUNCTION("""COMPUTED_VALUE"""),"50062802202331")</f>
        <v>50062802202331</v>
      </c>
      <c r="B333" s="30" t="str">
        <f ca="1">IFERROR(__xludf.DUMMYFUNCTION("""COMPUTED_VALUE"""),"UNIDAD SANITARIA IRENE MARTINEZ DE HOZ DE CAMPOS (COMANDANTE N. OTAMENDI)")</f>
        <v>UNIDAD SANITARIA IRENE MARTINEZ DE HOZ DE CAMPOS (COMANDANTE N. OTAMENDI)</v>
      </c>
      <c r="C333" s="30" t="str">
        <f ca="1">IFERROR(__xludf.DUMMYFUNCTION("""COMPUTED_VALUE"""),"Buenos Aires")</f>
        <v>Buenos Aires</v>
      </c>
      <c r="D333" s="30" t="str">
        <f ca="1">IFERROR(__xludf.DUMMYFUNCTION("""COMPUTED_VALUE"""),"6")</f>
        <v>6</v>
      </c>
      <c r="E333" s="30" t="str">
        <f ca="1">IFERROR(__xludf.DUMMYFUNCTION("""COMPUTED_VALUE"""),"")</f>
        <v/>
      </c>
      <c r="F333" s="29"/>
      <c r="G333" s="29"/>
      <c r="H333" s="30" t="str">
        <f ca="1">IFERROR(__xludf.DUMMYFUNCTION("""COMPUTED_VALUE"""),"inactivo")</f>
        <v>inactivo</v>
      </c>
      <c r="I333" s="30" t="str">
        <f ca="1">IFERROR(__xludf.DUMMYFUNCTION("""COMPUTED_VALUE"""),"Efector dado de baja por nota enviada el 31-3-2022")</f>
        <v>Efector dado de baja por nota enviada el 31-3-2022</v>
      </c>
      <c r="J333" s="29"/>
      <c r="K333" s="29"/>
      <c r="L333" s="30" t="str">
        <f ca="1">IFERROR(__xludf.DUMMYFUNCTION("""COMPUTED_VALUE"""),"No")</f>
        <v>No</v>
      </c>
      <c r="M333" s="30" t="str">
        <f ca="1">IFERROR(__xludf.DUMMYFUNCTION("""COMPUTED_VALUE"""),"6280010000")</f>
        <v>6280010000</v>
      </c>
      <c r="N333" s="30" t="str">
        <f ca="1">IFERROR(__xludf.DUMMYFUNCTION("""COMPUTED_VALUE"""),"COMANDANTE NICANOR OTAMENDI")</f>
        <v>COMANDANTE NICANOR OTAMENDI</v>
      </c>
      <c r="O333" s="30" t="str">
        <f ca="1">IFERROR(__xludf.DUMMYFUNCTION("""COMPUTED_VALUE"""),"6280")</f>
        <v>6280</v>
      </c>
      <c r="P333" s="30" t="str">
        <f ca="1">IFERROR(__xludf.DUMMYFUNCTION("""COMPUTED_VALUE"""),"GENERAL ALVARADO")</f>
        <v>GENERAL ALVARADO</v>
      </c>
      <c r="Q333" s="30" t="str">
        <f ca="1">IFERROR(__xludf.DUMMYFUNCTION("""COMPUTED_VALUE"""),"-38.11671283")</f>
        <v>-38.11671283</v>
      </c>
      <c r="R333" s="30" t="str">
        <f ca="1">IFERROR(__xludf.DUMMYFUNCTION("""COMPUTED_VALUE"""),"-57.85148141")</f>
        <v>-57.85148141</v>
      </c>
      <c r="S333" s="30" t="str">
        <f ca="1">IFERROR(__xludf.DUMMYFUNCTION("""COMPUTED_VALUE"""),"Municipal")</f>
        <v>Municipal</v>
      </c>
      <c r="T333" s="30" t="str">
        <f ca="1">IFERROR(__xludf.DUMMYFUNCTION("""COMPUTED_VALUE"""),"GENERAL ALVARADO")</f>
        <v>GENERAL ALVARADO</v>
      </c>
    </row>
    <row r="334" spans="1:20" ht="15.75" customHeight="1" x14ac:dyDescent="0.25">
      <c r="A334" s="30" t="str">
        <f ca="1">IFERROR(__xludf.DUMMYFUNCTION("""COMPUTED_VALUE"""),"50062942202064")</f>
        <v>50062942202064</v>
      </c>
      <c r="B334" s="30" t="str">
        <f ca="1">IFERROR(__xludf.DUMMYFUNCTION("""COMPUTED_VALUE"""),"UNIDAD SANITARIA ASCENCION")</f>
        <v>UNIDAD SANITARIA ASCENCION</v>
      </c>
      <c r="C334" s="30" t="str">
        <f ca="1">IFERROR(__xludf.DUMMYFUNCTION("""COMPUTED_VALUE"""),"Buenos Aires")</f>
        <v>Buenos Aires</v>
      </c>
      <c r="D334" s="30" t="str">
        <f ca="1">IFERROR(__xludf.DUMMYFUNCTION("""COMPUTED_VALUE"""),"6")</f>
        <v>6</v>
      </c>
      <c r="E334" s="30" t="str">
        <f ca="1">IFERROR(__xludf.DUMMYFUNCTION("""COMPUTED_VALUE"""),"")</f>
        <v/>
      </c>
      <c r="F334" s="29"/>
      <c r="G334" s="30" t="str">
        <f ca="1">IFERROR(__xludf.DUMMYFUNCTION("""COMPUTED_VALUE"""),"50064342201242")</f>
        <v>50064342201242</v>
      </c>
      <c r="H334" s="30" t="str">
        <f ca="1">IFERROR(__xludf.DUMMYFUNCTION("""COMPUTED_VALUE"""),"inactivo")</f>
        <v>inactivo</v>
      </c>
      <c r="I334" s="29"/>
      <c r="J334" s="29"/>
      <c r="K334" s="29"/>
      <c r="L334" s="30" t="str">
        <f ca="1">IFERROR(__xludf.DUMMYFUNCTION("""COMPUTED_VALUE"""),"No")</f>
        <v>No</v>
      </c>
      <c r="M334" s="30" t="str">
        <f ca="1">IFERROR(__xludf.DUMMYFUNCTION("""COMPUTED_VALUE"""),"6294020000")</f>
        <v>6294020000</v>
      </c>
      <c r="N334" s="30" t="str">
        <f ca="1">IFERROR(__xludf.DUMMYFUNCTION("""COMPUTED_VALUE"""),"ASCENSION")</f>
        <v>ASCENSION</v>
      </c>
      <c r="O334" s="30" t="str">
        <f ca="1">IFERROR(__xludf.DUMMYFUNCTION("""COMPUTED_VALUE"""),"6294")</f>
        <v>6294</v>
      </c>
      <c r="P334" s="30" t="str">
        <f ca="1">IFERROR(__xludf.DUMMYFUNCTION("""COMPUTED_VALUE"""),"GENERAL ARENALES")</f>
        <v>GENERAL ARENALES</v>
      </c>
      <c r="Q334" s="30" t="str">
        <f ca="1">IFERROR(__xludf.DUMMYFUNCTION("""COMPUTED_VALUE"""),"-34.21327851")</f>
        <v>-34.21327851</v>
      </c>
      <c r="R334" s="30" t="str">
        <f ca="1">IFERROR(__xludf.DUMMYFUNCTION("""COMPUTED_VALUE"""),"-61.11666871")</f>
        <v>-61.11666871</v>
      </c>
      <c r="S334" s="30" t="str">
        <f ca="1">IFERROR(__xludf.DUMMYFUNCTION("""COMPUTED_VALUE"""),"Municipal")</f>
        <v>Municipal</v>
      </c>
      <c r="T334" s="30" t="str">
        <f ca="1">IFERROR(__xludf.DUMMYFUNCTION("""COMPUTED_VALUE"""),"GENERAL ARENALES")</f>
        <v>GENERAL ARENALES</v>
      </c>
    </row>
    <row r="335" spans="1:20" ht="15.75" customHeight="1" x14ac:dyDescent="0.25">
      <c r="A335" s="30" t="str">
        <f ca="1">IFERROR(__xludf.DUMMYFUNCTION("""COMPUTED_VALUE"""),"50064342201242")</f>
        <v>50064342201242</v>
      </c>
      <c r="B335" s="30" t="str">
        <f ca="1">IFERROR(__xludf.DUMMYFUNCTION("""COMPUTED_VALUE"""),"CENTRO DE SALUD EVA PERON DE LANUS")</f>
        <v>CENTRO DE SALUD EVA PERON DE LANUS</v>
      </c>
      <c r="C335" s="30" t="str">
        <f ca="1">IFERROR(__xludf.DUMMYFUNCTION("""COMPUTED_VALUE"""),"Buenos Aires")</f>
        <v>Buenos Aires</v>
      </c>
      <c r="D335" s="30" t="str">
        <f ca="1">IFERROR(__xludf.DUMMYFUNCTION("""COMPUTED_VALUE"""),"6")</f>
        <v>6</v>
      </c>
      <c r="E335" s="30" t="str">
        <f ca="1">IFERROR(__xludf.DUMMYFUNCTION("""COMPUTED_VALUE"""),"")</f>
        <v/>
      </c>
      <c r="F335" s="30" t="str">
        <f ca="1">IFERROR(__xludf.DUMMYFUNCTION("""COMPUTED_VALUE"""),"50062942202064")</f>
        <v>50062942202064</v>
      </c>
      <c r="G335" s="29"/>
      <c r="H335" s="30" t="str">
        <f ca="1">IFERROR(__xludf.DUMMYFUNCTION("""COMPUTED_VALUE"""),"activo")</f>
        <v>activo</v>
      </c>
      <c r="I335" s="29"/>
      <c r="J335" s="29"/>
      <c r="K335" s="29"/>
      <c r="L335" s="30" t="str">
        <f ca="1">IFERROR(__xludf.DUMMYFUNCTION("""COMPUTED_VALUE"""),"No")</f>
        <v>No</v>
      </c>
      <c r="M335" s="30" t="str">
        <f ca="1">IFERROR(__xludf.DUMMYFUNCTION("""COMPUTED_VALUE"""),"6434010003")</f>
        <v>6434010003</v>
      </c>
      <c r="N335" s="30" t="str">
        <f ca="1">IFERROR(__xludf.DUMMYFUNCTION("""COMPUTED_VALUE"""),"LANUS OESTE")</f>
        <v>LANUS OESTE</v>
      </c>
      <c r="O335" s="30" t="str">
        <f ca="1">IFERROR(__xludf.DUMMYFUNCTION("""COMPUTED_VALUE"""),"6434")</f>
        <v>6434</v>
      </c>
      <c r="P335" s="30" t="str">
        <f ca="1">IFERROR(__xludf.DUMMYFUNCTION("""COMPUTED_VALUE"""),"LANÚS")</f>
        <v>LANÚS</v>
      </c>
      <c r="Q335" s="30" t="str">
        <f ca="1">IFERROR(__xludf.DUMMYFUNCTION("""COMPUTED_VALUE"""),"-34.6984114")</f>
        <v>-34.6984114</v>
      </c>
      <c r="R335" s="30" t="str">
        <f ca="1">IFERROR(__xludf.DUMMYFUNCTION("""COMPUTED_VALUE"""),"-58.3922001")</f>
        <v>-58.3922001</v>
      </c>
      <c r="S335" s="30" t="str">
        <f ca="1">IFERROR(__xludf.DUMMYFUNCTION("""COMPUTED_VALUE"""),"Municipal")</f>
        <v>Municipal</v>
      </c>
      <c r="T335" s="30" t="str">
        <f ca="1">IFERROR(__xludf.DUMMYFUNCTION("""COMPUTED_VALUE"""),"LANÚS")</f>
        <v>LANÚS</v>
      </c>
    </row>
    <row r="336" spans="1:20" ht="15.75" customHeight="1" x14ac:dyDescent="0.25">
      <c r="A336" s="30" t="str">
        <f ca="1">IFERROR(__xludf.DUMMYFUNCTION("""COMPUTED_VALUE"""),"50063152202090")</f>
        <v>50063152202090</v>
      </c>
      <c r="B336" s="30" t="str">
        <f ca="1">IFERROR(__xludf.DUMMYFUNCTION("""COMPUTED_VALUE"""),"UNIDAD SANITARIA BARRIO GENERAL BELGRANO DE GENERAL MADARIAGA")</f>
        <v>UNIDAD SANITARIA BARRIO GENERAL BELGRANO DE GENERAL MADARIAGA</v>
      </c>
      <c r="C336" s="30" t="str">
        <f ca="1">IFERROR(__xludf.DUMMYFUNCTION("""COMPUTED_VALUE"""),"Buenos Aires")</f>
        <v>Buenos Aires</v>
      </c>
      <c r="D336" s="30" t="str">
        <f ca="1">IFERROR(__xludf.DUMMYFUNCTION("""COMPUTED_VALUE"""),"6")</f>
        <v>6</v>
      </c>
      <c r="E336" s="30" t="str">
        <f ca="1">IFERROR(__xludf.DUMMYFUNCTION("""COMPUTED_VALUE"""),"")</f>
        <v/>
      </c>
      <c r="F336" s="29"/>
      <c r="G336" s="30" t="str">
        <f ca="1">IFERROR(__xludf.DUMMYFUNCTION("""COMPUTED_VALUE"""),"50064342201260")</f>
        <v>50064342201260</v>
      </c>
      <c r="H336" s="30" t="str">
        <f ca="1">IFERROR(__xludf.DUMMYFUNCTION("""COMPUTED_VALUE"""),"inactivo")</f>
        <v>inactivo</v>
      </c>
      <c r="I336" s="29"/>
      <c r="J336" s="29"/>
      <c r="K336" s="29"/>
      <c r="L336" s="30" t="str">
        <f ca="1">IFERROR(__xludf.DUMMYFUNCTION("""COMPUTED_VALUE"""),"No")</f>
        <v>No</v>
      </c>
      <c r="M336" s="30" t="str">
        <f ca="1">IFERROR(__xludf.DUMMYFUNCTION("""COMPUTED_VALUE"""),"6315010002")</f>
        <v>6315010002</v>
      </c>
      <c r="N336" s="30" t="str">
        <f ca="1">IFERROR(__xludf.DUMMYFUNCTION("""COMPUTED_VALUE"""),"GENERAL JUAN MADARIAGA")</f>
        <v>GENERAL JUAN MADARIAGA</v>
      </c>
      <c r="O336" s="30" t="str">
        <f ca="1">IFERROR(__xludf.DUMMYFUNCTION("""COMPUTED_VALUE"""),"6315")</f>
        <v>6315</v>
      </c>
      <c r="P336" s="30" t="str">
        <f ca="1">IFERROR(__xludf.DUMMYFUNCTION("""COMPUTED_VALUE"""),"GENERAL JUAN MADARIAGA")</f>
        <v>GENERAL JUAN MADARIAGA</v>
      </c>
      <c r="Q336" s="30" t="str">
        <f ca="1">IFERROR(__xludf.DUMMYFUNCTION("""COMPUTED_VALUE"""),"-36.99567043")</f>
        <v>-36.99567043</v>
      </c>
      <c r="R336" s="30" t="str">
        <f ca="1">IFERROR(__xludf.DUMMYFUNCTION("""COMPUTED_VALUE"""),"-57.13364411")</f>
        <v>-57.13364411</v>
      </c>
      <c r="S336" s="30" t="str">
        <f ca="1">IFERROR(__xludf.DUMMYFUNCTION("""COMPUTED_VALUE"""),"Municipal")</f>
        <v>Municipal</v>
      </c>
      <c r="T336" s="30" t="str">
        <f ca="1">IFERROR(__xludf.DUMMYFUNCTION("""COMPUTED_VALUE"""),"GENERAL JUAN MADARIAGA")</f>
        <v>GENERAL JUAN MADARIAGA</v>
      </c>
    </row>
    <row r="337" spans="1:20" ht="15.75" customHeight="1" x14ac:dyDescent="0.25">
      <c r="A337" s="30" t="str">
        <f ca="1">IFERROR(__xludf.DUMMYFUNCTION("""COMPUTED_VALUE"""),"50064342201260")</f>
        <v>50064342201260</v>
      </c>
      <c r="B337" s="30" t="str">
        <f ca="1">IFERROR(__xludf.DUMMYFUNCTION("""COMPUTED_VALUE"""),"CENTRO DE SALUD LOS CEIBOS")</f>
        <v>CENTRO DE SALUD LOS CEIBOS</v>
      </c>
      <c r="C337" s="30" t="str">
        <f ca="1">IFERROR(__xludf.DUMMYFUNCTION("""COMPUTED_VALUE"""),"Buenos Aires")</f>
        <v>Buenos Aires</v>
      </c>
      <c r="D337" s="30" t="str">
        <f ca="1">IFERROR(__xludf.DUMMYFUNCTION("""COMPUTED_VALUE"""),"6")</f>
        <v>6</v>
      </c>
      <c r="E337" s="30" t="str">
        <f ca="1">IFERROR(__xludf.DUMMYFUNCTION("""COMPUTED_VALUE"""),"")</f>
        <v/>
      </c>
      <c r="F337" s="30" t="str">
        <f ca="1">IFERROR(__xludf.DUMMYFUNCTION("""COMPUTED_VALUE"""),"50063152202090")</f>
        <v>50063152202090</v>
      </c>
      <c r="G337" s="29"/>
      <c r="H337" s="30" t="str">
        <f ca="1">IFERROR(__xludf.DUMMYFUNCTION("""COMPUTED_VALUE"""),"activo")</f>
        <v>activo</v>
      </c>
      <c r="I337" s="29"/>
      <c r="J337" s="29"/>
      <c r="K337" s="29"/>
      <c r="L337" s="30" t="str">
        <f ca="1">IFERROR(__xludf.DUMMYFUNCTION("""COMPUTED_VALUE"""),"No")</f>
        <v>No</v>
      </c>
      <c r="M337" s="30" t="str">
        <f ca="1">IFERROR(__xludf.DUMMYFUNCTION("""COMPUTED_VALUE"""),"6434010003")</f>
        <v>6434010003</v>
      </c>
      <c r="N337" s="30" t="str">
        <f ca="1">IFERROR(__xludf.DUMMYFUNCTION("""COMPUTED_VALUE"""),"LANUS OESTE")</f>
        <v>LANUS OESTE</v>
      </c>
      <c r="O337" s="30" t="str">
        <f ca="1">IFERROR(__xludf.DUMMYFUNCTION("""COMPUTED_VALUE"""),"6434")</f>
        <v>6434</v>
      </c>
      <c r="P337" s="30" t="str">
        <f ca="1">IFERROR(__xludf.DUMMYFUNCTION("""COMPUTED_VALUE"""),"LANÚS")</f>
        <v>LANÚS</v>
      </c>
      <c r="Q337" s="30" t="str">
        <f ca="1">IFERROR(__xludf.DUMMYFUNCTION("""COMPUTED_VALUE"""),"-34.72487764")</f>
        <v>-34.72487764</v>
      </c>
      <c r="R337" s="30" t="str">
        <f ca="1">IFERROR(__xludf.DUMMYFUNCTION("""COMPUTED_VALUE"""),"-58.36581659")</f>
        <v>-58.36581659</v>
      </c>
      <c r="S337" s="30" t="str">
        <f ca="1">IFERROR(__xludf.DUMMYFUNCTION("""COMPUTED_VALUE"""),"Municipal")</f>
        <v>Municipal</v>
      </c>
      <c r="T337" s="30" t="str">
        <f ca="1">IFERROR(__xludf.DUMMYFUNCTION("""COMPUTED_VALUE"""),"LANÚS")</f>
        <v>LANÚS</v>
      </c>
    </row>
    <row r="338" spans="1:20" ht="15.75" customHeight="1" x14ac:dyDescent="0.25">
      <c r="A338" s="30" t="str">
        <f ca="1">IFERROR(__xludf.DUMMYFUNCTION("""COMPUTED_VALUE"""),"50063572201587")</f>
        <v>50063572201587</v>
      </c>
      <c r="B338" s="30" t="str">
        <f ca="1">IFERROR(__xludf.DUMMYFUNCTION("""COMPUTED_VALUE"""),"CENTRO DE SALUD Nº 2 DR. OÑATIVIA")</f>
        <v>CENTRO DE SALUD Nº 2 DR. OÑATIVIA</v>
      </c>
      <c r="C338" s="30" t="str">
        <f ca="1">IFERROR(__xludf.DUMMYFUNCTION("""COMPUTED_VALUE"""),"Buenos Aires")</f>
        <v>Buenos Aires</v>
      </c>
      <c r="D338" s="30" t="str">
        <f ca="1">IFERROR(__xludf.DUMMYFUNCTION("""COMPUTED_VALUE"""),"6")</f>
        <v>6</v>
      </c>
      <c r="E338" s="30" t="str">
        <f ca="1">IFERROR(__xludf.DUMMYFUNCTION("""COMPUTED_VALUE"""),"")</f>
        <v/>
      </c>
      <c r="F338" s="29"/>
      <c r="G338" s="29"/>
      <c r="H338" s="30" t="str">
        <f ca="1">IFERROR(__xludf.DUMMYFUNCTION("""COMPUTED_VALUE"""),"activo")</f>
        <v>activo</v>
      </c>
      <c r="I338" s="30" t="str">
        <f ca="1">IFERROR(__xludf.DUMMYFUNCTION("""COMPUTED_VALUE"""),"2020")</f>
        <v>2020</v>
      </c>
      <c r="J338" s="29"/>
      <c r="K338" s="29"/>
      <c r="L338" s="30" t="str">
        <f ca="1">IFERROR(__xludf.DUMMYFUNCTION("""COMPUTED_VALUE"""),"No")</f>
        <v>No</v>
      </c>
      <c r="M338" s="30" t="str">
        <f ca="1">IFERROR(__xludf.DUMMYFUNCTION("""COMPUTED_VALUE"""),"6357110003")</f>
        <v>6357110003</v>
      </c>
      <c r="N338" s="30" t="str">
        <f ca="1">IFERROR(__xludf.DUMMYFUNCTION("""COMPUTED_VALUE"""),"MAR DEL PLATA")</f>
        <v>MAR DEL PLATA</v>
      </c>
      <c r="O338" s="30" t="str">
        <f ca="1">IFERROR(__xludf.DUMMYFUNCTION("""COMPUTED_VALUE"""),"6357")</f>
        <v>6357</v>
      </c>
      <c r="P338" s="30" t="str">
        <f ca="1">IFERROR(__xludf.DUMMYFUNCTION("""COMPUTED_VALUE"""),"GENERAL PUEYRREDÓN")</f>
        <v>GENERAL PUEYRREDÓN</v>
      </c>
      <c r="Q338" s="30" t="str">
        <f ca="1">IFERROR(__xludf.DUMMYFUNCTION("""COMPUTED_VALUE"""),"-38.0388694")</f>
        <v>-38.0388694</v>
      </c>
      <c r="R338" s="30" t="str">
        <f ca="1">IFERROR(__xludf.DUMMYFUNCTION("""COMPUTED_VALUE"""),"-57.5622477")</f>
        <v>-57.5622477</v>
      </c>
      <c r="S338" s="30" t="str">
        <f ca="1">IFERROR(__xludf.DUMMYFUNCTION("""COMPUTED_VALUE"""),"Municipal")</f>
        <v>Municipal</v>
      </c>
      <c r="T338" s="30" t="str">
        <f ca="1">IFERROR(__xludf.DUMMYFUNCTION("""COMPUTED_VALUE"""),"GENERAL PUEYRREDÓN")</f>
        <v>GENERAL PUEYRREDÓN</v>
      </c>
    </row>
    <row r="339" spans="1:20" ht="15.75" customHeight="1" x14ac:dyDescent="0.25">
      <c r="A339" s="30" t="str">
        <f ca="1">IFERROR(__xludf.DUMMYFUNCTION("""COMPUTED_VALUE"""),"50063572201657")</f>
        <v>50063572201657</v>
      </c>
      <c r="B339" s="30" t="str">
        <f ca="1">IFERROR(__xludf.DUMMYFUNCTION("""COMPUTED_VALUE"""),"INSTITUTO ROMULO ETCHEVERRY DE MATERNIDAD E INFANCIA")</f>
        <v>INSTITUTO ROMULO ETCHEVERRY DE MATERNIDAD E INFANCIA</v>
      </c>
      <c r="C339" s="30" t="str">
        <f ca="1">IFERROR(__xludf.DUMMYFUNCTION("""COMPUTED_VALUE"""),"Buenos Aires")</f>
        <v>Buenos Aires</v>
      </c>
      <c r="D339" s="30" t="str">
        <f ca="1">IFERROR(__xludf.DUMMYFUNCTION("""COMPUTED_VALUE"""),"6")</f>
        <v>6</v>
      </c>
      <c r="E339" s="30" t="str">
        <f ca="1">IFERROR(__xludf.DUMMYFUNCTION("""COMPUTED_VALUE"""),"")</f>
        <v/>
      </c>
      <c r="F339" s="29"/>
      <c r="G339" s="29"/>
      <c r="H339" s="30" t="str">
        <f ca="1">IFERROR(__xludf.DUMMYFUNCTION("""COMPUTED_VALUE"""),"inactivo")</f>
        <v>inactivo</v>
      </c>
      <c r="I339" s="29"/>
      <c r="J339" s="29"/>
      <c r="K339" s="29"/>
      <c r="L339" s="30" t="str">
        <f ca="1">IFERROR(__xludf.DUMMYFUNCTION("""COMPUTED_VALUE"""),"No")</f>
        <v>No</v>
      </c>
      <c r="M339" s="30" t="str">
        <f ca="1">IFERROR(__xludf.DUMMYFUNCTION("""COMPUTED_VALUE"""),"6357110003")</f>
        <v>6357110003</v>
      </c>
      <c r="N339" s="30" t="str">
        <f ca="1">IFERROR(__xludf.DUMMYFUNCTION("""COMPUTED_VALUE"""),"MAR DEL PLATA")</f>
        <v>MAR DEL PLATA</v>
      </c>
      <c r="O339" s="30" t="str">
        <f ca="1">IFERROR(__xludf.DUMMYFUNCTION("""COMPUTED_VALUE"""),"6357")</f>
        <v>6357</v>
      </c>
      <c r="P339" s="30" t="str">
        <f ca="1">IFERROR(__xludf.DUMMYFUNCTION("""COMPUTED_VALUE"""),"GENERAL PUEYRREDÓN")</f>
        <v>GENERAL PUEYRREDÓN</v>
      </c>
      <c r="Q339" s="30" t="str">
        <f ca="1">IFERROR(__xludf.DUMMYFUNCTION("""COMPUTED_VALUE"""),"-37.99361349")</f>
        <v>-37.99361349</v>
      </c>
      <c r="R339" s="30" t="str">
        <f ca="1">IFERROR(__xludf.DUMMYFUNCTION("""COMPUTED_VALUE"""),"-57.55848098")</f>
        <v>-57.55848098</v>
      </c>
      <c r="S339" s="30" t="str">
        <f ca="1">IFERROR(__xludf.DUMMYFUNCTION("""COMPUTED_VALUE"""),"Municipal")</f>
        <v>Municipal</v>
      </c>
      <c r="T339" s="30" t="str">
        <f ca="1">IFERROR(__xludf.DUMMYFUNCTION("""COMPUTED_VALUE"""),"GENERAL PUEYRREDÓN")</f>
        <v>GENERAL PUEYRREDÓN</v>
      </c>
    </row>
    <row r="340" spans="1:20" ht="15.75" customHeight="1" x14ac:dyDescent="0.25">
      <c r="A340" s="30" t="str">
        <f ca="1">IFERROR(__xludf.DUMMYFUNCTION("""COMPUTED_VALUE"""),"50063572201985")</f>
        <v>50063572201985</v>
      </c>
      <c r="B340" s="30" t="str">
        <f ca="1">IFERROR(__xludf.DUMMYFUNCTION("""COMPUTED_VALUE"""),"C.A.P.S. EL MARTILLO")</f>
        <v>C.A.P.S. EL MARTILLO</v>
      </c>
      <c r="C340" s="30" t="str">
        <f ca="1">IFERROR(__xludf.DUMMYFUNCTION("""COMPUTED_VALUE"""),"Buenos Aires")</f>
        <v>Buenos Aires</v>
      </c>
      <c r="D340" s="30" t="str">
        <f ca="1">IFERROR(__xludf.DUMMYFUNCTION("""COMPUTED_VALUE"""),"6")</f>
        <v>6</v>
      </c>
      <c r="E340" s="30" t="str">
        <f ca="1">IFERROR(__xludf.DUMMYFUNCTION("""COMPUTED_VALUE"""),"")</f>
        <v/>
      </c>
      <c r="F340" s="29"/>
      <c r="G340" s="29"/>
      <c r="H340" s="30" t="str">
        <f ca="1">IFERROR(__xludf.DUMMYFUNCTION("""COMPUTED_VALUE"""),"activo")</f>
        <v>activo</v>
      </c>
      <c r="I340" s="29"/>
      <c r="J340" s="29"/>
      <c r="K340" s="29"/>
      <c r="L340" s="30" t="str">
        <f ca="1">IFERROR(__xludf.DUMMYFUNCTION("""COMPUTED_VALUE"""),"No")</f>
        <v>No</v>
      </c>
      <c r="M340" s="30" t="str">
        <f ca="1">IFERROR(__xludf.DUMMYFUNCTION("""COMPUTED_VALUE"""),"6357110003")</f>
        <v>6357110003</v>
      </c>
      <c r="N340" s="30" t="str">
        <f ca="1">IFERROR(__xludf.DUMMYFUNCTION("""COMPUTED_VALUE"""),"MAR DEL PLATA")</f>
        <v>MAR DEL PLATA</v>
      </c>
      <c r="O340" s="30" t="str">
        <f ca="1">IFERROR(__xludf.DUMMYFUNCTION("""COMPUTED_VALUE"""),"6357")</f>
        <v>6357</v>
      </c>
      <c r="P340" s="30" t="str">
        <f ca="1">IFERROR(__xludf.DUMMYFUNCTION("""COMPUTED_VALUE"""),"GENERAL PUEYRREDÓN")</f>
        <v>GENERAL PUEYRREDÓN</v>
      </c>
      <c r="Q340" s="30" t="str">
        <f ca="1">IFERROR(__xludf.DUMMYFUNCTION("""COMPUTED_VALUE"""),"-38.03436033")</f>
        <v>-38.03436033</v>
      </c>
      <c r="R340" s="30" t="str">
        <f ca="1">IFERROR(__xludf.DUMMYFUNCTION("""COMPUTED_VALUE"""),"-57.59234118")</f>
        <v>-57.59234118</v>
      </c>
      <c r="S340" s="30" t="str">
        <f ca="1">IFERROR(__xludf.DUMMYFUNCTION("""COMPUTED_VALUE"""),"Municipal")</f>
        <v>Municipal</v>
      </c>
      <c r="T340" s="30" t="str">
        <f ca="1">IFERROR(__xludf.DUMMYFUNCTION("""COMPUTED_VALUE"""),"GENERAL PUEYRREDÓN")</f>
        <v>GENERAL PUEYRREDÓN</v>
      </c>
    </row>
    <row r="341" spans="1:20" ht="15.75" customHeight="1" x14ac:dyDescent="0.25">
      <c r="A341" s="30" t="str">
        <f ca="1">IFERROR(__xludf.DUMMYFUNCTION("""COMPUTED_VALUE"""),"50063572201988")</f>
        <v>50063572201988</v>
      </c>
      <c r="B341" s="30" t="str">
        <f ca="1">IFERROR(__xludf.DUMMYFUNCTION("""COMPUTED_VALUE"""),"C.A.P.S. LIBERTAD")</f>
        <v>C.A.P.S. LIBERTAD</v>
      </c>
      <c r="C341" s="30" t="str">
        <f ca="1">IFERROR(__xludf.DUMMYFUNCTION("""COMPUTED_VALUE"""),"Buenos Aires")</f>
        <v>Buenos Aires</v>
      </c>
      <c r="D341" s="30" t="str">
        <f ca="1">IFERROR(__xludf.DUMMYFUNCTION("""COMPUTED_VALUE"""),"6")</f>
        <v>6</v>
      </c>
      <c r="E341" s="30" t="str">
        <f ca="1">IFERROR(__xludf.DUMMYFUNCTION("""COMPUTED_VALUE"""),"")</f>
        <v/>
      </c>
      <c r="F341" s="29"/>
      <c r="G341" s="29"/>
      <c r="H341" s="30" t="str">
        <f ca="1">IFERROR(__xludf.DUMMYFUNCTION("""COMPUTED_VALUE"""),"activo")</f>
        <v>activo</v>
      </c>
      <c r="I341" s="29"/>
      <c r="J341" s="29"/>
      <c r="K341" s="29"/>
      <c r="L341" s="30" t="str">
        <f ca="1">IFERROR(__xludf.DUMMYFUNCTION("""COMPUTED_VALUE"""),"No")</f>
        <v>No</v>
      </c>
      <c r="M341" s="30" t="str">
        <f ca="1">IFERROR(__xludf.DUMMYFUNCTION("""COMPUTED_VALUE"""),"6357110003")</f>
        <v>6357110003</v>
      </c>
      <c r="N341" s="30" t="str">
        <f ca="1">IFERROR(__xludf.DUMMYFUNCTION("""COMPUTED_VALUE"""),"MAR DEL PLATA")</f>
        <v>MAR DEL PLATA</v>
      </c>
      <c r="O341" s="30" t="str">
        <f ca="1">IFERROR(__xludf.DUMMYFUNCTION("""COMPUTED_VALUE"""),"6357")</f>
        <v>6357</v>
      </c>
      <c r="P341" s="30" t="str">
        <f ca="1">IFERROR(__xludf.DUMMYFUNCTION("""COMPUTED_VALUE"""),"GENERAL PUEYRREDÓN")</f>
        <v>GENERAL PUEYRREDÓN</v>
      </c>
      <c r="Q341" s="30" t="str">
        <f ca="1">IFERROR(__xludf.DUMMYFUNCTION("""COMPUTED_VALUE"""),"-37.9574714")</f>
        <v>-37.9574714</v>
      </c>
      <c r="R341" s="30" t="str">
        <f ca="1">IFERROR(__xludf.DUMMYFUNCTION("""COMPUTED_VALUE"""),"-57.60353422")</f>
        <v>-57.60353422</v>
      </c>
      <c r="S341" s="30" t="str">
        <f ca="1">IFERROR(__xludf.DUMMYFUNCTION("""COMPUTED_VALUE"""),"Municipal")</f>
        <v>Municipal</v>
      </c>
      <c r="T341" s="30" t="str">
        <f ca="1">IFERROR(__xludf.DUMMYFUNCTION("""COMPUTED_VALUE"""),"GENERAL PUEYRREDÓN")</f>
        <v>GENERAL PUEYRREDÓN</v>
      </c>
    </row>
    <row r="342" spans="1:20" ht="15.75" customHeight="1" x14ac:dyDescent="0.25">
      <c r="A342" s="30" t="str">
        <f ca="1">IFERROR(__xludf.DUMMYFUNCTION("""COMPUTED_VALUE"""),"50063572201989")</f>
        <v>50063572201989</v>
      </c>
      <c r="B342" s="30" t="str">
        <f ca="1">IFERROR(__xludf.DUMMYFUNCTION("""COMPUTED_VALUE"""),"C.A.P.S. BATAN")</f>
        <v>C.A.P.S. BATAN</v>
      </c>
      <c r="C342" s="30" t="str">
        <f ca="1">IFERROR(__xludf.DUMMYFUNCTION("""COMPUTED_VALUE"""),"Buenos Aires")</f>
        <v>Buenos Aires</v>
      </c>
      <c r="D342" s="30" t="str">
        <f ca="1">IFERROR(__xludf.DUMMYFUNCTION("""COMPUTED_VALUE"""),"6")</f>
        <v>6</v>
      </c>
      <c r="E342" s="30" t="str">
        <f ca="1">IFERROR(__xludf.DUMMYFUNCTION("""COMPUTED_VALUE"""),"")</f>
        <v/>
      </c>
      <c r="F342" s="29"/>
      <c r="G342" s="29"/>
      <c r="H342" s="30" t="str">
        <f ca="1">IFERROR(__xludf.DUMMYFUNCTION("""COMPUTED_VALUE"""),"activo")</f>
        <v>activo</v>
      </c>
      <c r="I342" s="29"/>
      <c r="J342" s="29"/>
      <c r="K342" s="29"/>
      <c r="L342" s="30" t="str">
        <f ca="1">IFERROR(__xludf.DUMMYFUNCTION("""COMPUTED_VALUE"""),"No")</f>
        <v>No</v>
      </c>
      <c r="M342" s="30" t="str">
        <f ca="1">IFERROR(__xludf.DUMMYFUNCTION("""COMPUTED_VALUE"""),"6357110003")</f>
        <v>6357110003</v>
      </c>
      <c r="N342" s="30" t="str">
        <f ca="1">IFERROR(__xludf.DUMMYFUNCTION("""COMPUTED_VALUE"""),"MAR DEL PLATA")</f>
        <v>MAR DEL PLATA</v>
      </c>
      <c r="O342" s="30" t="str">
        <f ca="1">IFERROR(__xludf.DUMMYFUNCTION("""COMPUTED_VALUE"""),"6357")</f>
        <v>6357</v>
      </c>
      <c r="P342" s="30" t="str">
        <f ca="1">IFERROR(__xludf.DUMMYFUNCTION("""COMPUTED_VALUE"""),"GENERAL PUEYRREDÓN")</f>
        <v>GENERAL PUEYRREDÓN</v>
      </c>
      <c r="Q342" s="30" t="str">
        <f ca="1">IFERROR(__xludf.DUMMYFUNCTION("""COMPUTED_VALUE"""),"-38.11835209")</f>
        <v>-38.11835209</v>
      </c>
      <c r="R342" s="30" t="str">
        <f ca="1">IFERROR(__xludf.DUMMYFUNCTION("""COMPUTED_VALUE"""),"-57.82516479")</f>
        <v>-57.82516479</v>
      </c>
      <c r="S342" s="30" t="str">
        <f ca="1">IFERROR(__xludf.DUMMYFUNCTION("""COMPUTED_VALUE"""),"Municipal")</f>
        <v>Municipal</v>
      </c>
      <c r="T342" s="30" t="str">
        <f ca="1">IFERROR(__xludf.DUMMYFUNCTION("""COMPUTED_VALUE"""),"GENERAL PUEYRREDÓN")</f>
        <v>GENERAL PUEYRREDÓN</v>
      </c>
    </row>
    <row r="343" spans="1:20" ht="15.75" customHeight="1" x14ac:dyDescent="0.25">
      <c r="A343" s="30" t="str">
        <f ca="1">IFERROR(__xludf.DUMMYFUNCTION("""COMPUTED_VALUE"""),"50063572202079")</f>
        <v>50063572202079</v>
      </c>
      <c r="B343" s="30" t="str">
        <f ca="1">IFERROR(__xludf.DUMMYFUNCTION("""COMPUTED_VALUE"""),"C.A.P.S. CENTENARIO")</f>
        <v>C.A.P.S. CENTENARIO</v>
      </c>
      <c r="C343" s="30" t="str">
        <f ca="1">IFERROR(__xludf.DUMMYFUNCTION("""COMPUTED_VALUE"""),"Buenos Aires")</f>
        <v>Buenos Aires</v>
      </c>
      <c r="D343" s="30" t="str">
        <f ca="1">IFERROR(__xludf.DUMMYFUNCTION("""COMPUTED_VALUE"""),"6")</f>
        <v>6</v>
      </c>
      <c r="E343" s="30" t="str">
        <f ca="1">IFERROR(__xludf.DUMMYFUNCTION("""COMPUTED_VALUE"""),"")</f>
        <v/>
      </c>
      <c r="F343" s="29"/>
      <c r="G343" s="29"/>
      <c r="H343" s="30" t="str">
        <f ca="1">IFERROR(__xludf.DUMMYFUNCTION("""COMPUTED_VALUE"""),"activo")</f>
        <v>activo</v>
      </c>
      <c r="I343" s="29"/>
      <c r="J343" s="29"/>
      <c r="K343" s="29"/>
      <c r="L343" s="30" t="str">
        <f ca="1">IFERROR(__xludf.DUMMYFUNCTION("""COMPUTED_VALUE"""),"No")</f>
        <v>No</v>
      </c>
      <c r="M343" s="30" t="str">
        <f ca="1">IFERROR(__xludf.DUMMYFUNCTION("""COMPUTED_VALUE"""),"6357110003")</f>
        <v>6357110003</v>
      </c>
      <c r="N343" s="30" t="str">
        <f ca="1">IFERROR(__xludf.DUMMYFUNCTION("""COMPUTED_VALUE"""),"MAR DEL PLATA")</f>
        <v>MAR DEL PLATA</v>
      </c>
      <c r="O343" s="30" t="str">
        <f ca="1">IFERROR(__xludf.DUMMYFUNCTION("""COMPUTED_VALUE"""),"6357")</f>
        <v>6357</v>
      </c>
      <c r="P343" s="30" t="str">
        <f ca="1">IFERROR(__xludf.DUMMYFUNCTION("""COMPUTED_VALUE"""),"GENERAL PUEYRREDÓN")</f>
        <v>GENERAL PUEYRREDÓN</v>
      </c>
      <c r="Q343" s="30" t="str">
        <f ca="1">IFERROR(__xludf.DUMMYFUNCTION("""COMPUTED_VALUE"""),"-37.99393478")</f>
        <v>-37.99393478</v>
      </c>
      <c r="R343" s="30" t="str">
        <f ca="1">IFERROR(__xludf.DUMMYFUNCTION("""COMPUTED_VALUE"""),"-57.58652616")</f>
        <v>-57.58652616</v>
      </c>
      <c r="S343" s="30" t="str">
        <f ca="1">IFERROR(__xludf.DUMMYFUNCTION("""COMPUTED_VALUE"""),"Municipal")</f>
        <v>Municipal</v>
      </c>
      <c r="T343" s="30" t="str">
        <f ca="1">IFERROR(__xludf.DUMMYFUNCTION("""COMPUTED_VALUE"""),"GENERAL PUEYRREDÓN")</f>
        <v>GENERAL PUEYRREDÓN</v>
      </c>
    </row>
    <row r="344" spans="1:20" ht="15.75" customHeight="1" x14ac:dyDescent="0.25">
      <c r="A344" s="30" t="str">
        <f ca="1">IFERROR(__xludf.DUMMYFUNCTION("""COMPUTED_VALUE"""),"50063572202288")</f>
        <v>50063572202288</v>
      </c>
      <c r="B344" s="30" t="str">
        <f ca="1">IFERROR(__xludf.DUMMYFUNCTION("""COMPUTED_VALUE"""),"C.A.P.S. AMEGHINO")</f>
        <v>C.A.P.S. AMEGHINO</v>
      </c>
      <c r="C344" s="30" t="str">
        <f ca="1">IFERROR(__xludf.DUMMYFUNCTION("""COMPUTED_VALUE"""),"Buenos Aires")</f>
        <v>Buenos Aires</v>
      </c>
      <c r="D344" s="30" t="str">
        <f ca="1">IFERROR(__xludf.DUMMYFUNCTION("""COMPUTED_VALUE"""),"6")</f>
        <v>6</v>
      </c>
      <c r="E344" s="30" t="str">
        <f ca="1">IFERROR(__xludf.DUMMYFUNCTION("""COMPUTED_VALUE"""),"")</f>
        <v/>
      </c>
      <c r="F344" s="29"/>
      <c r="G344" s="29"/>
      <c r="H344" s="30" t="str">
        <f ca="1">IFERROR(__xludf.DUMMYFUNCTION("""COMPUTED_VALUE"""),"activo")</f>
        <v>activo</v>
      </c>
      <c r="I344" s="29"/>
      <c r="J344" s="29"/>
      <c r="K344" s="29"/>
      <c r="L344" s="30" t="str">
        <f ca="1">IFERROR(__xludf.DUMMYFUNCTION("""COMPUTED_VALUE"""),"No")</f>
        <v>No</v>
      </c>
      <c r="M344" s="30" t="str">
        <f ca="1">IFERROR(__xludf.DUMMYFUNCTION("""COMPUTED_VALUE"""),"6357110003")</f>
        <v>6357110003</v>
      </c>
      <c r="N344" s="30" t="str">
        <f ca="1">IFERROR(__xludf.DUMMYFUNCTION("""COMPUTED_VALUE"""),"MAR DEL PLATA")</f>
        <v>MAR DEL PLATA</v>
      </c>
      <c r="O344" s="30" t="str">
        <f ca="1">IFERROR(__xludf.DUMMYFUNCTION("""COMPUTED_VALUE"""),"6357")</f>
        <v>6357</v>
      </c>
      <c r="P344" s="30" t="str">
        <f ca="1">IFERROR(__xludf.DUMMYFUNCTION("""COMPUTED_VALUE"""),"GENERAL PUEYRREDÓN")</f>
        <v>GENERAL PUEYRREDÓN</v>
      </c>
      <c r="Q344" s="30" t="str">
        <f ca="1">IFERROR(__xludf.DUMMYFUNCTION("""COMPUTED_VALUE"""),"-37.96071972")</f>
        <v>-37.96071972</v>
      </c>
      <c r="R344" s="30" t="str">
        <f ca="1">IFERROR(__xludf.DUMMYFUNCTION("""COMPUTED_VALUE"""),"-57.62117243")</f>
        <v>-57.62117243</v>
      </c>
      <c r="S344" s="30" t="str">
        <f ca="1">IFERROR(__xludf.DUMMYFUNCTION("""COMPUTED_VALUE"""),"Municipal")</f>
        <v>Municipal</v>
      </c>
      <c r="T344" s="30" t="str">
        <f ca="1">IFERROR(__xludf.DUMMYFUNCTION("""COMPUTED_VALUE"""),"GENERAL PUEYRREDÓN")</f>
        <v>GENERAL PUEYRREDÓN</v>
      </c>
    </row>
    <row r="345" spans="1:20" ht="15.75" customHeight="1" x14ac:dyDescent="0.25">
      <c r="A345" s="30" t="str">
        <f ca="1">IFERROR(__xludf.DUMMYFUNCTION("""COMPUTED_VALUE"""),"50063572202375")</f>
        <v>50063572202375</v>
      </c>
      <c r="B345" s="30" t="str">
        <f ca="1">IFERROR(__xludf.DUMMYFUNCTION("""COMPUTED_VALUE"""),"C.A.P.S. LA PEREGRINA")</f>
        <v>C.A.P.S. LA PEREGRINA</v>
      </c>
      <c r="C345" s="30" t="str">
        <f ca="1">IFERROR(__xludf.DUMMYFUNCTION("""COMPUTED_VALUE"""),"Buenos Aires")</f>
        <v>Buenos Aires</v>
      </c>
      <c r="D345" s="30" t="str">
        <f ca="1">IFERROR(__xludf.DUMMYFUNCTION("""COMPUTED_VALUE"""),"6")</f>
        <v>6</v>
      </c>
      <c r="E345" s="30" t="str">
        <f ca="1">IFERROR(__xludf.DUMMYFUNCTION("""COMPUTED_VALUE"""),"")</f>
        <v/>
      </c>
      <c r="F345" s="29"/>
      <c r="G345" s="29"/>
      <c r="H345" s="30" t="str">
        <f ca="1">IFERROR(__xludf.DUMMYFUNCTION("""COMPUTED_VALUE"""),"activo")</f>
        <v>activo</v>
      </c>
      <c r="I345" s="29"/>
      <c r="J345" s="29"/>
      <c r="K345" s="29"/>
      <c r="L345" s="30" t="str">
        <f ca="1">IFERROR(__xludf.DUMMYFUNCTION("""COMPUTED_VALUE"""),"No")</f>
        <v>No</v>
      </c>
      <c r="M345" s="30" t="str">
        <f ca="1">IFERROR(__xludf.DUMMYFUNCTION("""COMPUTED_VALUE"""),"6357110003")</f>
        <v>6357110003</v>
      </c>
      <c r="N345" s="30" t="str">
        <f ca="1">IFERROR(__xludf.DUMMYFUNCTION("""COMPUTED_VALUE"""),"MAR DEL PLATA")</f>
        <v>MAR DEL PLATA</v>
      </c>
      <c r="O345" s="30" t="str">
        <f ca="1">IFERROR(__xludf.DUMMYFUNCTION("""COMPUTED_VALUE"""),"6357")</f>
        <v>6357</v>
      </c>
      <c r="P345" s="30" t="str">
        <f ca="1">IFERROR(__xludf.DUMMYFUNCTION("""COMPUTED_VALUE"""),"GENERAL PUEYRREDÓN")</f>
        <v>GENERAL PUEYRREDÓN</v>
      </c>
      <c r="Q345" s="30" t="str">
        <f ca="1">IFERROR(__xludf.DUMMYFUNCTION("""COMPUTED_VALUE"""),"-37.921451")</f>
        <v>-37.921451</v>
      </c>
      <c r="R345" s="30" t="str">
        <f ca="1">IFERROR(__xludf.DUMMYFUNCTION("""COMPUTED_VALUE"""),"-57.756701")</f>
        <v>-57.756701</v>
      </c>
      <c r="S345" s="30" t="str">
        <f ca="1">IFERROR(__xludf.DUMMYFUNCTION("""COMPUTED_VALUE"""),"Municipal")</f>
        <v>Municipal</v>
      </c>
      <c r="T345" s="30" t="str">
        <f ca="1">IFERROR(__xludf.DUMMYFUNCTION("""COMPUTED_VALUE"""),"GENERAL PUEYRREDÓN")</f>
        <v>GENERAL PUEYRREDÓN</v>
      </c>
    </row>
    <row r="346" spans="1:20" ht="15.75" customHeight="1" x14ac:dyDescent="0.25">
      <c r="A346" s="30" t="str">
        <f ca="1">IFERROR(__xludf.DUMMYFUNCTION("""COMPUTED_VALUE"""),"50063572202400")</f>
        <v>50063572202400</v>
      </c>
      <c r="B346" s="30" t="str">
        <f ca="1">IFERROR(__xludf.DUMMYFUNCTION("""COMPUTED_VALUE"""),"UNIDAD SANITARIA LAS HERAS DE MAR DEL PLATA")</f>
        <v>UNIDAD SANITARIA LAS HERAS DE MAR DEL PLATA</v>
      </c>
      <c r="C346" s="30" t="str">
        <f ca="1">IFERROR(__xludf.DUMMYFUNCTION("""COMPUTED_VALUE"""),"Buenos Aires")</f>
        <v>Buenos Aires</v>
      </c>
      <c r="D346" s="30" t="str">
        <f ca="1">IFERROR(__xludf.DUMMYFUNCTION("""COMPUTED_VALUE"""),"6")</f>
        <v>6</v>
      </c>
      <c r="E346" s="30" t="str">
        <f ca="1">IFERROR(__xludf.DUMMYFUNCTION("""COMPUTED_VALUE"""),"")</f>
        <v/>
      </c>
      <c r="F346" s="29"/>
      <c r="G346" s="29"/>
      <c r="H346" s="30" t="str">
        <f ca="1">IFERROR(__xludf.DUMMYFUNCTION("""COMPUTED_VALUE"""),"activo")</f>
        <v>activo</v>
      </c>
      <c r="I346" s="29"/>
      <c r="J346" s="29"/>
      <c r="K346" s="29"/>
      <c r="L346" s="30" t="str">
        <f ca="1">IFERROR(__xludf.DUMMYFUNCTION("""COMPUTED_VALUE"""),"No")</f>
        <v>No</v>
      </c>
      <c r="M346" s="30" t="str">
        <f ca="1">IFERROR(__xludf.DUMMYFUNCTION("""COMPUTED_VALUE"""),"6357110004")</f>
        <v>6357110004</v>
      </c>
      <c r="N346" s="30" t="str">
        <f ca="1">IFERROR(__xludf.DUMMYFUNCTION("""COMPUTED_VALUE"""),"PUNTA MOGOTES")</f>
        <v>PUNTA MOGOTES</v>
      </c>
      <c r="O346" s="30" t="str">
        <f ca="1">IFERROR(__xludf.DUMMYFUNCTION("""COMPUTED_VALUE"""),"6357")</f>
        <v>6357</v>
      </c>
      <c r="P346" s="30" t="str">
        <f ca="1">IFERROR(__xludf.DUMMYFUNCTION("""COMPUTED_VALUE"""),"GENERAL PUEYRREDÓN")</f>
        <v>GENERAL PUEYRREDÓN</v>
      </c>
      <c r="Q346" s="30" t="str">
        <f ca="1">IFERROR(__xludf.DUMMYFUNCTION("""COMPUTED_VALUE"""),"-38.0135093")</f>
        <v>-38.0135093</v>
      </c>
      <c r="R346" s="30" t="str">
        <f ca="1">IFERROR(__xludf.DUMMYFUNCTION("""COMPUTED_VALUE"""),"-57.6084375")</f>
        <v>-57.6084375</v>
      </c>
      <c r="S346" s="30" t="str">
        <f ca="1">IFERROR(__xludf.DUMMYFUNCTION("""COMPUTED_VALUE"""),"Municipal")</f>
        <v>Municipal</v>
      </c>
      <c r="T346" s="30" t="str">
        <f ca="1">IFERROR(__xludf.DUMMYFUNCTION("""COMPUTED_VALUE"""),"GENERAL PUEYRREDÓN")</f>
        <v>GENERAL PUEYRREDÓN</v>
      </c>
    </row>
    <row r="347" spans="1:20" ht="15.75" customHeight="1" x14ac:dyDescent="0.25">
      <c r="A347" s="30" t="str">
        <f ca="1">IFERROR(__xludf.DUMMYFUNCTION("""COMPUTED_VALUE"""),"50063572202448")</f>
        <v>50063572202448</v>
      </c>
      <c r="B347" s="30" t="str">
        <f ca="1">IFERROR(__xludf.DUMMYFUNCTION("""COMPUTED_VALUE"""),"C.A.P.S. MEYRRELLES")</f>
        <v>C.A.P.S. MEYRRELLES</v>
      </c>
      <c r="C347" s="30" t="str">
        <f ca="1">IFERROR(__xludf.DUMMYFUNCTION("""COMPUTED_VALUE"""),"Buenos Aires")</f>
        <v>Buenos Aires</v>
      </c>
      <c r="D347" s="30" t="str">
        <f ca="1">IFERROR(__xludf.DUMMYFUNCTION("""COMPUTED_VALUE"""),"6")</f>
        <v>6</v>
      </c>
      <c r="E347" s="30" t="str">
        <f ca="1">IFERROR(__xludf.DUMMYFUNCTION("""COMPUTED_VALUE"""),"")</f>
        <v/>
      </c>
      <c r="F347" s="29"/>
      <c r="G347" s="29"/>
      <c r="H347" s="30" t="str">
        <f ca="1">IFERROR(__xludf.DUMMYFUNCTION("""COMPUTED_VALUE"""),"activo")</f>
        <v>activo</v>
      </c>
      <c r="I347" s="29"/>
      <c r="J347" s="29"/>
      <c r="K347" s="29"/>
      <c r="L347" s="30" t="str">
        <f ca="1">IFERROR(__xludf.DUMMYFUNCTION("""COMPUTED_VALUE"""),"No")</f>
        <v>No</v>
      </c>
      <c r="M347" s="30" t="str">
        <f ca="1">IFERROR(__xludf.DUMMYFUNCTION("""COMPUTED_VALUE"""),"6357110003")</f>
        <v>6357110003</v>
      </c>
      <c r="N347" s="30" t="str">
        <f ca="1">IFERROR(__xludf.DUMMYFUNCTION("""COMPUTED_VALUE"""),"MAR DEL PLATA")</f>
        <v>MAR DEL PLATA</v>
      </c>
      <c r="O347" s="30" t="str">
        <f ca="1">IFERROR(__xludf.DUMMYFUNCTION("""COMPUTED_VALUE"""),"6357")</f>
        <v>6357</v>
      </c>
      <c r="P347" s="30" t="str">
        <f ca="1">IFERROR(__xludf.DUMMYFUNCTION("""COMPUTED_VALUE"""),"GENERAL PUEYRREDÓN")</f>
        <v>GENERAL PUEYRREDÓN</v>
      </c>
      <c r="Q347" s="30" t="str">
        <f ca="1">IFERROR(__xludf.DUMMYFUNCTION("""COMPUTED_VALUE"""),"-38.0481519")</f>
        <v>-38.0481519</v>
      </c>
      <c r="R347" s="30" t="str">
        <f ca="1">IFERROR(__xludf.DUMMYFUNCTION("""COMPUTED_VALUE"""),"-57.57107663")</f>
        <v>-57.57107663</v>
      </c>
      <c r="S347" s="30" t="str">
        <f ca="1">IFERROR(__xludf.DUMMYFUNCTION("""COMPUTED_VALUE"""),"Municipal")</f>
        <v>Municipal</v>
      </c>
      <c r="T347" s="30" t="str">
        <f ca="1">IFERROR(__xludf.DUMMYFUNCTION("""COMPUTED_VALUE"""),"GENERAL PUEYRREDÓN")</f>
        <v>GENERAL PUEYRREDÓN</v>
      </c>
    </row>
    <row r="348" spans="1:20" ht="15.75" customHeight="1" x14ac:dyDescent="0.25">
      <c r="A348" s="30" t="str">
        <f ca="1">IFERROR(__xludf.DUMMYFUNCTION("""COMPUTED_VALUE"""),"50063572202727")</f>
        <v>50063572202727</v>
      </c>
      <c r="B348" s="30" t="str">
        <f ca="1">IFERROR(__xludf.DUMMYFUNCTION("""COMPUTED_VALUE"""),"C.A.P.S. PLAYAS DEL SUR")</f>
        <v>C.A.P.S. PLAYAS DEL SUR</v>
      </c>
      <c r="C348" s="30" t="str">
        <f ca="1">IFERROR(__xludf.DUMMYFUNCTION("""COMPUTED_VALUE"""),"Buenos Aires")</f>
        <v>Buenos Aires</v>
      </c>
      <c r="D348" s="30" t="str">
        <f ca="1">IFERROR(__xludf.DUMMYFUNCTION("""COMPUTED_VALUE"""),"6")</f>
        <v>6</v>
      </c>
      <c r="E348" s="30" t="str">
        <f ca="1">IFERROR(__xludf.DUMMYFUNCTION("""COMPUTED_VALUE"""),"")</f>
        <v/>
      </c>
      <c r="F348" s="29"/>
      <c r="G348" s="29"/>
      <c r="H348" s="30" t="str">
        <f ca="1">IFERROR(__xludf.DUMMYFUNCTION("""COMPUTED_VALUE"""),"activo")</f>
        <v>activo</v>
      </c>
      <c r="I348" s="29"/>
      <c r="J348" s="29"/>
      <c r="K348" s="29"/>
      <c r="L348" s="30" t="str">
        <f ca="1">IFERROR(__xludf.DUMMYFUNCTION("""COMPUTED_VALUE"""),"No")</f>
        <v>No</v>
      </c>
      <c r="M348" s="30" t="str">
        <f ca="1">IFERROR(__xludf.DUMMYFUNCTION("""COMPUTED_VALUE"""),"6357110004")</f>
        <v>6357110004</v>
      </c>
      <c r="N348" s="30" t="str">
        <f ca="1">IFERROR(__xludf.DUMMYFUNCTION("""COMPUTED_VALUE"""),"PUNTA MOGOTES")</f>
        <v>PUNTA MOGOTES</v>
      </c>
      <c r="O348" s="30" t="str">
        <f ca="1">IFERROR(__xludf.DUMMYFUNCTION("""COMPUTED_VALUE"""),"6357")</f>
        <v>6357</v>
      </c>
      <c r="P348" s="30" t="str">
        <f ca="1">IFERROR(__xludf.DUMMYFUNCTION("""COMPUTED_VALUE"""),"GENERAL PUEYRREDÓN")</f>
        <v>GENERAL PUEYRREDÓN</v>
      </c>
      <c r="Q348" s="30" t="str">
        <f ca="1">IFERROR(__xludf.DUMMYFUNCTION("""COMPUTED_VALUE"""),"-38.01765606")</f>
        <v>-38.01765606</v>
      </c>
      <c r="R348" s="30" t="str">
        <f ca="1">IFERROR(__xludf.DUMMYFUNCTION("""COMPUTED_VALUE"""),"-57.59030271")</f>
        <v>-57.59030271</v>
      </c>
      <c r="S348" s="30" t="str">
        <f ca="1">IFERROR(__xludf.DUMMYFUNCTION("""COMPUTED_VALUE"""),"Municipal")</f>
        <v>Municipal</v>
      </c>
      <c r="T348" s="30" t="str">
        <f ca="1">IFERROR(__xludf.DUMMYFUNCTION("""COMPUTED_VALUE"""),"GENERAL PUEYRREDÓN")</f>
        <v>GENERAL PUEYRREDÓN</v>
      </c>
    </row>
    <row r="349" spans="1:20" ht="15.75" customHeight="1" x14ac:dyDescent="0.25">
      <c r="A349" s="30" t="str">
        <f ca="1">IFERROR(__xludf.DUMMYFUNCTION("""COMPUTED_VALUE"""),"50063572202942")</f>
        <v>50063572202942</v>
      </c>
      <c r="B349" s="30" t="str">
        <f ca="1">IFERROR(__xludf.DUMMYFUNCTION("""COMPUTED_VALUE"""),"C.A.P.S. 9 DE JULIO")</f>
        <v>C.A.P.S. 9 DE JULIO</v>
      </c>
      <c r="C349" s="30" t="str">
        <f ca="1">IFERROR(__xludf.DUMMYFUNCTION("""COMPUTED_VALUE"""),"Buenos Aires")</f>
        <v>Buenos Aires</v>
      </c>
      <c r="D349" s="30" t="str">
        <f ca="1">IFERROR(__xludf.DUMMYFUNCTION("""COMPUTED_VALUE"""),"6")</f>
        <v>6</v>
      </c>
      <c r="E349" s="30" t="str">
        <f ca="1">IFERROR(__xludf.DUMMYFUNCTION("""COMPUTED_VALUE"""),"")</f>
        <v/>
      </c>
      <c r="F349" s="29"/>
      <c r="G349" s="29"/>
      <c r="H349" s="30" t="str">
        <f ca="1">IFERROR(__xludf.DUMMYFUNCTION("""COMPUTED_VALUE"""),"activo")</f>
        <v>activo</v>
      </c>
      <c r="I349" s="29"/>
      <c r="J349" s="29"/>
      <c r="K349" s="29"/>
      <c r="L349" s="30" t="str">
        <f ca="1">IFERROR(__xludf.DUMMYFUNCTION("""COMPUTED_VALUE"""),"No")</f>
        <v>No</v>
      </c>
      <c r="M349" s="30" t="str">
        <f ca="1">IFERROR(__xludf.DUMMYFUNCTION("""COMPUTED_VALUE"""),"6357110003")</f>
        <v>6357110003</v>
      </c>
      <c r="N349" s="30" t="str">
        <f ca="1">IFERROR(__xludf.DUMMYFUNCTION("""COMPUTED_VALUE"""),"MAR DEL PLATA")</f>
        <v>MAR DEL PLATA</v>
      </c>
      <c r="O349" s="30" t="str">
        <f ca="1">IFERROR(__xludf.DUMMYFUNCTION("""COMPUTED_VALUE"""),"6357")</f>
        <v>6357</v>
      </c>
      <c r="P349" s="30" t="str">
        <f ca="1">IFERROR(__xludf.DUMMYFUNCTION("""COMPUTED_VALUE"""),"GENERAL PUEYRREDÓN")</f>
        <v>GENERAL PUEYRREDÓN</v>
      </c>
      <c r="Q349" s="30" t="str">
        <f ca="1">IFERROR(__xludf.DUMMYFUNCTION("""COMPUTED_VALUE"""),"-37.97521272")</f>
        <v>-37.97521272</v>
      </c>
      <c r="R349" s="30" t="str">
        <f ca="1">IFERROR(__xludf.DUMMYFUNCTION("""COMPUTED_VALUE"""),"-57.58367229")</f>
        <v>-57.58367229</v>
      </c>
      <c r="S349" s="30" t="str">
        <f ca="1">IFERROR(__xludf.DUMMYFUNCTION("""COMPUTED_VALUE"""),"Municipal")</f>
        <v>Municipal</v>
      </c>
      <c r="T349" s="30" t="str">
        <f ca="1">IFERROR(__xludf.DUMMYFUNCTION("""COMPUTED_VALUE"""),"GENERAL PUEYRREDÓN")</f>
        <v>GENERAL PUEYRREDÓN</v>
      </c>
    </row>
    <row r="350" spans="1:20" ht="15.75" customHeight="1" x14ac:dyDescent="0.25">
      <c r="A350" s="30" t="str">
        <f ca="1">IFERROR(__xludf.DUMMYFUNCTION("""COMPUTED_VALUE"""),"50063572215028")</f>
        <v>50063572215028</v>
      </c>
      <c r="B350" s="30" t="str">
        <f ca="1">IFERROR(__xludf.DUMMYFUNCTION("""COMPUTED_VALUE"""),"C.A.P.S. BELISARIO ROLDAN")</f>
        <v>C.A.P.S. BELISARIO ROLDAN</v>
      </c>
      <c r="C350" s="30" t="str">
        <f ca="1">IFERROR(__xludf.DUMMYFUNCTION("""COMPUTED_VALUE"""),"Buenos Aires")</f>
        <v>Buenos Aires</v>
      </c>
      <c r="D350" s="30" t="str">
        <f ca="1">IFERROR(__xludf.DUMMYFUNCTION("""COMPUTED_VALUE"""),"6")</f>
        <v>6</v>
      </c>
      <c r="E350" s="30" t="str">
        <f ca="1">IFERROR(__xludf.DUMMYFUNCTION("""COMPUTED_VALUE"""),"")</f>
        <v/>
      </c>
      <c r="F350" s="29"/>
      <c r="G350" s="29"/>
      <c r="H350" s="30" t="str">
        <f ca="1">IFERROR(__xludf.DUMMYFUNCTION("""COMPUTED_VALUE"""),"activo")</f>
        <v>activo</v>
      </c>
      <c r="I350" s="29"/>
      <c r="J350" s="29"/>
      <c r="K350" s="29"/>
      <c r="L350" s="30" t="str">
        <f ca="1">IFERROR(__xludf.DUMMYFUNCTION("""COMPUTED_VALUE"""),"No")</f>
        <v>No</v>
      </c>
      <c r="M350" s="30" t="str">
        <f ca="1">IFERROR(__xludf.DUMMYFUNCTION("""COMPUTED_VALUE"""),"6357110003")</f>
        <v>6357110003</v>
      </c>
      <c r="N350" s="30" t="str">
        <f ca="1">IFERROR(__xludf.DUMMYFUNCTION("""COMPUTED_VALUE"""),"MAR DEL PLATA")</f>
        <v>MAR DEL PLATA</v>
      </c>
      <c r="O350" s="30" t="str">
        <f ca="1">IFERROR(__xludf.DUMMYFUNCTION("""COMPUTED_VALUE"""),"6357")</f>
        <v>6357</v>
      </c>
      <c r="P350" s="30" t="str">
        <f ca="1">IFERROR(__xludf.DUMMYFUNCTION("""COMPUTED_VALUE"""),"GENERAL PUEYRREDÓN")</f>
        <v>GENERAL PUEYRREDÓN</v>
      </c>
      <c r="Q350" s="30" t="str">
        <f ca="1">IFERROR(__xludf.DUMMYFUNCTION("""COMPUTED_VALUE"""),"-37.981852")</f>
        <v>-37.981852</v>
      </c>
      <c r="R350" s="30" t="str">
        <f ca="1">IFERROR(__xludf.DUMMYFUNCTION("""COMPUTED_VALUE"""),"-57.610678")</f>
        <v>-57.610678</v>
      </c>
      <c r="S350" s="30" t="str">
        <f ca="1">IFERROR(__xludf.DUMMYFUNCTION("""COMPUTED_VALUE"""),"Municipal")</f>
        <v>Municipal</v>
      </c>
      <c r="T350" s="30" t="str">
        <f ca="1">IFERROR(__xludf.DUMMYFUNCTION("""COMPUTED_VALUE"""),"GENERAL PUEYRREDÓN")</f>
        <v>GENERAL PUEYRREDÓN</v>
      </c>
    </row>
    <row r="351" spans="1:20" ht="15.75" customHeight="1" x14ac:dyDescent="0.25">
      <c r="A351" s="30" t="str">
        <f ca="1">IFERROR(__xludf.DUMMYFUNCTION("""COMPUTED_VALUE"""),"50063642201779")</f>
        <v>50063642201779</v>
      </c>
      <c r="B351" s="30" t="str">
        <f ca="1">IFERROR(__xludf.DUMMYFUNCTION("""COMPUTED_VALUE"""),"SALA CENTRAL N° 16 DE GENERAL RODRIGUEZ")</f>
        <v>SALA CENTRAL N° 16 DE GENERAL RODRIGUEZ</v>
      </c>
      <c r="C351" s="30" t="str">
        <f ca="1">IFERROR(__xludf.DUMMYFUNCTION("""COMPUTED_VALUE"""),"Buenos Aires")</f>
        <v>Buenos Aires</v>
      </c>
      <c r="D351" s="30" t="str">
        <f ca="1">IFERROR(__xludf.DUMMYFUNCTION("""COMPUTED_VALUE"""),"6")</f>
        <v>6</v>
      </c>
      <c r="E351" s="30" t="str">
        <f ca="1">IFERROR(__xludf.DUMMYFUNCTION("""COMPUTED_VALUE"""),"")</f>
        <v/>
      </c>
      <c r="F351" s="29"/>
      <c r="G351" s="29"/>
      <c r="H351" s="30" t="str">
        <f ca="1">IFERROR(__xludf.DUMMYFUNCTION("""COMPUTED_VALUE"""),"activo")</f>
        <v>activo</v>
      </c>
      <c r="I351" s="29"/>
      <c r="J351" s="29"/>
      <c r="K351" s="29"/>
      <c r="L351" s="30" t="str">
        <f ca="1">IFERROR(__xludf.DUMMYFUNCTION("""COMPUTED_VALUE"""),"No")</f>
        <v>No</v>
      </c>
      <c r="M351" s="30" t="str">
        <f ca="1">IFERROR(__xludf.DUMMYFUNCTION("""COMPUTED_VALUE"""),"6364030000")</f>
        <v>6364030000</v>
      </c>
      <c r="N351" s="30" t="str">
        <f ca="1">IFERROR(__xludf.DUMMYFUNCTION("""COMPUTED_VALUE"""),"GENERAL RODRIGUEZ")</f>
        <v>GENERAL RODRIGUEZ</v>
      </c>
      <c r="O351" s="30" t="str">
        <f ca="1">IFERROR(__xludf.DUMMYFUNCTION("""COMPUTED_VALUE"""),"6364")</f>
        <v>6364</v>
      </c>
      <c r="P351" s="30" t="str">
        <f ca="1">IFERROR(__xludf.DUMMYFUNCTION("""COMPUTED_VALUE"""),"GENERAL RODRÍGUEZ")</f>
        <v>GENERAL RODRÍGUEZ</v>
      </c>
      <c r="Q351" s="30" t="str">
        <f ca="1">IFERROR(__xludf.DUMMYFUNCTION("""COMPUTED_VALUE"""),"-34.61282122")</f>
        <v>-34.61282122</v>
      </c>
      <c r="R351" s="30" t="str">
        <f ca="1">IFERROR(__xludf.DUMMYFUNCTION("""COMPUTED_VALUE"""),"-58.95510221")</f>
        <v>-58.95510221</v>
      </c>
      <c r="S351" s="30" t="str">
        <f ca="1">IFERROR(__xludf.DUMMYFUNCTION("""COMPUTED_VALUE"""),"Municipal")</f>
        <v>Municipal</v>
      </c>
      <c r="T351" s="30" t="str">
        <f ca="1">IFERROR(__xludf.DUMMYFUNCTION("""COMPUTED_VALUE"""),"GENERAL RODRÍGUEZ")</f>
        <v>GENERAL RODRÍGUEZ</v>
      </c>
    </row>
    <row r="352" spans="1:20" ht="15.75" customHeight="1" x14ac:dyDescent="0.25">
      <c r="A352" s="30" t="str">
        <f ca="1">IFERROR(__xludf.DUMMYFUNCTION("""COMPUTED_VALUE"""),"50063642202592")</f>
        <v>50063642202592</v>
      </c>
      <c r="B352" s="30" t="str">
        <f ca="1">IFERROR(__xludf.DUMMYFUNCTION("""COMPUTED_VALUE"""),"UNIDAD SANITARIA N° 3 LOS NARANJOS DE GENERAL RODRIGUEZ")</f>
        <v>UNIDAD SANITARIA N° 3 LOS NARANJOS DE GENERAL RODRIGUEZ</v>
      </c>
      <c r="C352" s="30" t="str">
        <f ca="1">IFERROR(__xludf.DUMMYFUNCTION("""COMPUTED_VALUE"""),"Buenos Aires")</f>
        <v>Buenos Aires</v>
      </c>
      <c r="D352" s="30" t="str">
        <f ca="1">IFERROR(__xludf.DUMMYFUNCTION("""COMPUTED_VALUE"""),"6")</f>
        <v>6</v>
      </c>
      <c r="E352" s="30" t="str">
        <f ca="1">IFERROR(__xludf.DUMMYFUNCTION("""COMPUTED_VALUE"""),"")</f>
        <v/>
      </c>
      <c r="F352" s="29"/>
      <c r="G352" s="29"/>
      <c r="H352" s="30" t="str">
        <f ca="1">IFERROR(__xludf.DUMMYFUNCTION("""COMPUTED_VALUE"""),"activo")</f>
        <v>activo</v>
      </c>
      <c r="I352" s="29"/>
      <c r="J352" s="29"/>
      <c r="K352" s="29"/>
      <c r="L352" s="30" t="str">
        <f ca="1">IFERROR(__xludf.DUMMYFUNCTION("""COMPUTED_VALUE"""),"No")</f>
        <v>No</v>
      </c>
      <c r="M352" s="30" t="str">
        <f ca="1">IFERROR(__xludf.DUMMYFUNCTION("""COMPUTED_VALUE"""),"6364030000")</f>
        <v>6364030000</v>
      </c>
      <c r="N352" s="30" t="str">
        <f ca="1">IFERROR(__xludf.DUMMYFUNCTION("""COMPUTED_VALUE"""),"GENERAL RODRIGUEZ")</f>
        <v>GENERAL RODRIGUEZ</v>
      </c>
      <c r="O352" s="30" t="str">
        <f ca="1">IFERROR(__xludf.DUMMYFUNCTION("""COMPUTED_VALUE"""),"6364")</f>
        <v>6364</v>
      </c>
      <c r="P352" s="30" t="str">
        <f ca="1">IFERROR(__xludf.DUMMYFUNCTION("""COMPUTED_VALUE"""),"GENERAL RODRÍGUEZ")</f>
        <v>GENERAL RODRÍGUEZ</v>
      </c>
      <c r="Q352" s="30" t="str">
        <f ca="1">IFERROR(__xludf.DUMMYFUNCTION("""COMPUTED_VALUE"""),"-34.60419393")</f>
        <v>-34.60419393</v>
      </c>
      <c r="R352" s="30" t="str">
        <f ca="1">IFERROR(__xludf.DUMMYFUNCTION("""COMPUTED_VALUE"""),"-58.91220832")</f>
        <v>-58.91220832</v>
      </c>
      <c r="S352" s="30" t="str">
        <f ca="1">IFERROR(__xludf.DUMMYFUNCTION("""COMPUTED_VALUE"""),"Municipal")</f>
        <v>Municipal</v>
      </c>
      <c r="T352" s="30" t="str">
        <f ca="1">IFERROR(__xludf.DUMMYFUNCTION("""COMPUTED_VALUE"""),"GENERAL RODRÍGUEZ")</f>
        <v>GENERAL RODRÍGUEZ</v>
      </c>
    </row>
    <row r="353" spans="1:20" ht="15.75" customHeight="1" x14ac:dyDescent="0.25">
      <c r="A353" s="30" t="str">
        <f ca="1">IFERROR(__xludf.DUMMYFUNCTION("""COMPUTED_VALUE"""),"50063642202632")</f>
        <v>50063642202632</v>
      </c>
      <c r="B353" s="30" t="str">
        <f ca="1">IFERROR(__xludf.DUMMYFUNCTION("""COMPUTED_VALUE"""),"UNIDAD SANITARIA N° 5 DE GENERAL RODRIGUEZ")</f>
        <v>UNIDAD SANITARIA N° 5 DE GENERAL RODRIGUEZ</v>
      </c>
      <c r="C353" s="30" t="str">
        <f ca="1">IFERROR(__xludf.DUMMYFUNCTION("""COMPUTED_VALUE"""),"Buenos Aires")</f>
        <v>Buenos Aires</v>
      </c>
      <c r="D353" s="30" t="str">
        <f ca="1">IFERROR(__xludf.DUMMYFUNCTION("""COMPUTED_VALUE"""),"6")</f>
        <v>6</v>
      </c>
      <c r="E353" s="30" t="str">
        <f ca="1">IFERROR(__xludf.DUMMYFUNCTION("""COMPUTED_VALUE"""),"")</f>
        <v/>
      </c>
      <c r="F353" s="29"/>
      <c r="G353" s="29"/>
      <c r="H353" s="30" t="str">
        <f ca="1">IFERROR(__xludf.DUMMYFUNCTION("""COMPUTED_VALUE"""),"inactivo")</f>
        <v>inactivo</v>
      </c>
      <c r="I353" s="29"/>
      <c r="J353" s="29"/>
      <c r="K353" s="29"/>
      <c r="L353" s="30" t="str">
        <f ca="1">IFERROR(__xludf.DUMMYFUNCTION("""COMPUTED_VALUE"""),"No")</f>
        <v>No</v>
      </c>
      <c r="M353" s="30" t="str">
        <f ca="1">IFERROR(__xludf.DUMMYFUNCTION("""COMPUTED_VALUE"""),"6364030000")</f>
        <v>6364030000</v>
      </c>
      <c r="N353" s="30" t="str">
        <f ca="1">IFERROR(__xludf.DUMMYFUNCTION("""COMPUTED_VALUE"""),"GENERAL RODRIGUEZ")</f>
        <v>GENERAL RODRIGUEZ</v>
      </c>
      <c r="O353" s="30" t="str">
        <f ca="1">IFERROR(__xludf.DUMMYFUNCTION("""COMPUTED_VALUE"""),"6364")</f>
        <v>6364</v>
      </c>
      <c r="P353" s="30" t="str">
        <f ca="1">IFERROR(__xludf.DUMMYFUNCTION("""COMPUTED_VALUE"""),"GENERAL RODRÍGUEZ")</f>
        <v>GENERAL RODRÍGUEZ</v>
      </c>
      <c r="Q353" s="30" t="str">
        <f ca="1">IFERROR(__xludf.DUMMYFUNCTION("""COMPUTED_VALUE"""),"-34.63154739")</f>
        <v>-34.63154739</v>
      </c>
      <c r="R353" s="30" t="str">
        <f ca="1">IFERROR(__xludf.DUMMYFUNCTION("""COMPUTED_VALUE"""),"-58.88707066")</f>
        <v>-58.88707066</v>
      </c>
      <c r="S353" s="30" t="str">
        <f ca="1">IFERROR(__xludf.DUMMYFUNCTION("""COMPUTED_VALUE"""),"Municipal")</f>
        <v>Municipal</v>
      </c>
      <c r="T353" s="30" t="str">
        <f ca="1">IFERROR(__xludf.DUMMYFUNCTION("""COMPUTED_VALUE"""),"GENERAL RODRÍGUEZ")</f>
        <v>GENERAL RODRÍGUEZ</v>
      </c>
    </row>
    <row r="354" spans="1:20" ht="15.75" customHeight="1" x14ac:dyDescent="0.25">
      <c r="A354" s="30" t="str">
        <f ca="1">IFERROR(__xludf.DUMMYFUNCTION("""COMPUTED_VALUE"""),"50063712201344")</f>
        <v>50063712201344</v>
      </c>
      <c r="B354" s="30" t="str">
        <f ca="1">IFERROR(__xludf.DUMMYFUNCTION("""COMPUTED_VALUE"""),"CENTRO DE SALUD RAMON CARRILLO DE GENERAL SAN MARTIN")</f>
        <v>CENTRO DE SALUD RAMON CARRILLO DE GENERAL SAN MARTIN</v>
      </c>
      <c r="C354" s="30" t="str">
        <f ca="1">IFERROR(__xludf.DUMMYFUNCTION("""COMPUTED_VALUE"""),"Buenos Aires")</f>
        <v>Buenos Aires</v>
      </c>
      <c r="D354" s="30" t="str">
        <f ca="1">IFERROR(__xludf.DUMMYFUNCTION("""COMPUTED_VALUE"""),"6")</f>
        <v>6</v>
      </c>
      <c r="E354" s="30" t="str">
        <f ca="1">IFERROR(__xludf.DUMMYFUNCTION("""COMPUTED_VALUE"""),"")</f>
        <v/>
      </c>
      <c r="F354" s="29"/>
      <c r="G354" s="29"/>
      <c r="H354" s="30" t="str">
        <f ca="1">IFERROR(__xludf.DUMMYFUNCTION("""COMPUTED_VALUE"""),"activo")</f>
        <v>activo</v>
      </c>
      <c r="I354" s="29"/>
      <c r="J354" s="29"/>
      <c r="K354" s="29"/>
      <c r="L354" s="30" t="str">
        <f ca="1">IFERROR(__xludf.DUMMYFUNCTION("""COMPUTED_VALUE"""),"No")</f>
        <v>No</v>
      </c>
      <c r="M354" s="30" t="str">
        <f ca="1">IFERROR(__xludf.DUMMYFUNCTION("""COMPUTED_VALUE"""),"6371010021")</f>
        <v>6371010021</v>
      </c>
      <c r="N354" s="30" t="str">
        <f ca="1">IFERROR(__xludf.DUMMYFUNCTION("""COMPUTED_VALUE"""),"VILLA MAIPU")</f>
        <v>VILLA MAIPU</v>
      </c>
      <c r="O354" s="30" t="str">
        <f ca="1">IFERROR(__xludf.DUMMYFUNCTION("""COMPUTED_VALUE"""),"6371")</f>
        <v>6371</v>
      </c>
      <c r="P354" s="30" t="str">
        <f ca="1">IFERROR(__xludf.DUMMYFUNCTION("""COMPUTED_VALUE"""),"GENERAL SAN MARTÍN")</f>
        <v>GENERAL SAN MARTÍN</v>
      </c>
      <c r="Q354" s="30" t="str">
        <f ca="1">IFERROR(__xludf.DUMMYFUNCTION("""COMPUTED_VALUE"""),"-34.56030185")</f>
        <v>-34.56030185</v>
      </c>
      <c r="R354" s="30" t="str">
        <f ca="1">IFERROR(__xludf.DUMMYFUNCTION("""COMPUTED_VALUE"""),"-58.58160996")</f>
        <v>-58.58160996</v>
      </c>
      <c r="S354" s="30" t="str">
        <f ca="1">IFERROR(__xludf.DUMMYFUNCTION("""COMPUTED_VALUE"""),"Municipal")</f>
        <v>Municipal</v>
      </c>
      <c r="T354" s="30" t="str">
        <f ca="1">IFERROR(__xludf.DUMMYFUNCTION("""COMPUTED_VALUE"""),"GENERAL SAN MARTÍN")</f>
        <v>GENERAL SAN MARTÍN</v>
      </c>
    </row>
    <row r="355" spans="1:20" ht="15.75" customHeight="1" x14ac:dyDescent="0.25">
      <c r="A355" s="30" t="str">
        <f ca="1">IFERROR(__xludf.DUMMYFUNCTION("""COMPUTED_VALUE"""),"50063712202504")</f>
        <v>50063712202504</v>
      </c>
      <c r="B355" s="30" t="str">
        <f ca="1">IFERROR(__xludf.DUMMYFUNCTION("""COMPUTED_VALUE"""),"UNIDAD SANITARIA N° 14 BARRIO UTA DE LOMA HERMOSA")</f>
        <v>UNIDAD SANITARIA N° 14 BARRIO UTA DE LOMA HERMOSA</v>
      </c>
      <c r="C355" s="30" t="str">
        <f ca="1">IFERROR(__xludf.DUMMYFUNCTION("""COMPUTED_VALUE"""),"Buenos Aires")</f>
        <v>Buenos Aires</v>
      </c>
      <c r="D355" s="30" t="str">
        <f ca="1">IFERROR(__xludf.DUMMYFUNCTION("""COMPUTED_VALUE"""),"6")</f>
        <v>6</v>
      </c>
      <c r="E355" s="30" t="str">
        <f ca="1">IFERROR(__xludf.DUMMYFUNCTION("""COMPUTED_VALUE"""),"")</f>
        <v/>
      </c>
      <c r="F355" s="29"/>
      <c r="G355" s="29"/>
      <c r="H355" s="30" t="str">
        <f ca="1">IFERROR(__xludf.DUMMYFUNCTION("""COMPUTED_VALUE"""),"activo")</f>
        <v>activo</v>
      </c>
      <c r="I355" s="29"/>
      <c r="J355" s="29"/>
      <c r="K355" s="29"/>
      <c r="L355" s="30" t="str">
        <f ca="1">IFERROR(__xludf.DUMMYFUNCTION("""COMPUTED_VALUE"""),"No")</f>
        <v>No</v>
      </c>
      <c r="M355" s="30" t="str">
        <f ca="1">IFERROR(__xludf.DUMMYFUNCTION("""COMPUTED_VALUE"""),"6371050")</f>
        <v>6371050</v>
      </c>
      <c r="N355" s="30" t="str">
        <f ca="1">IFERROR(__xludf.DUMMYFUNCTION("""COMPUTED_VALUE"""),"LOMA HERMOSA")</f>
        <v>LOMA HERMOSA</v>
      </c>
      <c r="O355" s="30" t="str">
        <f ca="1">IFERROR(__xludf.DUMMYFUNCTION("""COMPUTED_VALUE"""),"6371")</f>
        <v>6371</v>
      </c>
      <c r="P355" s="30" t="str">
        <f ca="1">IFERROR(__xludf.DUMMYFUNCTION("""COMPUTED_VALUE"""),"GENERAL SAN MARTÍN")</f>
        <v>GENERAL SAN MARTÍN</v>
      </c>
      <c r="Q355" s="30" t="str">
        <f ca="1">IFERROR(__xludf.DUMMYFUNCTION("""COMPUTED_VALUE"""),"-34.554987")</f>
        <v>-34.554987</v>
      </c>
      <c r="R355" s="30" t="str">
        <f ca="1">IFERROR(__xludf.DUMMYFUNCTION("""COMPUTED_VALUE"""),"-58.606464")</f>
        <v>-58.606464</v>
      </c>
      <c r="S355" s="30" t="str">
        <f ca="1">IFERROR(__xludf.DUMMYFUNCTION("""COMPUTED_VALUE"""),"Municipal")</f>
        <v>Municipal</v>
      </c>
      <c r="T355" s="30" t="str">
        <f ca="1">IFERROR(__xludf.DUMMYFUNCTION("""COMPUTED_VALUE"""),"GENERAL SAN MARTÍN")</f>
        <v>GENERAL SAN MARTÍN</v>
      </c>
    </row>
    <row r="356" spans="1:20" ht="15.75" customHeight="1" x14ac:dyDescent="0.25">
      <c r="A356" s="30" t="str">
        <f ca="1">IFERROR(__xludf.DUMMYFUNCTION("""COMPUTED_VALUE"""),"50063712202527")</f>
        <v>50063712202527</v>
      </c>
      <c r="B356" s="30" t="str">
        <f ca="1">IFERROR(__xludf.DUMMYFUNCTION("""COMPUTED_VALUE"""),"UNIDAD SANITARIA N° 17 BARRIO NECOCHEA DE JOSE LEON SUAREZ")</f>
        <v>UNIDAD SANITARIA N° 17 BARRIO NECOCHEA DE JOSE LEON SUAREZ</v>
      </c>
      <c r="C356" s="30" t="str">
        <f ca="1">IFERROR(__xludf.DUMMYFUNCTION("""COMPUTED_VALUE"""),"Buenos Aires")</f>
        <v>Buenos Aires</v>
      </c>
      <c r="D356" s="30" t="str">
        <f ca="1">IFERROR(__xludf.DUMMYFUNCTION("""COMPUTED_VALUE"""),"6")</f>
        <v>6</v>
      </c>
      <c r="E356" s="30" t="str">
        <f ca="1">IFERROR(__xludf.DUMMYFUNCTION("""COMPUTED_VALUE"""),"")</f>
        <v/>
      </c>
      <c r="F356" s="29"/>
      <c r="G356" s="29"/>
      <c r="H356" s="30" t="str">
        <f ca="1">IFERROR(__xludf.DUMMYFUNCTION("""COMPUTED_VALUE"""),"activo")</f>
        <v>activo</v>
      </c>
      <c r="I356" s="29"/>
      <c r="J356" s="29"/>
      <c r="K356" s="29"/>
      <c r="L356" s="30" t="str">
        <f ca="1">IFERROR(__xludf.DUMMYFUNCTION("""COMPUTED_VALUE"""),"No")</f>
        <v>No</v>
      </c>
      <c r="M356" s="30" t="str">
        <f ca="1">IFERROR(__xludf.DUMMYFUNCTION("""COMPUTED_VALUE"""),"6371020")</f>
        <v>6371020</v>
      </c>
      <c r="N356" s="30" t="str">
        <f ca="1">IFERROR(__xludf.DUMMYFUNCTION("""COMPUTED_VALUE"""),"JOSÉ LEÓN SUAREZ")</f>
        <v>JOSÉ LEÓN SUAREZ</v>
      </c>
      <c r="O356" s="30" t="str">
        <f ca="1">IFERROR(__xludf.DUMMYFUNCTION("""COMPUTED_VALUE"""),"6371")</f>
        <v>6371</v>
      </c>
      <c r="P356" s="30" t="str">
        <f ca="1">IFERROR(__xludf.DUMMYFUNCTION("""COMPUTED_VALUE"""),"GENERAL SAN MARTÍN")</f>
        <v>GENERAL SAN MARTÍN</v>
      </c>
      <c r="Q356" s="30" t="str">
        <f ca="1">IFERROR(__xludf.DUMMYFUNCTION("""COMPUTED_VALUE"""),"-34.5109391")</f>
        <v>-34.5109391</v>
      </c>
      <c r="R356" s="30" t="str">
        <f ca="1">IFERROR(__xludf.DUMMYFUNCTION("""COMPUTED_VALUE"""),"-58.5837779")</f>
        <v>-58.5837779</v>
      </c>
      <c r="S356" s="30" t="str">
        <f ca="1">IFERROR(__xludf.DUMMYFUNCTION("""COMPUTED_VALUE"""),"Municipal")</f>
        <v>Municipal</v>
      </c>
      <c r="T356" s="30" t="str">
        <f ca="1">IFERROR(__xludf.DUMMYFUNCTION("""COMPUTED_VALUE"""),"GENERAL SAN MARTÍN")</f>
        <v>GENERAL SAN MARTÍN</v>
      </c>
    </row>
    <row r="357" spans="1:20" ht="15.75" customHeight="1" x14ac:dyDescent="0.25">
      <c r="A357" s="30" t="str">
        <f ca="1">IFERROR(__xludf.DUMMYFUNCTION("""COMPUTED_VALUE"""),"50063712202660")</f>
        <v>50063712202660</v>
      </c>
      <c r="B357" s="30" t="str">
        <f ca="1">IFERROR(__xludf.DUMMYFUNCTION("""COMPUTED_VALUE"""),"UNIDAD SANITARIA N° 7 JOSE PEREYRA DE JOSE LEON SUAREZ")</f>
        <v>UNIDAD SANITARIA N° 7 JOSE PEREYRA DE JOSE LEON SUAREZ</v>
      </c>
      <c r="C357" s="30" t="str">
        <f ca="1">IFERROR(__xludf.DUMMYFUNCTION("""COMPUTED_VALUE"""),"Buenos Aires")</f>
        <v>Buenos Aires</v>
      </c>
      <c r="D357" s="30" t="str">
        <f ca="1">IFERROR(__xludf.DUMMYFUNCTION("""COMPUTED_VALUE"""),"6")</f>
        <v>6</v>
      </c>
      <c r="E357" s="30" t="str">
        <f ca="1">IFERROR(__xludf.DUMMYFUNCTION("""COMPUTED_VALUE"""),"")</f>
        <v/>
      </c>
      <c r="F357" s="29"/>
      <c r="G357" s="29"/>
      <c r="H357" s="30" t="str">
        <f ca="1">IFERROR(__xludf.DUMMYFUNCTION("""COMPUTED_VALUE"""),"activo")</f>
        <v>activo</v>
      </c>
      <c r="I357" s="29"/>
      <c r="J357" s="29"/>
      <c r="K357" s="29"/>
      <c r="L357" s="30" t="str">
        <f ca="1">IFERROR(__xludf.DUMMYFUNCTION("""COMPUTED_VALUE"""),"No")</f>
        <v>No</v>
      </c>
      <c r="M357" s="30" t="str">
        <f ca="1">IFERROR(__xludf.DUMMYFUNCTION("""COMPUTED_VALUE"""),"6371020")</f>
        <v>6371020</v>
      </c>
      <c r="N357" s="30" t="str">
        <f ca="1">IFERROR(__xludf.DUMMYFUNCTION("""COMPUTED_VALUE"""),"JOSÉ LEÓN SUAREZ")</f>
        <v>JOSÉ LEÓN SUAREZ</v>
      </c>
      <c r="O357" s="30" t="str">
        <f ca="1">IFERROR(__xludf.DUMMYFUNCTION("""COMPUTED_VALUE"""),"6371")</f>
        <v>6371</v>
      </c>
      <c r="P357" s="30" t="str">
        <f ca="1">IFERROR(__xludf.DUMMYFUNCTION("""COMPUTED_VALUE"""),"GENERAL SAN MARTÍN")</f>
        <v>GENERAL SAN MARTÍN</v>
      </c>
      <c r="Q357" s="30" t="str">
        <f ca="1">IFERROR(__xludf.DUMMYFUNCTION("""COMPUTED_VALUE"""),"-34.5354635")</f>
        <v>-34.5354635</v>
      </c>
      <c r="R357" s="30" t="str">
        <f ca="1">IFERROR(__xludf.DUMMYFUNCTION("""COMPUTED_VALUE"""),"-58.579743")</f>
        <v>-58.579743</v>
      </c>
      <c r="S357" s="30" t="str">
        <f ca="1">IFERROR(__xludf.DUMMYFUNCTION("""COMPUTED_VALUE"""),"Municipal")</f>
        <v>Municipal</v>
      </c>
      <c r="T357" s="30" t="str">
        <f ca="1">IFERROR(__xludf.DUMMYFUNCTION("""COMPUTED_VALUE"""),"GENERAL SAN MARTÍN")</f>
        <v>GENERAL SAN MARTÍN</v>
      </c>
    </row>
    <row r="358" spans="1:20" ht="15.75" customHeight="1" x14ac:dyDescent="0.25">
      <c r="A358" s="30" t="str">
        <f ca="1">IFERROR(__xludf.DUMMYFUNCTION("""COMPUTED_VALUE"""),"50063712202892")</f>
        <v>50063712202892</v>
      </c>
      <c r="B358" s="30" t="str">
        <f ca="1">IFERROR(__xludf.DUMMYFUNCTION("""COMPUTED_VALUE"""),"UNIDAD SANITARIA VILLA LANZONE")</f>
        <v>UNIDAD SANITARIA VILLA LANZONE</v>
      </c>
      <c r="C358" s="30" t="str">
        <f ca="1">IFERROR(__xludf.DUMMYFUNCTION("""COMPUTED_VALUE"""),"Buenos Aires")</f>
        <v>Buenos Aires</v>
      </c>
      <c r="D358" s="30" t="str">
        <f ca="1">IFERROR(__xludf.DUMMYFUNCTION("""COMPUTED_VALUE"""),"6")</f>
        <v>6</v>
      </c>
      <c r="E358" s="30" t="str">
        <f ca="1">IFERROR(__xludf.DUMMYFUNCTION("""COMPUTED_VALUE"""),"")</f>
        <v/>
      </c>
      <c r="F358" s="29"/>
      <c r="G358" s="29"/>
      <c r="H358" s="30" t="str">
        <f ca="1">IFERROR(__xludf.DUMMYFUNCTION("""COMPUTED_VALUE"""),"activo")</f>
        <v>activo</v>
      </c>
      <c r="I358" s="29"/>
      <c r="J358" s="29"/>
      <c r="K358" s="29"/>
      <c r="L358" s="30" t="str">
        <f ca="1">IFERROR(__xludf.DUMMYFUNCTION("""COMPUTED_VALUE"""),"No")</f>
        <v>No</v>
      </c>
      <c r="M358" s="30" t="str">
        <f ca="1">IFERROR(__xludf.DUMMYFUNCTION("""COMPUTED_VALUE"""),"6371060")</f>
        <v>6371060</v>
      </c>
      <c r="N358" s="30" t="str">
        <f ca="1">IFERROR(__xludf.DUMMYFUNCTION("""COMPUTED_VALUE"""),"VILLA LANZONE")</f>
        <v>VILLA LANZONE</v>
      </c>
      <c r="O358" s="30" t="str">
        <f ca="1">IFERROR(__xludf.DUMMYFUNCTION("""COMPUTED_VALUE"""),"6371")</f>
        <v>6371</v>
      </c>
      <c r="P358" s="30" t="str">
        <f ca="1">IFERROR(__xludf.DUMMYFUNCTION("""COMPUTED_VALUE"""),"GENERAL SAN MARTÍN")</f>
        <v>GENERAL SAN MARTÍN</v>
      </c>
      <c r="Q358" s="30" t="str">
        <f ca="1">IFERROR(__xludf.DUMMYFUNCTION("""COMPUTED_VALUE"""),"-34.544931")</f>
        <v>-34.544931</v>
      </c>
      <c r="R358" s="30" t="str">
        <f ca="1">IFERROR(__xludf.DUMMYFUNCTION("""COMPUTED_VALUE"""),"-58.58919")</f>
        <v>-58.58919</v>
      </c>
      <c r="S358" s="30" t="str">
        <f ca="1">IFERROR(__xludf.DUMMYFUNCTION("""COMPUTED_VALUE"""),"Municipal")</f>
        <v>Municipal</v>
      </c>
      <c r="T358" s="30" t="str">
        <f ca="1">IFERROR(__xludf.DUMMYFUNCTION("""COMPUTED_VALUE"""),"GENERAL SAN MARTÍN")</f>
        <v>GENERAL SAN MARTÍN</v>
      </c>
    </row>
    <row r="359" spans="1:20" ht="15.75" customHeight="1" x14ac:dyDescent="0.25">
      <c r="A359" s="30" t="str">
        <f ca="1">IFERROR(__xludf.DUMMYFUNCTION("""COMPUTED_VALUE"""),"50063712215026")</f>
        <v>50063712215026</v>
      </c>
      <c r="B359" s="30" t="str">
        <f ca="1">IFERROR(__xludf.DUMMYFUNCTION("""COMPUTED_VALUE"""),"CAPS N° 19 VILLA LIBERTAD")</f>
        <v>CAPS N° 19 VILLA LIBERTAD</v>
      </c>
      <c r="C359" s="30" t="str">
        <f ca="1">IFERROR(__xludf.DUMMYFUNCTION("""COMPUTED_VALUE"""),"Buenos Aires")</f>
        <v>Buenos Aires</v>
      </c>
      <c r="D359" s="30" t="str">
        <f ca="1">IFERROR(__xludf.DUMMYFUNCTION("""COMPUTED_VALUE"""),"6")</f>
        <v>6</v>
      </c>
      <c r="E359" s="30" t="str">
        <f ca="1">IFERROR(__xludf.DUMMYFUNCTION("""COMPUTED_VALUE"""),"si")</f>
        <v>si</v>
      </c>
      <c r="F359" s="29"/>
      <c r="G359" s="29"/>
      <c r="H359" s="30" t="str">
        <f ca="1">IFERROR(__xludf.DUMMYFUNCTION("""COMPUTED_VALUE"""),"activo")</f>
        <v>activo</v>
      </c>
      <c r="I359" s="29"/>
      <c r="J359" s="29"/>
      <c r="K359" s="29"/>
      <c r="L359" s="30" t="str">
        <f ca="1">IFERROR(__xludf.DUMMYFUNCTION("""COMPUTED_VALUE"""),"No")</f>
        <v>No</v>
      </c>
      <c r="M359" s="30" t="str">
        <f ca="1">IFERROR(__xludf.DUMMYFUNCTION("""COMPUTED_VALUE"""),"6371010001")</f>
        <v>6371010001</v>
      </c>
      <c r="N359" s="30" t="str">
        <f ca="1">IFERROR(__xludf.DUMMYFUNCTION("""COMPUTED_VALUE"""),"BARRIO PARQUE GENERAL SAN MARTIN")</f>
        <v>BARRIO PARQUE GENERAL SAN MARTIN</v>
      </c>
      <c r="O359" s="30" t="str">
        <f ca="1">IFERROR(__xludf.DUMMYFUNCTION("""COMPUTED_VALUE"""),"6371")</f>
        <v>6371</v>
      </c>
      <c r="P359" s="30" t="str">
        <f ca="1">IFERROR(__xludf.DUMMYFUNCTION("""COMPUTED_VALUE"""),"GENERAL SAN MARTÍN")</f>
        <v>GENERAL SAN MARTÍN</v>
      </c>
      <c r="Q359" s="30" t="str">
        <f ca="1">IFERROR(__xludf.DUMMYFUNCTION("""COMPUTED_VALUE"""),"-34.58374362")</f>
        <v>-34.58374362</v>
      </c>
      <c r="R359" s="30" t="str">
        <f ca="1">IFERROR(__xludf.DUMMYFUNCTION("""COMPUTED_VALUE"""),"-58.5635756")</f>
        <v>-58.5635756</v>
      </c>
      <c r="S359" s="30" t="str">
        <f ca="1">IFERROR(__xludf.DUMMYFUNCTION("""COMPUTED_VALUE"""),"Municipal")</f>
        <v>Municipal</v>
      </c>
      <c r="T359" s="30" t="str">
        <f ca="1">IFERROR(__xludf.DUMMYFUNCTION("""COMPUTED_VALUE"""),"GENERAL SAN MARTÍN")</f>
        <v>GENERAL SAN MARTÍN</v>
      </c>
    </row>
    <row r="360" spans="1:20" ht="15.75" customHeight="1" x14ac:dyDescent="0.25">
      <c r="A360" s="30" t="str">
        <f ca="1">IFERROR(__xludf.DUMMYFUNCTION("""COMPUTED_VALUE"""),"50063922201097")</f>
        <v>50063922201097</v>
      </c>
      <c r="B360" s="30" t="str">
        <f ca="1">IFERROR(__xludf.DUMMYFUNCTION("""COMPUTED_VALUE"""),"CENTRO DE SALUD  PIEDRITAS")</f>
        <v>CENTRO DE SALUD  PIEDRITAS</v>
      </c>
      <c r="C360" s="30" t="str">
        <f ca="1">IFERROR(__xludf.DUMMYFUNCTION("""COMPUTED_VALUE"""),"Buenos Aires")</f>
        <v>Buenos Aires</v>
      </c>
      <c r="D360" s="30" t="str">
        <f ca="1">IFERROR(__xludf.DUMMYFUNCTION("""COMPUTED_VALUE"""),"6")</f>
        <v>6</v>
      </c>
      <c r="E360" s="30" t="str">
        <f ca="1">IFERROR(__xludf.DUMMYFUNCTION("""COMPUTED_VALUE"""),"")</f>
        <v/>
      </c>
      <c r="F360" s="29"/>
      <c r="G360" s="30" t="str">
        <f ca="1">IFERROR(__xludf.DUMMYFUNCTION("""COMPUTED_VALUE"""),"50065252202121")</f>
        <v>50065252202121</v>
      </c>
      <c r="H360" s="30" t="str">
        <f ca="1">IFERROR(__xludf.DUMMYFUNCTION("""COMPUTED_VALUE"""),"inactivo")</f>
        <v>inactivo</v>
      </c>
      <c r="I360" s="29"/>
      <c r="J360" s="29"/>
      <c r="K360" s="29"/>
      <c r="L360" s="30" t="str">
        <f ca="1">IFERROR(__xludf.DUMMYFUNCTION("""COMPUTED_VALUE"""),"No")</f>
        <v>No</v>
      </c>
      <c r="M360" s="30" t="str">
        <f ca="1">IFERROR(__xludf.DUMMYFUNCTION("""COMPUTED_VALUE"""),"6392080000")</f>
        <v>6392080000</v>
      </c>
      <c r="N360" s="30" t="str">
        <f ca="1">IFERROR(__xludf.DUMMYFUNCTION("""COMPUTED_VALUE"""),"PIEDRITAS")</f>
        <v>PIEDRITAS</v>
      </c>
      <c r="O360" s="30" t="str">
        <f ca="1">IFERROR(__xludf.DUMMYFUNCTION("""COMPUTED_VALUE"""),"6392")</f>
        <v>6392</v>
      </c>
      <c r="P360" s="30" t="str">
        <f ca="1">IFERROR(__xludf.DUMMYFUNCTION("""COMPUTED_VALUE"""),"GENERAL VILLEGAS")</f>
        <v>GENERAL VILLEGAS</v>
      </c>
      <c r="Q360" s="30" t="str">
        <f ca="1">IFERROR(__xludf.DUMMYFUNCTION("""COMPUTED_VALUE"""),"-34.77571361")</f>
        <v>-34.77571361</v>
      </c>
      <c r="R360" s="30" t="str">
        <f ca="1">IFERROR(__xludf.DUMMYFUNCTION("""COMPUTED_VALUE"""),"-62.9848938")</f>
        <v>-62.9848938</v>
      </c>
      <c r="S360" s="30" t="str">
        <f ca="1">IFERROR(__xludf.DUMMYFUNCTION("""COMPUTED_VALUE"""),"Municipal")</f>
        <v>Municipal</v>
      </c>
      <c r="T360" s="30" t="str">
        <f ca="1">IFERROR(__xludf.DUMMYFUNCTION("""COMPUTED_VALUE"""),"GENERAL VILLEGAS")</f>
        <v>GENERAL VILLEGAS</v>
      </c>
    </row>
    <row r="361" spans="1:20" ht="15.75" customHeight="1" x14ac:dyDescent="0.25">
      <c r="A361" s="30" t="str">
        <f ca="1">IFERROR(__xludf.DUMMYFUNCTION("""COMPUTED_VALUE"""),"50065252202121")</f>
        <v>50065252202121</v>
      </c>
      <c r="B361" s="30" t="str">
        <f ca="1">IFERROR(__xludf.DUMMYFUNCTION("""COMPUTED_VALUE"""),"UNIDAD SANITARIA BARRIO RAYO DE SOL DE MARCOS PAZ")</f>
        <v>UNIDAD SANITARIA BARRIO RAYO DE SOL DE MARCOS PAZ</v>
      </c>
      <c r="C361" s="30" t="str">
        <f ca="1">IFERROR(__xludf.DUMMYFUNCTION("""COMPUTED_VALUE"""),"Buenos Aires")</f>
        <v>Buenos Aires</v>
      </c>
      <c r="D361" s="30" t="str">
        <f ca="1">IFERROR(__xludf.DUMMYFUNCTION("""COMPUTED_VALUE"""),"6")</f>
        <v>6</v>
      </c>
      <c r="E361" s="30" t="str">
        <f ca="1">IFERROR(__xludf.DUMMYFUNCTION("""COMPUTED_VALUE"""),"")</f>
        <v/>
      </c>
      <c r="F361" s="30" t="str">
        <f ca="1">IFERROR(__xludf.DUMMYFUNCTION("""COMPUTED_VALUE"""),"50063922201097")</f>
        <v>50063922201097</v>
      </c>
      <c r="G361" s="29"/>
      <c r="H361" s="30" t="str">
        <f ca="1">IFERROR(__xludf.DUMMYFUNCTION("""COMPUTED_VALUE"""),"activo")</f>
        <v>activo</v>
      </c>
      <c r="I361" s="29"/>
      <c r="J361" s="29"/>
      <c r="K361" s="29"/>
      <c r="L361" s="30" t="str">
        <f ca="1">IFERROR(__xludf.DUMMYFUNCTION("""COMPUTED_VALUE"""),"No")</f>
        <v>No</v>
      </c>
      <c r="M361" s="30" t="str">
        <f ca="1">IFERROR(__xludf.DUMMYFUNCTION("""COMPUTED_VALUE"""),"6525020002")</f>
        <v>6525020002</v>
      </c>
      <c r="N361" s="30" t="str">
        <f ca="1">IFERROR(__xludf.DUMMYFUNCTION("""COMPUTED_VALUE"""),"MARCOS PAZ")</f>
        <v>MARCOS PAZ</v>
      </c>
      <c r="O361" s="30" t="str">
        <f ca="1">IFERROR(__xludf.DUMMYFUNCTION("""COMPUTED_VALUE"""),"6525")</f>
        <v>6525</v>
      </c>
      <c r="P361" s="30" t="str">
        <f ca="1">IFERROR(__xludf.DUMMYFUNCTION("""COMPUTED_VALUE"""),"MARCOS PAZ")</f>
        <v>MARCOS PAZ</v>
      </c>
      <c r="Q361" s="30" t="str">
        <f ca="1">IFERROR(__xludf.DUMMYFUNCTION("""COMPUTED_VALUE"""),"-34.75029513")</f>
        <v>-34.75029513</v>
      </c>
      <c r="R361" s="30" t="str">
        <f ca="1">IFERROR(__xludf.DUMMYFUNCTION("""COMPUTED_VALUE"""),"-58.80427623")</f>
        <v>-58.80427623</v>
      </c>
      <c r="S361" s="30" t="str">
        <f ca="1">IFERROR(__xludf.DUMMYFUNCTION("""COMPUTED_VALUE"""),"Municipal")</f>
        <v>Municipal</v>
      </c>
      <c r="T361" s="30" t="str">
        <f ca="1">IFERROR(__xludf.DUMMYFUNCTION("""COMPUTED_VALUE"""),"MARCOS PAZ")</f>
        <v>MARCOS PAZ</v>
      </c>
    </row>
    <row r="362" spans="1:20" ht="15.75" customHeight="1" x14ac:dyDescent="0.25">
      <c r="A362" s="30" t="str">
        <f ca="1">IFERROR(__xludf.DUMMYFUNCTION("""COMPUTED_VALUE"""),"50063922201194")</f>
        <v>50063922201194</v>
      </c>
      <c r="B362" s="30" t="str">
        <f ca="1">IFERROR(__xludf.DUMMYFUNCTION("""COMPUTED_VALUE"""),"CENTRO DE SALUD BANDERALO")</f>
        <v>CENTRO DE SALUD BANDERALO</v>
      </c>
      <c r="C362" s="30" t="str">
        <f ca="1">IFERROR(__xludf.DUMMYFUNCTION("""COMPUTED_VALUE"""),"Buenos Aires")</f>
        <v>Buenos Aires</v>
      </c>
      <c r="D362" s="30" t="str">
        <f ca="1">IFERROR(__xludf.DUMMYFUNCTION("""COMPUTED_VALUE"""),"6")</f>
        <v>6</v>
      </c>
      <c r="E362" s="30" t="str">
        <f ca="1">IFERROR(__xludf.DUMMYFUNCTION("""COMPUTED_VALUE"""),"")</f>
        <v/>
      </c>
      <c r="F362" s="29"/>
      <c r="G362" s="30" t="str">
        <f ca="1">IFERROR(__xludf.DUMMYFUNCTION("""COMPUTED_VALUE"""),"50065252216551")</f>
        <v>50065252216551</v>
      </c>
      <c r="H362" s="30" t="str">
        <f ca="1">IFERROR(__xludf.DUMMYFUNCTION("""COMPUTED_VALUE"""),"inactivo")</f>
        <v>inactivo</v>
      </c>
      <c r="I362" s="29"/>
      <c r="J362" s="29"/>
      <c r="K362" s="29"/>
      <c r="L362" s="30" t="str">
        <f ca="1">IFERROR(__xludf.DUMMYFUNCTION("""COMPUTED_VALUE"""),"No")</f>
        <v>No</v>
      </c>
      <c r="M362" s="30" t="str">
        <f ca="1">IFERROR(__xludf.DUMMYFUNCTION("""COMPUTED_VALUE"""),"6392010000")</f>
        <v>6392010000</v>
      </c>
      <c r="N362" s="30" t="str">
        <f ca="1">IFERROR(__xludf.DUMMYFUNCTION("""COMPUTED_VALUE"""),"BANDERALO")</f>
        <v>BANDERALO</v>
      </c>
      <c r="O362" s="30" t="str">
        <f ca="1">IFERROR(__xludf.DUMMYFUNCTION("""COMPUTED_VALUE"""),"6392")</f>
        <v>6392</v>
      </c>
      <c r="P362" s="30" t="str">
        <f ca="1">IFERROR(__xludf.DUMMYFUNCTION("""COMPUTED_VALUE"""),"GENERAL VILLEGAS")</f>
        <v>GENERAL VILLEGAS</v>
      </c>
      <c r="Q362" s="30" t="str">
        <f ca="1">IFERROR(__xludf.DUMMYFUNCTION("""COMPUTED_VALUE"""),"-35.01513903")</f>
        <v>-35.01513903</v>
      </c>
      <c r="R362" s="30" t="str">
        <f ca="1">IFERROR(__xludf.DUMMYFUNCTION("""COMPUTED_VALUE"""),"-63.37491274")</f>
        <v>-63.37491274</v>
      </c>
      <c r="S362" s="30" t="str">
        <f ca="1">IFERROR(__xludf.DUMMYFUNCTION("""COMPUTED_VALUE"""),"Municipal")</f>
        <v>Municipal</v>
      </c>
      <c r="T362" s="30" t="str">
        <f ca="1">IFERROR(__xludf.DUMMYFUNCTION("""COMPUTED_VALUE"""),"GENERAL VILLEGAS")</f>
        <v>GENERAL VILLEGAS</v>
      </c>
    </row>
    <row r="363" spans="1:20" ht="15.75" customHeight="1" x14ac:dyDescent="0.25">
      <c r="A363" s="30" t="str">
        <f ca="1">IFERROR(__xludf.DUMMYFUNCTION("""COMPUTED_VALUE"""),"50065252216551")</f>
        <v>50065252216551</v>
      </c>
      <c r="B363" s="30" t="str">
        <f ca="1">IFERROR(__xludf.DUMMYFUNCTION("""COMPUTED_VALUE"""),"CAPS UNIDAD SANITARIA AMBIENTAL")</f>
        <v>CAPS UNIDAD SANITARIA AMBIENTAL</v>
      </c>
      <c r="C363" s="30" t="str">
        <f ca="1">IFERROR(__xludf.DUMMYFUNCTION("""COMPUTED_VALUE"""),"Buenos Aires")</f>
        <v>Buenos Aires</v>
      </c>
      <c r="D363" s="30" t="str">
        <f ca="1">IFERROR(__xludf.DUMMYFUNCTION("""COMPUTED_VALUE"""),"6")</f>
        <v>6</v>
      </c>
      <c r="E363" s="30" t="str">
        <f ca="1">IFERROR(__xludf.DUMMYFUNCTION("""COMPUTED_VALUE"""),"")</f>
        <v/>
      </c>
      <c r="F363" s="30" t="str">
        <f ca="1">IFERROR(__xludf.DUMMYFUNCTION("""COMPUTED_VALUE"""),"50063922201194")</f>
        <v>50063922201194</v>
      </c>
      <c r="G363" s="29"/>
      <c r="H363" s="30" t="str">
        <f ca="1">IFERROR(__xludf.DUMMYFUNCTION("""COMPUTED_VALUE"""),"activo")</f>
        <v>activo</v>
      </c>
      <c r="I363" s="29"/>
      <c r="J363" s="29"/>
      <c r="K363" s="29"/>
      <c r="L363" s="30" t="str">
        <f ca="1">IFERROR(__xludf.DUMMYFUNCTION("""COMPUTED_VALUE"""),"No")</f>
        <v>No</v>
      </c>
      <c r="M363" s="30" t="str">
        <f ca="1">IFERROR(__xludf.DUMMYFUNCTION("""COMPUTED_VALUE"""),"6525020002")</f>
        <v>6525020002</v>
      </c>
      <c r="N363" s="30" t="str">
        <f ca="1">IFERROR(__xludf.DUMMYFUNCTION("""COMPUTED_VALUE"""),"MARCOS PAZ")</f>
        <v>MARCOS PAZ</v>
      </c>
      <c r="O363" s="30" t="str">
        <f ca="1">IFERROR(__xludf.DUMMYFUNCTION("""COMPUTED_VALUE"""),"6525")</f>
        <v>6525</v>
      </c>
      <c r="P363" s="30" t="str">
        <f ca="1">IFERROR(__xludf.DUMMYFUNCTION("""COMPUTED_VALUE"""),"MARCOS PAZ")</f>
        <v>MARCOS PAZ</v>
      </c>
      <c r="Q363" s="30" t="str">
        <f ca="1">IFERROR(__xludf.DUMMYFUNCTION("""COMPUTED_VALUE"""),"-34.78942109")</f>
        <v>-34.78942109</v>
      </c>
      <c r="R363" s="30" t="str">
        <f ca="1">IFERROR(__xludf.DUMMYFUNCTION("""COMPUTED_VALUE"""),"-58.85071546")</f>
        <v>-58.85071546</v>
      </c>
      <c r="S363" s="30" t="str">
        <f ca="1">IFERROR(__xludf.DUMMYFUNCTION("""COMPUTED_VALUE"""),"Municipal")</f>
        <v>Municipal</v>
      </c>
      <c r="T363" s="30" t="str">
        <f ca="1">IFERROR(__xludf.DUMMYFUNCTION("""COMPUTED_VALUE"""),"MARCOS PAZ")</f>
        <v>MARCOS PAZ</v>
      </c>
    </row>
    <row r="364" spans="1:20" ht="15.75" customHeight="1" x14ac:dyDescent="0.25">
      <c r="A364" s="30" t="str">
        <f ca="1">IFERROR(__xludf.DUMMYFUNCTION("""COMPUTED_VALUE"""),"50064062201967")</f>
        <v>50064062201967</v>
      </c>
      <c r="B364" s="30" t="str">
        <f ca="1">IFERROR(__xludf.DUMMYFUNCTION("""COMPUTED_VALUE"""),"SALA RAMON CARRILLO")</f>
        <v>SALA RAMON CARRILLO</v>
      </c>
      <c r="C364" s="30" t="str">
        <f ca="1">IFERROR(__xludf.DUMMYFUNCTION("""COMPUTED_VALUE"""),"Buenos Aires")</f>
        <v>Buenos Aires</v>
      </c>
      <c r="D364" s="30" t="str">
        <f ca="1">IFERROR(__xludf.DUMMYFUNCTION("""COMPUTED_VALUE"""),"6")</f>
        <v>6</v>
      </c>
      <c r="E364" s="30" t="str">
        <f ca="1">IFERROR(__xludf.DUMMYFUNCTION("""COMPUTED_VALUE"""),"")</f>
        <v/>
      </c>
      <c r="F364" s="29"/>
      <c r="G364" s="30" t="str">
        <f ca="1">IFERROR(__xludf.DUMMYFUNCTION("""COMPUTED_VALUE"""),"50065682201207")</f>
        <v>50065682201207</v>
      </c>
      <c r="H364" s="30" t="str">
        <f ca="1">IFERROR(__xludf.DUMMYFUNCTION("""COMPUTED_VALUE"""),"inactivo")</f>
        <v>inactivo</v>
      </c>
      <c r="I364" s="29"/>
      <c r="J364" s="29"/>
      <c r="K364" s="29"/>
      <c r="L364" s="30" t="str">
        <f ca="1">IFERROR(__xludf.DUMMYFUNCTION("""COMPUTED_VALUE"""),"No")</f>
        <v>No</v>
      </c>
      <c r="M364" s="30" t="str">
        <f ca="1">IFERROR(__xludf.DUMMYFUNCTION("""COMPUTED_VALUE"""),"6406010000")</f>
        <v>6406010000</v>
      </c>
      <c r="N364" s="30" t="str">
        <f ca="1">IFERROR(__xludf.DUMMYFUNCTION("""COMPUTED_VALUE"""),"HENDERSON")</f>
        <v>HENDERSON</v>
      </c>
      <c r="O364" s="30" t="str">
        <f ca="1">IFERROR(__xludf.DUMMYFUNCTION("""COMPUTED_VALUE"""),"6406")</f>
        <v>6406</v>
      </c>
      <c r="P364" s="30" t="str">
        <f ca="1">IFERROR(__xludf.DUMMYFUNCTION("""COMPUTED_VALUE"""),"HIPÓLITO YRIGOYEN")</f>
        <v>HIPÓLITO YRIGOYEN</v>
      </c>
      <c r="Q364" s="30" t="str">
        <f ca="1">IFERROR(__xludf.DUMMYFUNCTION("""COMPUTED_VALUE"""),"-36.29960411")</f>
        <v>-36.29960411</v>
      </c>
      <c r="R364" s="30" t="str">
        <f ca="1">IFERROR(__xludf.DUMMYFUNCTION("""COMPUTED_VALUE"""),"-61.71700287")</f>
        <v>-61.71700287</v>
      </c>
      <c r="S364" s="30" t="str">
        <f ca="1">IFERROR(__xludf.DUMMYFUNCTION("""COMPUTED_VALUE"""),"Municipal")</f>
        <v>Municipal</v>
      </c>
      <c r="T364" s="30" t="str">
        <f ca="1">IFERROR(__xludf.DUMMYFUNCTION("""COMPUTED_VALUE"""),"HIPÓLITO YRIGOYEN")</f>
        <v>HIPÓLITO YRIGOYEN</v>
      </c>
    </row>
    <row r="365" spans="1:20" ht="15.75" customHeight="1" x14ac:dyDescent="0.25">
      <c r="A365" s="30" t="str">
        <f ca="1">IFERROR(__xludf.DUMMYFUNCTION("""COMPUTED_VALUE"""),"50065682201207")</f>
        <v>50065682201207</v>
      </c>
      <c r="B365" s="30" t="str">
        <f ca="1">IFERROR(__xludf.DUMMYFUNCTION("""COMPUTED_VALUE"""),"CENTRO DE SALUD MERCEDES SOSA")</f>
        <v>CENTRO DE SALUD MERCEDES SOSA</v>
      </c>
      <c r="C365" s="30" t="str">
        <f ca="1">IFERROR(__xludf.DUMMYFUNCTION("""COMPUTED_VALUE"""),"Buenos Aires")</f>
        <v>Buenos Aires</v>
      </c>
      <c r="D365" s="30" t="str">
        <f ca="1">IFERROR(__xludf.DUMMYFUNCTION("""COMPUTED_VALUE"""),"6")</f>
        <v>6</v>
      </c>
      <c r="E365" s="30" t="str">
        <f ca="1">IFERROR(__xludf.DUMMYFUNCTION("""COMPUTED_VALUE"""),"")</f>
        <v/>
      </c>
      <c r="F365" s="30" t="str">
        <f ca="1">IFERROR(__xludf.DUMMYFUNCTION("""COMPUTED_VALUE"""),"50064062201967")</f>
        <v>50064062201967</v>
      </c>
      <c r="G365" s="29"/>
      <c r="H365" s="30" t="str">
        <f ca="1">IFERROR(__xludf.DUMMYFUNCTION("""COMPUTED_VALUE"""),"activo")</f>
        <v>activo</v>
      </c>
      <c r="I365" s="29"/>
      <c r="J365" s="29"/>
      <c r="K365" s="29"/>
      <c r="L365" s="30" t="str">
        <f ca="1">IFERROR(__xludf.DUMMYFUNCTION("""COMPUTED_VALUE"""),"No")</f>
        <v>No</v>
      </c>
      <c r="M365" s="30" t="str">
        <f ca="1">IFERROR(__xludf.DUMMYFUNCTION("""COMPUTED_VALUE"""),"6568010004")</f>
        <v>6568010004</v>
      </c>
      <c r="N365" s="30" t="str">
        <f ca="1">IFERROR(__xludf.DUMMYFUNCTION("""COMPUTED_VALUE"""),"MORON")</f>
        <v>MORON</v>
      </c>
      <c r="O365" s="30" t="str">
        <f ca="1">IFERROR(__xludf.DUMMYFUNCTION("""COMPUTED_VALUE"""),"6568")</f>
        <v>6568</v>
      </c>
      <c r="P365" s="30" t="str">
        <f ca="1">IFERROR(__xludf.DUMMYFUNCTION("""COMPUTED_VALUE"""),"MORÓN")</f>
        <v>MORÓN</v>
      </c>
      <c r="Q365" s="30" t="str">
        <f ca="1">IFERROR(__xludf.DUMMYFUNCTION("""COMPUTED_VALUE"""),"-34.689271")</f>
        <v>-34.689271</v>
      </c>
      <c r="R365" s="30" t="str">
        <f ca="1">IFERROR(__xludf.DUMMYFUNCTION("""COMPUTED_VALUE"""),"-58.636632")</f>
        <v>-58.636632</v>
      </c>
      <c r="S365" s="30" t="str">
        <f ca="1">IFERROR(__xludf.DUMMYFUNCTION("""COMPUTED_VALUE"""),"Municipal")</f>
        <v>Municipal</v>
      </c>
      <c r="T365" s="30" t="str">
        <f ca="1">IFERROR(__xludf.DUMMYFUNCTION("""COMPUTED_VALUE"""),"MORÓN")</f>
        <v>MORÓN</v>
      </c>
    </row>
    <row r="366" spans="1:20" ht="15.75" customHeight="1" x14ac:dyDescent="0.25">
      <c r="A366" s="30" t="str">
        <f ca="1">IFERROR(__xludf.DUMMYFUNCTION("""COMPUTED_VALUE"""),"50064102202316")</f>
        <v>50064102202316</v>
      </c>
      <c r="B366" s="30" t="str">
        <f ca="1">IFERROR(__xludf.DUMMYFUNCTION("""COMPUTED_VALUE"""),"UNIDAD SANITARIA GONZALEZ OTHARAN")</f>
        <v>UNIDAD SANITARIA GONZALEZ OTHARAN</v>
      </c>
      <c r="C366" s="30" t="str">
        <f ca="1">IFERROR(__xludf.DUMMYFUNCTION("""COMPUTED_VALUE"""),"Buenos Aires")</f>
        <v>Buenos Aires</v>
      </c>
      <c r="D366" s="30" t="str">
        <f ca="1">IFERROR(__xludf.DUMMYFUNCTION("""COMPUTED_VALUE"""),"6")</f>
        <v>6</v>
      </c>
      <c r="E366" s="30" t="str">
        <f ca="1">IFERROR(__xludf.DUMMYFUNCTION("""COMPUTED_VALUE"""),"")</f>
        <v/>
      </c>
      <c r="F366" s="29"/>
      <c r="G366" s="29"/>
      <c r="H366" s="30" t="str">
        <f ca="1">IFERROR(__xludf.DUMMYFUNCTION("""COMPUTED_VALUE"""),"inactivo")</f>
        <v>inactivo</v>
      </c>
      <c r="I366" s="30" t="str">
        <f ca="1">IFERROR(__xludf.DUMMYFUNCTION("""COMPUTED_VALUE"""),"- fuera circular 2")</f>
        <v>- fuera circular 2</v>
      </c>
      <c r="J366" s="29"/>
      <c r="K366" s="29"/>
      <c r="L366" s="30" t="str">
        <f ca="1">IFERROR(__xludf.DUMMYFUNCTION("""COMPUTED_VALUE"""),"No")</f>
        <v>No</v>
      </c>
      <c r="M366" s="30" t="str">
        <f ca="1">IFERROR(__xludf.DUMMYFUNCTION("""COMPUTED_VALUE"""),"6410010003")</f>
        <v>6410010003</v>
      </c>
      <c r="N366" s="30" t="str">
        <f ca="1">IFERROR(__xludf.DUMMYFUNCTION("""COMPUTED_VALUE"""),"VILLA GOBERNADOR UDAONDO")</f>
        <v>VILLA GOBERNADOR UDAONDO</v>
      </c>
      <c r="O366" s="30" t="str">
        <f ca="1">IFERROR(__xludf.DUMMYFUNCTION("""COMPUTED_VALUE"""),"6410")</f>
        <v>6410</v>
      </c>
      <c r="P366" s="30" t="str">
        <f ca="1">IFERROR(__xludf.DUMMYFUNCTION("""COMPUTED_VALUE"""),"ITUZAINGÓ")</f>
        <v>ITUZAINGÓ</v>
      </c>
      <c r="Q366" s="30" t="str">
        <f ca="1">IFERROR(__xludf.DUMMYFUNCTION("""COMPUTED_VALUE"""),"-34.61316559")</f>
        <v>-34.61316559</v>
      </c>
      <c r="R366" s="30" t="str">
        <f ca="1">IFERROR(__xludf.DUMMYFUNCTION("""COMPUTED_VALUE"""),"-58.70155835")</f>
        <v>-58.70155835</v>
      </c>
      <c r="S366" s="30" t="str">
        <f ca="1">IFERROR(__xludf.DUMMYFUNCTION("""COMPUTED_VALUE"""),"Municipal")</f>
        <v>Municipal</v>
      </c>
      <c r="T366" s="30" t="str">
        <f ca="1">IFERROR(__xludf.DUMMYFUNCTION("""COMPUTED_VALUE"""),"ITUZAINGÓ")</f>
        <v>ITUZAINGÓ</v>
      </c>
    </row>
    <row r="367" spans="1:20" ht="15.75" customHeight="1" x14ac:dyDescent="0.25">
      <c r="A367" s="30" t="str">
        <f ca="1">IFERROR(__xludf.DUMMYFUNCTION("""COMPUTED_VALUE"""),"50064122202045")</f>
        <v>50064122202045</v>
      </c>
      <c r="B367" s="30" t="str">
        <f ca="1">IFERROR(__xludf.DUMMYFUNCTION("""COMPUTED_VALUE"""),"UNIDAD SANITARIA ALBERDI")</f>
        <v>UNIDAD SANITARIA ALBERDI</v>
      </c>
      <c r="C367" s="30" t="str">
        <f ca="1">IFERROR(__xludf.DUMMYFUNCTION("""COMPUTED_VALUE"""),"Buenos Aires")</f>
        <v>Buenos Aires</v>
      </c>
      <c r="D367" s="30" t="str">
        <f ca="1">IFERROR(__xludf.DUMMYFUNCTION("""COMPUTED_VALUE"""),"6")</f>
        <v>6</v>
      </c>
      <c r="E367" s="30" t="str">
        <f ca="1">IFERROR(__xludf.DUMMYFUNCTION("""COMPUTED_VALUE"""),"")</f>
        <v/>
      </c>
      <c r="F367" s="29"/>
      <c r="G367" s="29"/>
      <c r="H367" s="30" t="str">
        <f ca="1">IFERROR(__xludf.DUMMYFUNCTION("""COMPUTED_VALUE"""),"inactivo")</f>
        <v>inactivo</v>
      </c>
      <c r="I367" s="30" t="str">
        <f ca="1">IFERROR(__xludf.DUMMYFUNCTION("""COMPUTED_VALUE"""),"- fuera circular 2")</f>
        <v>- fuera circular 2</v>
      </c>
      <c r="J367" s="29"/>
      <c r="K367" s="29"/>
      <c r="L367" s="30" t="str">
        <f ca="1">IFERROR(__xludf.DUMMYFUNCTION("""COMPUTED_VALUE"""),"No")</f>
        <v>No</v>
      </c>
      <c r="M367" s="30" t="str">
        <f ca="1">IFERROR(__xludf.DUMMYFUNCTION("""COMPUTED_VALUE"""),"6412010002")</f>
        <v>6412010002</v>
      </c>
      <c r="N367" s="30" t="str">
        <f ca="1">IFERROR(__xludf.DUMMYFUNCTION("""COMPUTED_VALUE"""),"JOSE C. PAZ")</f>
        <v>JOSE C. PAZ</v>
      </c>
      <c r="O367" s="30" t="str">
        <f ca="1">IFERROR(__xludf.DUMMYFUNCTION("""COMPUTED_VALUE"""),"6412")</f>
        <v>6412</v>
      </c>
      <c r="P367" s="30" t="str">
        <f ca="1">IFERROR(__xludf.DUMMYFUNCTION("""COMPUTED_VALUE"""),"JOSÉ C. PAZ")</f>
        <v>JOSÉ C. PAZ</v>
      </c>
      <c r="Q367" s="30" t="str">
        <f ca="1">IFERROR(__xludf.DUMMYFUNCTION("""COMPUTED_VALUE"""),"-34.506162")</f>
        <v>-34.506162</v>
      </c>
      <c r="R367" s="30" t="str">
        <f ca="1">IFERROR(__xludf.DUMMYFUNCTION("""COMPUTED_VALUE"""),"-58.761195")</f>
        <v>-58.761195</v>
      </c>
      <c r="S367" s="30" t="str">
        <f ca="1">IFERROR(__xludf.DUMMYFUNCTION("""COMPUTED_VALUE"""),"Municipal")</f>
        <v>Municipal</v>
      </c>
      <c r="T367" s="30" t="str">
        <f ca="1">IFERROR(__xludf.DUMMYFUNCTION("""COMPUTED_VALUE"""),"JOSÉ C. PAZ")</f>
        <v>JOSÉ C. PAZ</v>
      </c>
    </row>
    <row r="368" spans="1:20" ht="15.75" customHeight="1" x14ac:dyDescent="0.25">
      <c r="A368" s="30" t="str">
        <f ca="1">IFERROR(__xludf.DUMMYFUNCTION("""COMPUTED_VALUE"""),"50064122202391")</f>
        <v>50064122202391</v>
      </c>
      <c r="B368" s="30" t="str">
        <f ca="1">IFERROR(__xludf.DUMMYFUNCTION("""COMPUTED_VALUE"""),"UNIDAD SANITARIA LAS ACACIAS")</f>
        <v>UNIDAD SANITARIA LAS ACACIAS</v>
      </c>
      <c r="C368" s="30" t="str">
        <f ca="1">IFERROR(__xludf.DUMMYFUNCTION("""COMPUTED_VALUE"""),"Buenos Aires")</f>
        <v>Buenos Aires</v>
      </c>
      <c r="D368" s="30" t="str">
        <f ca="1">IFERROR(__xludf.DUMMYFUNCTION("""COMPUTED_VALUE"""),"6")</f>
        <v>6</v>
      </c>
      <c r="E368" s="30" t="str">
        <f ca="1">IFERROR(__xludf.DUMMYFUNCTION("""COMPUTED_VALUE"""),"")</f>
        <v/>
      </c>
      <c r="F368" s="29"/>
      <c r="G368" s="29"/>
      <c r="H368" s="30" t="str">
        <f ca="1">IFERROR(__xludf.DUMMYFUNCTION("""COMPUTED_VALUE"""),"inactivo")</f>
        <v>inactivo</v>
      </c>
      <c r="I368" s="30" t="str">
        <f ca="1">IFERROR(__xludf.DUMMYFUNCTION("""COMPUTED_VALUE"""),"- fuera circular 2")</f>
        <v>- fuera circular 2</v>
      </c>
      <c r="J368" s="29"/>
      <c r="K368" s="29"/>
      <c r="L368" s="30" t="str">
        <f ca="1">IFERROR(__xludf.DUMMYFUNCTION("""COMPUTED_VALUE"""),"No")</f>
        <v>No</v>
      </c>
      <c r="M368" s="30" t="str">
        <f ca="1">IFERROR(__xludf.DUMMYFUNCTION("""COMPUTED_VALUE"""),"6412010002")</f>
        <v>6412010002</v>
      </c>
      <c r="N368" s="30" t="str">
        <f ca="1">IFERROR(__xludf.DUMMYFUNCTION("""COMPUTED_VALUE"""),"JOSE C. PAZ")</f>
        <v>JOSE C. PAZ</v>
      </c>
      <c r="O368" s="30" t="str">
        <f ca="1">IFERROR(__xludf.DUMMYFUNCTION("""COMPUTED_VALUE"""),"6412")</f>
        <v>6412</v>
      </c>
      <c r="P368" s="30" t="str">
        <f ca="1">IFERROR(__xludf.DUMMYFUNCTION("""COMPUTED_VALUE"""),"JOSÉ C. PAZ")</f>
        <v>JOSÉ C. PAZ</v>
      </c>
      <c r="Q368" s="30" t="str">
        <f ca="1">IFERROR(__xludf.DUMMYFUNCTION("""COMPUTED_VALUE"""),"-34.540654")</f>
        <v>-34.540654</v>
      </c>
      <c r="R368" s="30" t="str">
        <f ca="1">IFERROR(__xludf.DUMMYFUNCTION("""COMPUTED_VALUE"""),"-58.760036")</f>
        <v>-58.760036</v>
      </c>
      <c r="S368" s="30" t="str">
        <f ca="1">IFERROR(__xludf.DUMMYFUNCTION("""COMPUTED_VALUE"""),"Municipal")</f>
        <v>Municipal</v>
      </c>
      <c r="T368" s="30" t="str">
        <f ca="1">IFERROR(__xludf.DUMMYFUNCTION("""COMPUTED_VALUE"""),"JOSÉ C. PAZ")</f>
        <v>JOSÉ C. PAZ</v>
      </c>
    </row>
    <row r="369" spans="1:20" ht="15.75" customHeight="1" x14ac:dyDescent="0.25">
      <c r="A369" s="30" t="str">
        <f ca="1">IFERROR(__xludf.DUMMYFUNCTION("""COMPUTED_VALUE"""),"50064122202724")</f>
        <v>50064122202724</v>
      </c>
      <c r="B369" s="30" t="str">
        <f ca="1">IFERROR(__xludf.DUMMYFUNCTION("""COMPUTED_VALUE"""),"UNIDAD SANITARIA PIÑEYRO II")</f>
        <v>UNIDAD SANITARIA PIÑEYRO II</v>
      </c>
      <c r="C369" s="30" t="str">
        <f ca="1">IFERROR(__xludf.DUMMYFUNCTION("""COMPUTED_VALUE"""),"Buenos Aires")</f>
        <v>Buenos Aires</v>
      </c>
      <c r="D369" s="30" t="str">
        <f ca="1">IFERROR(__xludf.DUMMYFUNCTION("""COMPUTED_VALUE"""),"6")</f>
        <v>6</v>
      </c>
      <c r="E369" s="30" t="str">
        <f ca="1">IFERROR(__xludf.DUMMYFUNCTION("""COMPUTED_VALUE"""),"")</f>
        <v/>
      </c>
      <c r="F369" s="29"/>
      <c r="G369" s="29"/>
      <c r="H369" s="30" t="str">
        <f ca="1">IFERROR(__xludf.DUMMYFUNCTION("""COMPUTED_VALUE"""),"activo")</f>
        <v>activo</v>
      </c>
      <c r="I369" s="29"/>
      <c r="J369" s="29"/>
      <c r="K369" s="29"/>
      <c r="L369" s="30" t="str">
        <f ca="1">IFERROR(__xludf.DUMMYFUNCTION("""COMPUTED_VALUE"""),"No")</f>
        <v>No</v>
      </c>
      <c r="M369" s="30" t="str">
        <f ca="1">IFERROR(__xludf.DUMMYFUNCTION("""COMPUTED_VALUE"""),"6412010002")</f>
        <v>6412010002</v>
      </c>
      <c r="N369" s="30" t="str">
        <f ca="1">IFERROR(__xludf.DUMMYFUNCTION("""COMPUTED_VALUE"""),"JOSE C. PAZ")</f>
        <v>JOSE C. PAZ</v>
      </c>
      <c r="O369" s="30" t="str">
        <f ca="1">IFERROR(__xludf.DUMMYFUNCTION("""COMPUTED_VALUE"""),"6412")</f>
        <v>6412</v>
      </c>
      <c r="P369" s="30" t="str">
        <f ca="1">IFERROR(__xludf.DUMMYFUNCTION("""COMPUTED_VALUE"""),"JOSÉ C. PAZ")</f>
        <v>JOSÉ C. PAZ</v>
      </c>
      <c r="Q369" s="30" t="str">
        <f ca="1">IFERROR(__xludf.DUMMYFUNCTION("""COMPUTED_VALUE"""),"-34.513111")</f>
        <v>-34.513111</v>
      </c>
      <c r="R369" s="30" t="str">
        <f ca="1">IFERROR(__xludf.DUMMYFUNCTION("""COMPUTED_VALUE"""),"-58.78306")</f>
        <v>-58.78306</v>
      </c>
      <c r="S369" s="30" t="str">
        <f ca="1">IFERROR(__xludf.DUMMYFUNCTION("""COMPUTED_VALUE"""),"Municipal")</f>
        <v>Municipal</v>
      </c>
      <c r="T369" s="30" t="str">
        <f ca="1">IFERROR(__xludf.DUMMYFUNCTION("""COMPUTED_VALUE"""),"JOSÉ C. PAZ")</f>
        <v>JOSÉ C. PAZ</v>
      </c>
    </row>
    <row r="370" spans="1:20" ht="15.75" customHeight="1" x14ac:dyDescent="0.25">
      <c r="A370" s="30" t="str">
        <f ca="1">IFERROR(__xludf.DUMMYFUNCTION("""COMPUTED_VALUE"""),"50064122202773")</f>
        <v>50064122202773</v>
      </c>
      <c r="B370" s="30" t="str">
        <f ca="1">IFERROR(__xludf.DUMMYFUNCTION("""COMPUTED_VALUE"""),"UNIDAD SANITARIA SAN ATILIO")</f>
        <v>UNIDAD SANITARIA SAN ATILIO</v>
      </c>
      <c r="C370" s="30" t="str">
        <f ca="1">IFERROR(__xludf.DUMMYFUNCTION("""COMPUTED_VALUE"""),"Buenos Aires")</f>
        <v>Buenos Aires</v>
      </c>
      <c r="D370" s="30" t="str">
        <f ca="1">IFERROR(__xludf.DUMMYFUNCTION("""COMPUTED_VALUE"""),"6")</f>
        <v>6</v>
      </c>
      <c r="E370" s="30" t="str">
        <f ca="1">IFERROR(__xludf.DUMMYFUNCTION("""COMPUTED_VALUE"""),"")</f>
        <v/>
      </c>
      <c r="F370" s="29"/>
      <c r="G370" s="29"/>
      <c r="H370" s="30" t="str">
        <f ca="1">IFERROR(__xludf.DUMMYFUNCTION("""COMPUTED_VALUE"""),"activo")</f>
        <v>activo</v>
      </c>
      <c r="I370" s="29"/>
      <c r="J370" s="29"/>
      <c r="K370" s="29"/>
      <c r="L370" s="30" t="str">
        <f ca="1">IFERROR(__xludf.DUMMYFUNCTION("""COMPUTED_VALUE"""),"No")</f>
        <v>No</v>
      </c>
      <c r="M370" s="30" t="str">
        <f ca="1">IFERROR(__xludf.DUMMYFUNCTION("""COMPUTED_VALUE"""),"6412010002")</f>
        <v>6412010002</v>
      </c>
      <c r="N370" s="30" t="str">
        <f ca="1">IFERROR(__xludf.DUMMYFUNCTION("""COMPUTED_VALUE"""),"JOSE C. PAZ")</f>
        <v>JOSE C. PAZ</v>
      </c>
      <c r="O370" s="30" t="str">
        <f ca="1">IFERROR(__xludf.DUMMYFUNCTION("""COMPUTED_VALUE"""),"6412")</f>
        <v>6412</v>
      </c>
      <c r="P370" s="30" t="str">
        <f ca="1">IFERROR(__xludf.DUMMYFUNCTION("""COMPUTED_VALUE"""),"JOSÉ C. PAZ")</f>
        <v>JOSÉ C. PAZ</v>
      </c>
      <c r="Q370" s="30" t="str">
        <f ca="1">IFERROR(__xludf.DUMMYFUNCTION("""COMPUTED_VALUE"""),"-34.510477")</f>
        <v>-34.510477</v>
      </c>
      <c r="R370" s="30" t="str">
        <f ca="1">IFERROR(__xludf.DUMMYFUNCTION("""COMPUTED_VALUE"""),"-58.815998")</f>
        <v>-58.815998</v>
      </c>
      <c r="S370" s="30" t="str">
        <f ca="1">IFERROR(__xludf.DUMMYFUNCTION("""COMPUTED_VALUE"""),"Municipal")</f>
        <v>Municipal</v>
      </c>
      <c r="T370" s="30" t="str">
        <f ca="1">IFERROR(__xludf.DUMMYFUNCTION("""COMPUTED_VALUE"""),"JOSÉ C. PAZ")</f>
        <v>JOSÉ C. PAZ</v>
      </c>
    </row>
    <row r="371" spans="1:20" ht="15.75" customHeight="1" x14ac:dyDescent="0.25">
      <c r="A371" s="30" t="str">
        <f ca="1">IFERROR(__xludf.DUMMYFUNCTION("""COMPUTED_VALUE"""),"50064122202804")</f>
        <v>50064122202804</v>
      </c>
      <c r="B371" s="30" t="str">
        <f ca="1">IFERROR(__xludf.DUMMYFUNCTION("""COMPUTED_VALUE"""),"UNIDAD SANITARIA SAN ROQUE DE JOSE C. PAZ")</f>
        <v>UNIDAD SANITARIA SAN ROQUE DE JOSE C. PAZ</v>
      </c>
      <c r="C371" s="30" t="str">
        <f ca="1">IFERROR(__xludf.DUMMYFUNCTION("""COMPUTED_VALUE"""),"Buenos Aires")</f>
        <v>Buenos Aires</v>
      </c>
      <c r="D371" s="30" t="str">
        <f ca="1">IFERROR(__xludf.DUMMYFUNCTION("""COMPUTED_VALUE"""),"6")</f>
        <v>6</v>
      </c>
      <c r="E371" s="30" t="str">
        <f ca="1">IFERROR(__xludf.DUMMYFUNCTION("""COMPUTED_VALUE"""),"")</f>
        <v/>
      </c>
      <c r="F371" s="29"/>
      <c r="G371" s="29"/>
      <c r="H371" s="30" t="str">
        <f ca="1">IFERROR(__xludf.DUMMYFUNCTION("""COMPUTED_VALUE"""),"inactivo")</f>
        <v>inactivo</v>
      </c>
      <c r="I371" s="30" t="str">
        <f ca="1">IFERROR(__xludf.DUMMYFUNCTION("""COMPUTED_VALUE"""),"- fuera circular 2")</f>
        <v>- fuera circular 2</v>
      </c>
      <c r="J371" s="29"/>
      <c r="K371" s="29"/>
      <c r="L371" s="30" t="str">
        <f ca="1">IFERROR(__xludf.DUMMYFUNCTION("""COMPUTED_VALUE"""),"No")</f>
        <v>No</v>
      </c>
      <c r="M371" s="30" t="str">
        <f ca="1">IFERROR(__xludf.DUMMYFUNCTION("""COMPUTED_VALUE"""),"6412010002")</f>
        <v>6412010002</v>
      </c>
      <c r="N371" s="30" t="str">
        <f ca="1">IFERROR(__xludf.DUMMYFUNCTION("""COMPUTED_VALUE"""),"JOSE C. PAZ")</f>
        <v>JOSE C. PAZ</v>
      </c>
      <c r="O371" s="30" t="str">
        <f ca="1">IFERROR(__xludf.DUMMYFUNCTION("""COMPUTED_VALUE"""),"6412")</f>
        <v>6412</v>
      </c>
      <c r="P371" s="30" t="str">
        <f ca="1">IFERROR(__xludf.DUMMYFUNCTION("""COMPUTED_VALUE"""),"JOSÉ C. PAZ")</f>
        <v>JOSÉ C. PAZ</v>
      </c>
      <c r="Q371" s="30" t="str">
        <f ca="1">IFERROR(__xludf.DUMMYFUNCTION("""COMPUTED_VALUE"""),"-34.5191122")</f>
        <v>-34.5191122</v>
      </c>
      <c r="R371" s="30" t="str">
        <f ca="1">IFERROR(__xludf.DUMMYFUNCTION("""COMPUTED_VALUE"""),"-58.722853")</f>
        <v>-58.722853</v>
      </c>
      <c r="S371" s="30" t="str">
        <f ca="1">IFERROR(__xludf.DUMMYFUNCTION("""COMPUTED_VALUE"""),"Municipal")</f>
        <v>Municipal</v>
      </c>
      <c r="T371" s="30" t="str">
        <f ca="1">IFERROR(__xludf.DUMMYFUNCTION("""COMPUTED_VALUE"""),"JOSÉ C. PAZ")</f>
        <v>JOSÉ C. PAZ</v>
      </c>
    </row>
    <row r="372" spans="1:20" ht="15.75" customHeight="1" x14ac:dyDescent="0.25">
      <c r="A372" s="30" t="str">
        <f ca="1">IFERROR(__xludf.DUMMYFUNCTION("""COMPUTED_VALUE"""),"50064122202843")</f>
        <v>50064122202843</v>
      </c>
      <c r="B372" s="30" t="str">
        <f ca="1">IFERROR(__xludf.DUMMYFUNCTION("""COMPUTED_VALUE"""),"UNIDAD SANITARIA SOL Y VERDE")</f>
        <v>UNIDAD SANITARIA SOL Y VERDE</v>
      </c>
      <c r="C372" s="30" t="str">
        <f ca="1">IFERROR(__xludf.DUMMYFUNCTION("""COMPUTED_VALUE"""),"Buenos Aires")</f>
        <v>Buenos Aires</v>
      </c>
      <c r="D372" s="30" t="str">
        <f ca="1">IFERROR(__xludf.DUMMYFUNCTION("""COMPUTED_VALUE"""),"6")</f>
        <v>6</v>
      </c>
      <c r="E372" s="30" t="str">
        <f ca="1">IFERROR(__xludf.DUMMYFUNCTION("""COMPUTED_VALUE"""),"")</f>
        <v/>
      </c>
      <c r="F372" s="29"/>
      <c r="G372" s="29"/>
      <c r="H372" s="30" t="str">
        <f ca="1">IFERROR(__xludf.DUMMYFUNCTION("""COMPUTED_VALUE"""),"activo")</f>
        <v>activo</v>
      </c>
      <c r="I372" s="29"/>
      <c r="J372" s="29"/>
      <c r="K372" s="29"/>
      <c r="L372" s="30" t="str">
        <f ca="1">IFERROR(__xludf.DUMMYFUNCTION("""COMPUTED_VALUE"""),"No")</f>
        <v>No</v>
      </c>
      <c r="M372" s="30" t="str">
        <f ca="1">IFERROR(__xludf.DUMMYFUNCTION("""COMPUTED_VALUE"""),"6412010002")</f>
        <v>6412010002</v>
      </c>
      <c r="N372" s="30" t="str">
        <f ca="1">IFERROR(__xludf.DUMMYFUNCTION("""COMPUTED_VALUE"""),"JOSE C. PAZ")</f>
        <v>JOSE C. PAZ</v>
      </c>
      <c r="O372" s="30" t="str">
        <f ca="1">IFERROR(__xludf.DUMMYFUNCTION("""COMPUTED_VALUE"""),"6412")</f>
        <v>6412</v>
      </c>
      <c r="P372" s="30" t="str">
        <f ca="1">IFERROR(__xludf.DUMMYFUNCTION("""COMPUTED_VALUE"""),"JOSÉ C. PAZ")</f>
        <v>JOSÉ C. PAZ</v>
      </c>
      <c r="Q372" s="30" t="str">
        <f ca="1">IFERROR(__xludf.DUMMYFUNCTION("""COMPUTED_VALUE"""),"-34.502237")</f>
        <v>-34.502237</v>
      </c>
      <c r="R372" s="30" t="str">
        <f ca="1">IFERROR(__xludf.DUMMYFUNCTION("""COMPUTED_VALUE"""),"-58.798617")</f>
        <v>-58.798617</v>
      </c>
      <c r="S372" s="30" t="str">
        <f ca="1">IFERROR(__xludf.DUMMYFUNCTION("""COMPUTED_VALUE"""),"Municipal")</f>
        <v>Municipal</v>
      </c>
      <c r="T372" s="30" t="str">
        <f ca="1">IFERROR(__xludf.DUMMYFUNCTION("""COMPUTED_VALUE"""),"JOSÉ C. PAZ")</f>
        <v>JOSÉ C. PAZ</v>
      </c>
    </row>
    <row r="373" spans="1:20" ht="15.75" customHeight="1" x14ac:dyDescent="0.25">
      <c r="A373" s="30" t="str">
        <f ca="1">IFERROR(__xludf.DUMMYFUNCTION("""COMPUTED_VALUE"""),"50064122202855")</f>
        <v>50064122202855</v>
      </c>
      <c r="B373" s="30" t="str">
        <f ca="1">IFERROR(__xludf.DUMMYFUNCTION("""COMPUTED_VALUE"""),"UNIDAD SANITARIA URQUIZA")</f>
        <v>UNIDAD SANITARIA URQUIZA</v>
      </c>
      <c r="C373" s="30" t="str">
        <f ca="1">IFERROR(__xludf.DUMMYFUNCTION("""COMPUTED_VALUE"""),"Buenos Aires")</f>
        <v>Buenos Aires</v>
      </c>
      <c r="D373" s="30" t="str">
        <f ca="1">IFERROR(__xludf.DUMMYFUNCTION("""COMPUTED_VALUE"""),"6")</f>
        <v>6</v>
      </c>
      <c r="E373" s="30" t="str">
        <f ca="1">IFERROR(__xludf.DUMMYFUNCTION("""COMPUTED_VALUE"""),"")</f>
        <v/>
      </c>
      <c r="F373" s="29"/>
      <c r="G373" s="29"/>
      <c r="H373" s="30" t="str">
        <f ca="1">IFERROR(__xludf.DUMMYFUNCTION("""COMPUTED_VALUE"""),"inactivo")</f>
        <v>inactivo</v>
      </c>
      <c r="I373" s="29"/>
      <c r="J373" s="29"/>
      <c r="K373" s="29"/>
      <c r="L373" s="30" t="str">
        <f ca="1">IFERROR(__xludf.DUMMYFUNCTION("""COMPUTED_VALUE"""),"No")</f>
        <v>No</v>
      </c>
      <c r="M373" s="30" t="str">
        <f ca="1">IFERROR(__xludf.DUMMYFUNCTION("""COMPUTED_VALUE"""),"6412010002")</f>
        <v>6412010002</v>
      </c>
      <c r="N373" s="30" t="str">
        <f ca="1">IFERROR(__xludf.DUMMYFUNCTION("""COMPUTED_VALUE"""),"JOSE C. PAZ")</f>
        <v>JOSE C. PAZ</v>
      </c>
      <c r="O373" s="30" t="str">
        <f ca="1">IFERROR(__xludf.DUMMYFUNCTION("""COMPUTED_VALUE"""),"6412")</f>
        <v>6412</v>
      </c>
      <c r="P373" s="30" t="str">
        <f ca="1">IFERROR(__xludf.DUMMYFUNCTION("""COMPUTED_VALUE"""),"JOSÉ C. PAZ")</f>
        <v>JOSÉ C. PAZ</v>
      </c>
      <c r="Q373" s="30" t="str">
        <f ca="1">IFERROR(__xludf.DUMMYFUNCTION("""COMPUTED_VALUE"""),"-34.505431")</f>
        <v>-34.505431</v>
      </c>
      <c r="R373" s="30" t="str">
        <f ca="1">IFERROR(__xludf.DUMMYFUNCTION("""COMPUTED_VALUE"""),"-58.81149")</f>
        <v>-58.81149</v>
      </c>
      <c r="S373" s="30" t="str">
        <f ca="1">IFERROR(__xludf.DUMMYFUNCTION("""COMPUTED_VALUE"""),"Municipal")</f>
        <v>Municipal</v>
      </c>
      <c r="T373" s="30" t="str">
        <f ca="1">IFERROR(__xludf.DUMMYFUNCTION("""COMPUTED_VALUE"""),"JOSÉ C. PAZ")</f>
        <v>JOSÉ C. PAZ</v>
      </c>
    </row>
    <row r="374" spans="1:20" ht="15.75" customHeight="1" x14ac:dyDescent="0.25">
      <c r="A374" s="30" t="str">
        <f ca="1">IFERROR(__xludf.DUMMYFUNCTION("""COMPUTED_VALUE"""),"50064122202912")</f>
        <v>50064122202912</v>
      </c>
      <c r="B374" s="30" t="str">
        <f ca="1">IFERROR(__xludf.DUMMYFUNCTION("""COMPUTED_VALUE"""),"UNIDAD SANITARIA VUCETICH")</f>
        <v>UNIDAD SANITARIA VUCETICH</v>
      </c>
      <c r="C374" s="30" t="str">
        <f ca="1">IFERROR(__xludf.DUMMYFUNCTION("""COMPUTED_VALUE"""),"Buenos Aires")</f>
        <v>Buenos Aires</v>
      </c>
      <c r="D374" s="30" t="str">
        <f ca="1">IFERROR(__xludf.DUMMYFUNCTION("""COMPUTED_VALUE"""),"6")</f>
        <v>6</v>
      </c>
      <c r="E374" s="30" t="str">
        <f ca="1">IFERROR(__xludf.DUMMYFUNCTION("""COMPUTED_VALUE"""),"")</f>
        <v/>
      </c>
      <c r="F374" s="29"/>
      <c r="G374" s="29"/>
      <c r="H374" s="30" t="str">
        <f ca="1">IFERROR(__xludf.DUMMYFUNCTION("""COMPUTED_VALUE"""),"inactivo")</f>
        <v>inactivo</v>
      </c>
      <c r="I374" s="29"/>
      <c r="J374" s="29"/>
      <c r="K374" s="29"/>
      <c r="L374" s="30" t="str">
        <f ca="1">IFERROR(__xludf.DUMMYFUNCTION("""COMPUTED_VALUE"""),"No")</f>
        <v>No</v>
      </c>
      <c r="M374" s="30" t="str">
        <f ca="1">IFERROR(__xludf.DUMMYFUNCTION("""COMPUTED_VALUE"""),"6412010002")</f>
        <v>6412010002</v>
      </c>
      <c r="N374" s="30" t="str">
        <f ca="1">IFERROR(__xludf.DUMMYFUNCTION("""COMPUTED_VALUE"""),"JOSE C. PAZ")</f>
        <v>JOSE C. PAZ</v>
      </c>
      <c r="O374" s="30" t="str">
        <f ca="1">IFERROR(__xludf.DUMMYFUNCTION("""COMPUTED_VALUE"""),"6412")</f>
        <v>6412</v>
      </c>
      <c r="P374" s="30" t="str">
        <f ca="1">IFERROR(__xludf.DUMMYFUNCTION("""COMPUTED_VALUE"""),"JOSÉ C. PAZ")</f>
        <v>JOSÉ C. PAZ</v>
      </c>
      <c r="Q374" s="30" t="str">
        <f ca="1">IFERROR(__xludf.DUMMYFUNCTION("""COMPUTED_VALUE"""),"-34.51152")</f>
        <v>-34.51152</v>
      </c>
      <c r="R374" s="30" t="str">
        <f ca="1">IFERROR(__xludf.DUMMYFUNCTION("""COMPUTED_VALUE"""),"-58.799797")</f>
        <v>-58.799797</v>
      </c>
      <c r="S374" s="30" t="str">
        <f ca="1">IFERROR(__xludf.DUMMYFUNCTION("""COMPUTED_VALUE"""),"Municipal")</f>
        <v>Municipal</v>
      </c>
      <c r="T374" s="30" t="str">
        <f ca="1">IFERROR(__xludf.DUMMYFUNCTION("""COMPUTED_VALUE"""),"JOSÉ C. PAZ")</f>
        <v>JOSÉ C. PAZ</v>
      </c>
    </row>
    <row r="375" spans="1:20" ht="15.75" customHeight="1" x14ac:dyDescent="0.25">
      <c r="A375" s="30" t="str">
        <f ca="1">IFERROR(__xludf.DUMMYFUNCTION("""COMPUTED_VALUE"""),"50064122202916")</f>
        <v>50064122202916</v>
      </c>
      <c r="B375" s="30" t="str">
        <f ca="1">IFERROR(__xludf.DUMMYFUNCTION("""COMPUTED_VALUE"""),"UNIDAD SANITARIA ZONA NORTE")</f>
        <v>UNIDAD SANITARIA ZONA NORTE</v>
      </c>
      <c r="C375" s="30" t="str">
        <f ca="1">IFERROR(__xludf.DUMMYFUNCTION("""COMPUTED_VALUE"""),"Buenos Aires")</f>
        <v>Buenos Aires</v>
      </c>
      <c r="D375" s="30" t="str">
        <f ca="1">IFERROR(__xludf.DUMMYFUNCTION("""COMPUTED_VALUE"""),"6")</f>
        <v>6</v>
      </c>
      <c r="E375" s="30" t="str">
        <f ca="1">IFERROR(__xludf.DUMMYFUNCTION("""COMPUTED_VALUE"""),"")</f>
        <v/>
      </c>
      <c r="F375" s="29"/>
      <c r="G375" s="29"/>
      <c r="H375" s="30" t="str">
        <f ca="1">IFERROR(__xludf.DUMMYFUNCTION("""COMPUTED_VALUE"""),"inactivo")</f>
        <v>inactivo</v>
      </c>
      <c r="I375" s="29"/>
      <c r="J375" s="29"/>
      <c r="K375" s="29"/>
      <c r="L375" s="30" t="str">
        <f ca="1">IFERROR(__xludf.DUMMYFUNCTION("""COMPUTED_VALUE"""),"No")</f>
        <v>No</v>
      </c>
      <c r="M375" s="30" t="str">
        <f ca="1">IFERROR(__xludf.DUMMYFUNCTION("""COMPUTED_VALUE"""),"6412010002")</f>
        <v>6412010002</v>
      </c>
      <c r="N375" s="30" t="str">
        <f ca="1">IFERROR(__xludf.DUMMYFUNCTION("""COMPUTED_VALUE"""),"JOSE C. PAZ")</f>
        <v>JOSE C. PAZ</v>
      </c>
      <c r="O375" s="30" t="str">
        <f ca="1">IFERROR(__xludf.DUMMYFUNCTION("""COMPUTED_VALUE"""),"6412")</f>
        <v>6412</v>
      </c>
      <c r="P375" s="30" t="str">
        <f ca="1">IFERROR(__xludf.DUMMYFUNCTION("""COMPUTED_VALUE"""),"JOSÉ C. PAZ")</f>
        <v>JOSÉ C. PAZ</v>
      </c>
      <c r="Q375" s="30" t="str">
        <f ca="1">IFERROR(__xludf.DUMMYFUNCTION("""COMPUTED_VALUE"""),"-34.5209114")</f>
        <v>-34.5209114</v>
      </c>
      <c r="R375" s="30" t="str">
        <f ca="1">IFERROR(__xludf.DUMMYFUNCTION("""COMPUTED_VALUE"""),"-58.7275433")</f>
        <v>-58.7275433</v>
      </c>
      <c r="S375" s="30" t="str">
        <f ca="1">IFERROR(__xludf.DUMMYFUNCTION("""COMPUTED_VALUE"""),"Municipal")</f>
        <v>Municipal</v>
      </c>
      <c r="T375" s="30" t="str">
        <f ca="1">IFERROR(__xludf.DUMMYFUNCTION("""COMPUTED_VALUE"""),"JOSÉ C. PAZ")</f>
        <v>JOSÉ C. PAZ</v>
      </c>
    </row>
    <row r="376" spans="1:20" ht="15.75" customHeight="1" x14ac:dyDescent="0.25">
      <c r="A376" s="30" t="str">
        <f ca="1">IFERROR(__xludf.DUMMYFUNCTION("""COMPUTED_VALUE"""),"50064202202405")</f>
        <v>50064202202405</v>
      </c>
      <c r="B376" s="30" t="str">
        <f ca="1">IFERROR(__xludf.DUMMYFUNCTION("""COMPUTED_VALUE"""),"UNIDAD SANITARIA LAS TONINAS")</f>
        <v>UNIDAD SANITARIA LAS TONINAS</v>
      </c>
      <c r="C376" s="30" t="str">
        <f ca="1">IFERROR(__xludf.DUMMYFUNCTION("""COMPUTED_VALUE"""),"Buenos Aires")</f>
        <v>Buenos Aires</v>
      </c>
      <c r="D376" s="30" t="str">
        <f ca="1">IFERROR(__xludf.DUMMYFUNCTION("""COMPUTED_VALUE"""),"6")</f>
        <v>6</v>
      </c>
      <c r="E376" s="30" t="str">
        <f ca="1">IFERROR(__xludf.DUMMYFUNCTION("""COMPUTED_VALUE"""),"")</f>
        <v/>
      </c>
      <c r="F376" s="29"/>
      <c r="G376" s="30" t="str">
        <f ca="1">IFERROR(__xludf.DUMMYFUNCTION("""COMPUTED_VALUE"""),"50060582202926")</f>
        <v>50060582202926</v>
      </c>
      <c r="H376" s="30" t="str">
        <f ca="1">IFERROR(__xludf.DUMMYFUNCTION("""COMPUTED_VALUE"""),"inactivo")</f>
        <v>inactivo</v>
      </c>
      <c r="I376" s="29"/>
      <c r="J376" s="29"/>
      <c r="K376" s="29"/>
      <c r="L376" s="30" t="str">
        <f ca="1">IFERROR(__xludf.DUMMYFUNCTION("""COMPUTED_VALUE"""),"No")</f>
        <v>No</v>
      </c>
      <c r="M376" s="30" t="str">
        <f ca="1">IFERROR(__xludf.DUMMYFUNCTION("""COMPUTED_VALUE"""),"6420010000")</f>
        <v>6420010000</v>
      </c>
      <c r="N376" s="30" t="str">
        <f ca="1">IFERROR(__xludf.DUMMYFUNCTION("""COMPUTED_VALUE"""),"LAS TONINAS")</f>
        <v>LAS TONINAS</v>
      </c>
      <c r="O376" s="30" t="str">
        <f ca="1">IFERROR(__xludf.DUMMYFUNCTION("""COMPUTED_VALUE"""),"6420")</f>
        <v>6420</v>
      </c>
      <c r="P376" s="30" t="str">
        <f ca="1">IFERROR(__xludf.DUMMYFUNCTION("""COMPUTED_VALUE"""),"LA COSTA")</f>
        <v>LA COSTA</v>
      </c>
      <c r="Q376" s="30" t="str">
        <f ca="1">IFERROR(__xludf.DUMMYFUNCTION("""COMPUTED_VALUE"""),"-36.49522516")</f>
        <v>-36.49522516</v>
      </c>
      <c r="R376" s="30" t="str">
        <f ca="1">IFERROR(__xludf.DUMMYFUNCTION("""COMPUTED_VALUE"""),"-56.69649124")</f>
        <v>-56.69649124</v>
      </c>
      <c r="S376" s="30" t="str">
        <f ca="1">IFERROR(__xludf.DUMMYFUNCTION("""COMPUTED_VALUE"""),"Municipal")</f>
        <v>Municipal</v>
      </c>
      <c r="T376" s="30" t="str">
        <f ca="1">IFERROR(__xludf.DUMMYFUNCTION("""COMPUTED_VALUE"""),"LA COSTA")</f>
        <v>LA COSTA</v>
      </c>
    </row>
    <row r="377" spans="1:20" ht="15.75" customHeight="1" x14ac:dyDescent="0.25">
      <c r="A377" s="30" t="str">
        <f ca="1">IFERROR(__xludf.DUMMYFUNCTION("""COMPUTED_VALUE"""),"50060582202926")</f>
        <v>50060582202926</v>
      </c>
      <c r="B377" s="30" t="str">
        <f ca="1">IFERROR(__xludf.DUMMYFUNCTION("""COMPUTED_VALUE"""),"UNIDAD SANITARIA 2 DE ABRIL DE EZPELETA")</f>
        <v>UNIDAD SANITARIA 2 DE ABRIL DE EZPELETA</v>
      </c>
      <c r="C377" s="30" t="str">
        <f ca="1">IFERROR(__xludf.DUMMYFUNCTION("""COMPUTED_VALUE"""),"Buenos Aires")</f>
        <v>Buenos Aires</v>
      </c>
      <c r="D377" s="30" t="str">
        <f ca="1">IFERROR(__xludf.DUMMYFUNCTION("""COMPUTED_VALUE"""),"6")</f>
        <v>6</v>
      </c>
      <c r="E377" s="30" t="str">
        <f ca="1">IFERROR(__xludf.DUMMYFUNCTION("""COMPUTED_VALUE"""),"si")</f>
        <v>si</v>
      </c>
      <c r="F377" s="30" t="str">
        <f ca="1">IFERROR(__xludf.DUMMYFUNCTION("""COMPUTED_VALUE"""),"50064202202405")</f>
        <v>50064202202405</v>
      </c>
      <c r="G377" s="29"/>
      <c r="H377" s="30" t="str">
        <f ca="1">IFERROR(__xludf.DUMMYFUNCTION("""COMPUTED_VALUE"""),"activo")</f>
        <v>activo</v>
      </c>
      <c r="I377" s="29"/>
      <c r="J377" s="29"/>
      <c r="K377" s="29"/>
      <c r="L377" s="30" t="str">
        <f ca="1">IFERROR(__xludf.DUMMYFUNCTION("""COMPUTED_VALUE"""),"No")</f>
        <v>No</v>
      </c>
      <c r="M377" s="30" t="str">
        <f ca="1">IFERROR(__xludf.DUMMYFUNCTION("""COMPUTED_VALUE"""),"6058030")</f>
        <v>6058030</v>
      </c>
      <c r="N377" s="30" t="str">
        <f ca="1">IFERROR(__xludf.DUMMYFUNCTION("""COMPUTED_VALUE"""),"EZPELETA")</f>
        <v>EZPELETA</v>
      </c>
      <c r="O377" s="30" t="str">
        <f ca="1">IFERROR(__xludf.DUMMYFUNCTION("""COMPUTED_VALUE"""),"658")</f>
        <v>658</v>
      </c>
      <c r="P377" s="30" t="str">
        <f ca="1">IFERROR(__xludf.DUMMYFUNCTION("""COMPUTED_VALUE"""),"QUILMES")</f>
        <v>QUILMES</v>
      </c>
      <c r="Q377" s="30" t="str">
        <f ca="1">IFERROR(__xludf.DUMMYFUNCTION("""COMPUTED_VALUE"""),"-34.76333102")</f>
        <v>-34.76333102</v>
      </c>
      <c r="R377" s="30" t="str">
        <f ca="1">IFERROR(__xludf.DUMMYFUNCTION("""COMPUTED_VALUE"""),"-58.25401354")</f>
        <v>-58.25401354</v>
      </c>
      <c r="S377" s="30" t="str">
        <f ca="1">IFERROR(__xludf.DUMMYFUNCTION("""COMPUTED_VALUE"""),"Municipal")</f>
        <v>Municipal</v>
      </c>
      <c r="T377" s="30" t="str">
        <f ca="1">IFERROR(__xludf.DUMMYFUNCTION("""COMPUTED_VALUE"""),"QUILMES")</f>
        <v>QUILMES</v>
      </c>
    </row>
    <row r="378" spans="1:20" ht="15.75" customHeight="1" x14ac:dyDescent="0.25">
      <c r="A378" s="30" t="str">
        <f ca="1">IFERROR(__xludf.DUMMYFUNCTION("""COMPUTED_VALUE"""),"50064272201510")</f>
        <v>50064272201510</v>
      </c>
      <c r="B378" s="30" t="str">
        <f ca="1">IFERROR(__xludf.DUMMYFUNCTION("""COMPUTED_VALUE"""),"CIC ALMAFUERTE (EX UNIDAD SANITARIA BARRIO ALMAFUERTE)")</f>
        <v>CIC ALMAFUERTE (EX UNIDAD SANITARIA BARRIO ALMAFUERTE)</v>
      </c>
      <c r="C378" s="30" t="str">
        <f ca="1">IFERROR(__xludf.DUMMYFUNCTION("""COMPUTED_VALUE"""),"Buenos Aires")</f>
        <v>Buenos Aires</v>
      </c>
      <c r="D378" s="30" t="str">
        <f ca="1">IFERROR(__xludf.DUMMYFUNCTION("""COMPUTED_VALUE"""),"6")</f>
        <v>6</v>
      </c>
      <c r="E378" s="30" t="str">
        <f ca="1">IFERROR(__xludf.DUMMYFUNCTION("""COMPUTED_VALUE"""),"")</f>
        <v/>
      </c>
      <c r="F378" s="29"/>
      <c r="G378" s="29"/>
      <c r="H378" s="30" t="str">
        <f ca="1">IFERROR(__xludf.DUMMYFUNCTION("""COMPUTED_VALUE"""),"inactivo")</f>
        <v>inactivo</v>
      </c>
      <c r="I378" s="30" t="str">
        <f ca="1">IFERROR(__xludf.DUMMYFUNCTION("""COMPUTED_VALUE"""),"- fuera circular 2")</f>
        <v>- fuera circular 2</v>
      </c>
      <c r="J378" s="29"/>
      <c r="K378" s="29"/>
      <c r="L378" s="30" t="str">
        <f ca="1">IFERROR(__xludf.DUMMYFUNCTION("""COMPUTED_VALUE"""),"No")</f>
        <v>No</v>
      </c>
      <c r="M378" s="30" t="str">
        <f ca="1">IFERROR(__xludf.DUMMYFUNCTION("""COMPUTED_VALUE"""),"6427010010")</f>
        <v>6427010010</v>
      </c>
      <c r="N378" s="30" t="str">
        <f ca="1">IFERROR(__xludf.DUMMYFUNCTION("""COMPUTED_VALUE"""),"SAN JUSTO")</f>
        <v>SAN JUSTO</v>
      </c>
      <c r="O378" s="30" t="str">
        <f ca="1">IFERROR(__xludf.DUMMYFUNCTION("""COMPUTED_VALUE"""),"6427")</f>
        <v>6427</v>
      </c>
      <c r="P378" s="30" t="str">
        <f ca="1">IFERROR(__xludf.DUMMYFUNCTION("""COMPUTED_VALUE"""),"LA MATANZA")</f>
        <v>LA MATANZA</v>
      </c>
      <c r="Q378" s="30" t="str">
        <f ca="1">IFERROR(__xludf.DUMMYFUNCTION("""COMPUTED_VALUE"""),"-34.6925463")</f>
        <v>-34.6925463</v>
      </c>
      <c r="R378" s="30" t="str">
        <f ca="1">IFERROR(__xludf.DUMMYFUNCTION("""COMPUTED_VALUE"""),"-58.5514204")</f>
        <v>-58.5514204</v>
      </c>
      <c r="S378" s="30" t="str">
        <f ca="1">IFERROR(__xludf.DUMMYFUNCTION("""COMPUTED_VALUE"""),"Municipal")</f>
        <v>Municipal</v>
      </c>
      <c r="T378" s="30" t="str">
        <f ca="1">IFERROR(__xludf.DUMMYFUNCTION("""COMPUTED_VALUE"""),"LA MATANZA")</f>
        <v>LA MATANZA</v>
      </c>
    </row>
    <row r="379" spans="1:20" ht="15.75" customHeight="1" x14ac:dyDescent="0.25">
      <c r="A379" s="30" t="str">
        <f ca="1">IFERROR(__xludf.DUMMYFUNCTION("""COMPUTED_VALUE"""),"50064272201768")</f>
        <v>50064272201768</v>
      </c>
      <c r="B379" s="30" t="str">
        <f ca="1">IFERROR(__xludf.DUMMYFUNCTION("""COMPUTED_VALUE"""),"UNIDAD SANITARIA  MARIA ELENA")</f>
        <v>UNIDAD SANITARIA  MARIA ELENA</v>
      </c>
      <c r="C379" s="30" t="str">
        <f ca="1">IFERROR(__xludf.DUMMYFUNCTION("""COMPUTED_VALUE"""),"Buenos Aires")</f>
        <v>Buenos Aires</v>
      </c>
      <c r="D379" s="30" t="str">
        <f ca="1">IFERROR(__xludf.DUMMYFUNCTION("""COMPUTED_VALUE"""),"6")</f>
        <v>6</v>
      </c>
      <c r="E379" s="30" t="str">
        <f ca="1">IFERROR(__xludf.DUMMYFUNCTION("""COMPUTED_VALUE"""),"")</f>
        <v/>
      </c>
      <c r="F379" s="29"/>
      <c r="G379" s="29"/>
      <c r="H379" s="30" t="str">
        <f ca="1">IFERROR(__xludf.DUMMYFUNCTION("""COMPUTED_VALUE"""),"inactivo")</f>
        <v>inactivo</v>
      </c>
      <c r="I379" s="30" t="str">
        <f ca="1">IFERROR(__xludf.DUMMYFUNCTION("""COMPUTED_VALUE"""),"- fuera circular 2")</f>
        <v>- fuera circular 2</v>
      </c>
      <c r="J379" s="29"/>
      <c r="K379" s="29"/>
      <c r="L379" s="30" t="str">
        <f ca="1">IFERROR(__xludf.DUMMYFUNCTION("""COMPUTED_VALUE"""),"No")</f>
        <v>No</v>
      </c>
      <c r="M379" s="30" t="str">
        <f ca="1">IFERROR(__xludf.DUMMYFUNCTION("""COMPUTED_VALUE"""),"6427010004")</f>
        <v>6427010004</v>
      </c>
      <c r="N379" s="30" t="str">
        <f ca="1">IFERROR(__xludf.DUMMYFUNCTION("""COMPUTED_VALUE"""),"GREGORIO DE LAFERRERE")</f>
        <v>GREGORIO DE LAFERRERE</v>
      </c>
      <c r="O379" s="30" t="str">
        <f ca="1">IFERROR(__xludf.DUMMYFUNCTION("""COMPUTED_VALUE"""),"6427")</f>
        <v>6427</v>
      </c>
      <c r="P379" s="30" t="str">
        <f ca="1">IFERROR(__xludf.DUMMYFUNCTION("""COMPUTED_VALUE"""),"LA MATANZA")</f>
        <v>LA MATANZA</v>
      </c>
      <c r="Q379" s="30" t="str">
        <f ca="1">IFERROR(__xludf.DUMMYFUNCTION("""COMPUTED_VALUE"""),"-34.73541359")</f>
        <v>-34.73541359</v>
      </c>
      <c r="R379" s="30" t="str">
        <f ca="1">IFERROR(__xludf.DUMMYFUNCTION("""COMPUTED_VALUE"""),"-58.61681128")</f>
        <v>-58.61681128</v>
      </c>
      <c r="S379" s="30" t="str">
        <f ca="1">IFERROR(__xludf.DUMMYFUNCTION("""COMPUTED_VALUE"""),"Municipal")</f>
        <v>Municipal</v>
      </c>
      <c r="T379" s="30" t="str">
        <f ca="1">IFERROR(__xludf.DUMMYFUNCTION("""COMPUTED_VALUE"""),"LA MATANZA")</f>
        <v>LA MATANZA</v>
      </c>
    </row>
    <row r="380" spans="1:20" ht="15.75" customHeight="1" x14ac:dyDescent="0.25">
      <c r="A380" s="30" t="str">
        <f ca="1">IFERROR(__xludf.DUMMYFUNCTION("""COMPUTED_VALUE"""),"50064272201908")</f>
        <v>50064272201908</v>
      </c>
      <c r="B380" s="30" t="str">
        <f ca="1">IFERROR(__xludf.DUMMYFUNCTION("""COMPUTED_VALUE"""),"UNIDAD DE SALUD ESPERANZA")</f>
        <v>UNIDAD DE SALUD ESPERANZA</v>
      </c>
      <c r="C380" s="30" t="str">
        <f ca="1">IFERROR(__xludf.DUMMYFUNCTION("""COMPUTED_VALUE"""),"Buenos Aires")</f>
        <v>Buenos Aires</v>
      </c>
      <c r="D380" s="30" t="str">
        <f ca="1">IFERROR(__xludf.DUMMYFUNCTION("""COMPUTED_VALUE"""),"6")</f>
        <v>6</v>
      </c>
      <c r="E380" s="30" t="str">
        <f ca="1">IFERROR(__xludf.DUMMYFUNCTION("""COMPUTED_VALUE"""),"")</f>
        <v/>
      </c>
      <c r="F380" s="29"/>
      <c r="G380" s="29"/>
      <c r="H380" s="30" t="str">
        <f ca="1">IFERROR(__xludf.DUMMYFUNCTION("""COMPUTED_VALUE"""),"inactivo")</f>
        <v>inactivo</v>
      </c>
      <c r="I380" s="30" t="str">
        <f ca="1">IFERROR(__xludf.DUMMYFUNCTION("""COMPUTED_VALUE"""),"- fuera circular 2")</f>
        <v>- fuera circular 2</v>
      </c>
      <c r="J380" s="29"/>
      <c r="K380" s="29"/>
      <c r="L380" s="30" t="str">
        <f ca="1">IFERROR(__xludf.DUMMYFUNCTION("""COMPUTED_VALUE"""),"No")</f>
        <v>No</v>
      </c>
      <c r="M380" s="30" t="str">
        <f ca="1">IFERROR(__xludf.DUMMYFUNCTION("""COMPUTED_VALUE"""),"6427010003")</f>
        <v>6427010003</v>
      </c>
      <c r="N380" s="30" t="str">
        <f ca="1">IFERROR(__xludf.DUMMYFUNCTION("""COMPUTED_VALUE"""),"GONZALEZ CATAN")</f>
        <v>GONZALEZ CATAN</v>
      </c>
      <c r="O380" s="30" t="str">
        <f ca="1">IFERROR(__xludf.DUMMYFUNCTION("""COMPUTED_VALUE"""),"6427")</f>
        <v>6427</v>
      </c>
      <c r="P380" s="30" t="str">
        <f ca="1">IFERROR(__xludf.DUMMYFUNCTION("""COMPUTED_VALUE"""),"LA MATANZA")</f>
        <v>LA MATANZA</v>
      </c>
      <c r="Q380" s="30" t="str">
        <f ca="1">IFERROR(__xludf.DUMMYFUNCTION("""COMPUTED_VALUE"""),"-34.84098098")</f>
        <v>-34.84098098</v>
      </c>
      <c r="R380" s="30" t="str">
        <f ca="1">IFERROR(__xludf.DUMMYFUNCTION("""COMPUTED_VALUE"""),"-58.63974953")</f>
        <v>-58.63974953</v>
      </c>
      <c r="S380" s="30" t="str">
        <f ca="1">IFERROR(__xludf.DUMMYFUNCTION("""COMPUTED_VALUE"""),"Municipal")</f>
        <v>Municipal</v>
      </c>
      <c r="T380" s="30" t="str">
        <f ca="1">IFERROR(__xludf.DUMMYFUNCTION("""COMPUTED_VALUE"""),"LA MATANZA")</f>
        <v>LA MATANZA</v>
      </c>
    </row>
    <row r="381" spans="1:20" ht="15.75" customHeight="1" x14ac:dyDescent="0.25">
      <c r="A381" s="30" t="str">
        <f ca="1">IFERROR(__xludf.DUMMYFUNCTION("""COMPUTED_VALUE"""),"50064272201913")</f>
        <v>50064272201913</v>
      </c>
      <c r="B381" s="30" t="str">
        <f ca="1">IFERROR(__xludf.DUMMYFUNCTION("""COMPUTED_VALUE"""),"UNIDAD DE SALUD EVA PERON  ( LA MATANZA)")</f>
        <v>UNIDAD DE SALUD EVA PERON  ( LA MATANZA)</v>
      </c>
      <c r="C381" s="30" t="str">
        <f ca="1">IFERROR(__xludf.DUMMYFUNCTION("""COMPUTED_VALUE"""),"Buenos Aires")</f>
        <v>Buenos Aires</v>
      </c>
      <c r="D381" s="30" t="str">
        <f ca="1">IFERROR(__xludf.DUMMYFUNCTION("""COMPUTED_VALUE"""),"6")</f>
        <v>6</v>
      </c>
      <c r="E381" s="30" t="str">
        <f ca="1">IFERROR(__xludf.DUMMYFUNCTION("""COMPUTED_VALUE"""),"")</f>
        <v/>
      </c>
      <c r="F381" s="29"/>
      <c r="G381" s="29"/>
      <c r="H381" s="30" t="str">
        <f ca="1">IFERROR(__xludf.DUMMYFUNCTION("""COMPUTED_VALUE"""),"activo")</f>
        <v>activo</v>
      </c>
      <c r="I381" s="29"/>
      <c r="J381" s="29"/>
      <c r="K381" s="29"/>
      <c r="L381" s="30" t="str">
        <f ca="1">IFERROR(__xludf.DUMMYFUNCTION("""COMPUTED_VALUE"""),"No")</f>
        <v>No</v>
      </c>
      <c r="M381" s="30" t="str">
        <f ca="1">IFERROR(__xludf.DUMMYFUNCTION("""COMPUTED_VALUE"""),"6427010004")</f>
        <v>6427010004</v>
      </c>
      <c r="N381" s="30" t="str">
        <f ca="1">IFERROR(__xludf.DUMMYFUNCTION("""COMPUTED_VALUE"""),"GREGORIO DE LAFERRERE")</f>
        <v>GREGORIO DE LAFERRERE</v>
      </c>
      <c r="O381" s="30" t="str">
        <f ca="1">IFERROR(__xludf.DUMMYFUNCTION("""COMPUTED_VALUE"""),"6427")</f>
        <v>6427</v>
      </c>
      <c r="P381" s="30" t="str">
        <f ca="1">IFERROR(__xludf.DUMMYFUNCTION("""COMPUTED_VALUE"""),"LA MATANZA")</f>
        <v>LA MATANZA</v>
      </c>
      <c r="Q381" s="30" t="str">
        <f ca="1">IFERROR(__xludf.DUMMYFUNCTION("""COMPUTED_VALUE"""),"-34.74831167")</f>
        <v>-34.74831167</v>
      </c>
      <c r="R381" s="30" t="str">
        <f ca="1">IFERROR(__xludf.DUMMYFUNCTION("""COMPUTED_VALUE"""),"-58.62210059")</f>
        <v>-58.62210059</v>
      </c>
      <c r="S381" s="30" t="str">
        <f ca="1">IFERROR(__xludf.DUMMYFUNCTION("""COMPUTED_VALUE"""),"Municipal")</f>
        <v>Municipal</v>
      </c>
      <c r="T381" s="30" t="str">
        <f ca="1">IFERROR(__xludf.DUMMYFUNCTION("""COMPUTED_VALUE"""),"LA MATANZA")</f>
        <v>LA MATANZA</v>
      </c>
    </row>
    <row r="382" spans="1:20" ht="15.75" customHeight="1" x14ac:dyDescent="0.25">
      <c r="A382" s="30" t="str">
        <f ca="1">IFERROR(__xludf.DUMMYFUNCTION("""COMPUTED_VALUE"""),"50064272202110")</f>
        <v>50064272202110</v>
      </c>
      <c r="B382" s="30" t="str">
        <f ca="1">IFERROR(__xludf.DUMMYFUNCTION("""COMPUTED_VALUE"""),"UNIDAD SANITARIA BARRIO NICOLLE DE LA MATANZA")</f>
        <v>UNIDAD SANITARIA BARRIO NICOLLE DE LA MATANZA</v>
      </c>
      <c r="C382" s="30" t="str">
        <f ca="1">IFERROR(__xludf.DUMMYFUNCTION("""COMPUTED_VALUE"""),"Buenos Aires")</f>
        <v>Buenos Aires</v>
      </c>
      <c r="D382" s="30" t="str">
        <f ca="1">IFERROR(__xludf.DUMMYFUNCTION("""COMPUTED_VALUE"""),"6")</f>
        <v>6</v>
      </c>
      <c r="E382" s="30" t="str">
        <f ca="1">IFERROR(__xludf.DUMMYFUNCTION("""COMPUTED_VALUE"""),"")</f>
        <v/>
      </c>
      <c r="F382" s="29"/>
      <c r="G382" s="29"/>
      <c r="H382" s="30" t="str">
        <f ca="1">IFERROR(__xludf.DUMMYFUNCTION("""COMPUTED_VALUE"""),"inactivo")</f>
        <v>inactivo</v>
      </c>
      <c r="I382" s="29"/>
      <c r="J382" s="29"/>
      <c r="K382" s="29"/>
      <c r="L382" s="30" t="str">
        <f ca="1">IFERROR(__xludf.DUMMYFUNCTION("""COMPUTED_VALUE"""),"No")</f>
        <v>No</v>
      </c>
      <c r="M382" s="30" t="str">
        <f ca="1">IFERROR(__xludf.DUMMYFUNCTION("""COMPUTED_VALUE"""),"6427010015")</f>
        <v>6427010015</v>
      </c>
      <c r="N382" s="30" t="str">
        <f ca="1">IFERROR(__xludf.DUMMYFUNCTION("""COMPUTED_VALUE"""),"VIRREY DEL PINO")</f>
        <v>VIRREY DEL PINO</v>
      </c>
      <c r="O382" s="30" t="str">
        <f ca="1">IFERROR(__xludf.DUMMYFUNCTION("""COMPUTED_VALUE"""),"6427")</f>
        <v>6427</v>
      </c>
      <c r="P382" s="30" t="str">
        <f ca="1">IFERROR(__xludf.DUMMYFUNCTION("""COMPUTED_VALUE"""),"LA MATANZA")</f>
        <v>LA MATANZA</v>
      </c>
      <c r="Q382" s="30" t="str">
        <f ca="1">IFERROR(__xludf.DUMMYFUNCTION("""COMPUTED_VALUE"""),"-34.84931153")</f>
        <v>-34.84931153</v>
      </c>
      <c r="R382" s="30" t="str">
        <f ca="1">IFERROR(__xludf.DUMMYFUNCTION("""COMPUTED_VALUE"""),"-58.65514755")</f>
        <v>-58.65514755</v>
      </c>
      <c r="S382" s="30" t="str">
        <f ca="1">IFERROR(__xludf.DUMMYFUNCTION("""COMPUTED_VALUE"""),"Municipal")</f>
        <v>Municipal</v>
      </c>
      <c r="T382" s="30" t="str">
        <f ca="1">IFERROR(__xludf.DUMMYFUNCTION("""COMPUTED_VALUE"""),"LA MATANZA")</f>
        <v>LA MATANZA</v>
      </c>
    </row>
    <row r="383" spans="1:20" ht="15.75" customHeight="1" x14ac:dyDescent="0.25">
      <c r="A383" s="30" t="str">
        <f ca="1">IFERROR(__xludf.DUMMYFUNCTION("""COMPUTED_VALUE"""),"50064272202130")</f>
        <v>50064272202130</v>
      </c>
      <c r="B383" s="30" t="str">
        <f ca="1">IFERROR(__xludf.DUMMYFUNCTION("""COMPUTED_VALUE"""),"UNIDAD SANITARIA BARRIO SAN JOSE OBRERO DE LA MATANZA")</f>
        <v>UNIDAD SANITARIA BARRIO SAN JOSE OBRERO DE LA MATANZA</v>
      </c>
      <c r="C383" s="30" t="str">
        <f ca="1">IFERROR(__xludf.DUMMYFUNCTION("""COMPUTED_VALUE"""),"Buenos Aires")</f>
        <v>Buenos Aires</v>
      </c>
      <c r="D383" s="30" t="str">
        <f ca="1">IFERROR(__xludf.DUMMYFUNCTION("""COMPUTED_VALUE"""),"6")</f>
        <v>6</v>
      </c>
      <c r="E383" s="30" t="str">
        <f ca="1">IFERROR(__xludf.DUMMYFUNCTION("""COMPUTED_VALUE"""),"")</f>
        <v/>
      </c>
      <c r="F383" s="29"/>
      <c r="G383" s="29"/>
      <c r="H383" s="30" t="str">
        <f ca="1">IFERROR(__xludf.DUMMYFUNCTION("""COMPUTED_VALUE"""),"activo")</f>
        <v>activo</v>
      </c>
      <c r="I383" s="29"/>
      <c r="J383" s="29"/>
      <c r="K383" s="29"/>
      <c r="L383" s="30" t="str">
        <f ca="1">IFERROR(__xludf.DUMMYFUNCTION("""COMPUTED_VALUE"""),"No")</f>
        <v>No</v>
      </c>
      <c r="M383" s="30" t="str">
        <f ca="1">IFERROR(__xludf.DUMMYFUNCTION("""COMPUTED_VALUE"""),"6427010004")</f>
        <v>6427010004</v>
      </c>
      <c r="N383" s="30" t="str">
        <f ca="1">IFERROR(__xludf.DUMMYFUNCTION("""COMPUTED_VALUE"""),"GREGORIO DE LAFERRERE")</f>
        <v>GREGORIO DE LAFERRERE</v>
      </c>
      <c r="O383" s="30" t="str">
        <f ca="1">IFERROR(__xludf.DUMMYFUNCTION("""COMPUTED_VALUE"""),"6427")</f>
        <v>6427</v>
      </c>
      <c r="P383" s="30" t="str">
        <f ca="1">IFERROR(__xludf.DUMMYFUNCTION("""COMPUTED_VALUE"""),"LA MATANZA")</f>
        <v>LA MATANZA</v>
      </c>
      <c r="Q383" s="30" t="str">
        <f ca="1">IFERROR(__xludf.DUMMYFUNCTION("""COMPUTED_VALUE"""),"-34.74965249")</f>
        <v>-34.74965249</v>
      </c>
      <c r="R383" s="30" t="str">
        <f ca="1">IFERROR(__xludf.DUMMYFUNCTION("""COMPUTED_VALUE"""),"-58.57927322")</f>
        <v>-58.57927322</v>
      </c>
      <c r="S383" s="30" t="str">
        <f ca="1">IFERROR(__xludf.DUMMYFUNCTION("""COMPUTED_VALUE"""),"Municipal")</f>
        <v>Municipal</v>
      </c>
      <c r="T383" s="30" t="str">
        <f ca="1">IFERROR(__xludf.DUMMYFUNCTION("""COMPUTED_VALUE"""),"LA MATANZA")</f>
        <v>LA MATANZA</v>
      </c>
    </row>
    <row r="384" spans="1:20" ht="15.75" customHeight="1" x14ac:dyDescent="0.25">
      <c r="A384" s="30" t="str">
        <f ca="1">IFERROR(__xludf.DUMMYFUNCTION("""COMPUTED_VALUE"""),"50064272202381")</f>
        <v>50064272202381</v>
      </c>
      <c r="B384" s="30" t="str">
        <f ca="1">IFERROR(__xludf.DUMMYFUNCTION("""COMPUTED_VALUE"""),"UNIDAD SANITARIA LA TABLADA")</f>
        <v>UNIDAD SANITARIA LA TABLADA</v>
      </c>
      <c r="C384" s="30" t="str">
        <f ca="1">IFERROR(__xludf.DUMMYFUNCTION("""COMPUTED_VALUE"""),"Buenos Aires")</f>
        <v>Buenos Aires</v>
      </c>
      <c r="D384" s="30" t="str">
        <f ca="1">IFERROR(__xludf.DUMMYFUNCTION("""COMPUTED_VALUE"""),"6")</f>
        <v>6</v>
      </c>
      <c r="E384" s="30" t="str">
        <f ca="1">IFERROR(__xludf.DUMMYFUNCTION("""COMPUTED_VALUE"""),"")</f>
        <v/>
      </c>
      <c r="F384" s="29"/>
      <c r="G384" s="29"/>
      <c r="H384" s="30" t="str">
        <f ca="1">IFERROR(__xludf.DUMMYFUNCTION("""COMPUTED_VALUE"""),"inactivo")</f>
        <v>inactivo</v>
      </c>
      <c r="I384" s="30" t="str">
        <f ca="1">IFERROR(__xludf.DUMMYFUNCTION("""COMPUTED_VALUE"""),"- fuera circular 2")</f>
        <v>- fuera circular 2</v>
      </c>
      <c r="J384" s="29"/>
      <c r="K384" s="29"/>
      <c r="L384" s="30" t="str">
        <f ca="1">IFERROR(__xludf.DUMMYFUNCTION("""COMPUTED_VALUE"""),"No")</f>
        <v>No</v>
      </c>
      <c r="M384" s="30" t="str">
        <f ca="1">IFERROR(__xludf.DUMMYFUNCTION("""COMPUTED_VALUE"""),"6427010006")</f>
        <v>6427010006</v>
      </c>
      <c r="N384" s="30" t="str">
        <f ca="1">IFERROR(__xludf.DUMMYFUNCTION("""COMPUTED_VALUE"""),"LA TABLADA")</f>
        <v>LA TABLADA</v>
      </c>
      <c r="O384" s="30" t="str">
        <f ca="1">IFERROR(__xludf.DUMMYFUNCTION("""COMPUTED_VALUE"""),"6427")</f>
        <v>6427</v>
      </c>
      <c r="P384" s="30" t="str">
        <f ca="1">IFERROR(__xludf.DUMMYFUNCTION("""COMPUTED_VALUE"""),"LA MATANZA")</f>
        <v>LA MATANZA</v>
      </c>
      <c r="Q384" s="30" t="str">
        <f ca="1">IFERROR(__xludf.DUMMYFUNCTION("""COMPUTED_VALUE"""),"-34.69970636")</f>
        <v>-34.69970636</v>
      </c>
      <c r="R384" s="30" t="str">
        <f ca="1">IFERROR(__xludf.DUMMYFUNCTION("""COMPUTED_VALUE"""),"-58.52632427")</f>
        <v>-58.52632427</v>
      </c>
      <c r="S384" s="30" t="str">
        <f ca="1">IFERROR(__xludf.DUMMYFUNCTION("""COMPUTED_VALUE"""),"Municipal")</f>
        <v>Municipal</v>
      </c>
      <c r="T384" s="30" t="str">
        <f ca="1">IFERROR(__xludf.DUMMYFUNCTION("""COMPUTED_VALUE"""),"LA MATANZA")</f>
        <v>LA MATANZA</v>
      </c>
    </row>
    <row r="385" spans="1:20" ht="15.75" customHeight="1" x14ac:dyDescent="0.25">
      <c r="A385" s="30" t="str">
        <f ca="1">IFERROR(__xludf.DUMMYFUNCTION("""COMPUTED_VALUE"""),"50064272202689")</f>
        <v>50064272202689</v>
      </c>
      <c r="B385" s="30" t="str">
        <f ca="1">IFERROR(__xludf.DUMMYFUNCTION("""COMPUTED_VALUE"""),"UNIDAD SANITARIA LA QUILA")</f>
        <v>UNIDAD SANITARIA LA QUILA</v>
      </c>
      <c r="C385" s="30" t="str">
        <f ca="1">IFERROR(__xludf.DUMMYFUNCTION("""COMPUTED_VALUE"""),"Buenos Aires")</f>
        <v>Buenos Aires</v>
      </c>
      <c r="D385" s="30" t="str">
        <f ca="1">IFERROR(__xludf.DUMMYFUNCTION("""COMPUTED_VALUE"""),"6")</f>
        <v>6</v>
      </c>
      <c r="E385" s="30" t="str">
        <f ca="1">IFERROR(__xludf.DUMMYFUNCTION("""COMPUTED_VALUE"""),"")</f>
        <v/>
      </c>
      <c r="F385" s="29"/>
      <c r="G385" s="29"/>
      <c r="H385" s="30" t="str">
        <f ca="1">IFERROR(__xludf.DUMMYFUNCTION("""COMPUTED_VALUE"""),"inactivo")</f>
        <v>inactivo</v>
      </c>
      <c r="I385" s="30" t="str">
        <f ca="1">IFERROR(__xludf.DUMMYFUNCTION("""COMPUTED_VALUE"""),"- fuera circular 2")</f>
        <v>- fuera circular 2</v>
      </c>
      <c r="J385" s="29"/>
      <c r="K385" s="29"/>
      <c r="L385" s="30" t="str">
        <f ca="1">IFERROR(__xludf.DUMMYFUNCTION("""COMPUTED_VALUE"""),"No")</f>
        <v>No</v>
      </c>
      <c r="M385" s="30" t="str">
        <f ca="1">IFERROR(__xludf.DUMMYFUNCTION("""COMPUTED_VALUE"""),"6427010002")</f>
        <v>6427010002</v>
      </c>
      <c r="N385" s="30" t="str">
        <f ca="1">IFERROR(__xludf.DUMMYFUNCTION("""COMPUTED_VALUE"""),"CIUDAD EVITA")</f>
        <v>CIUDAD EVITA</v>
      </c>
      <c r="O385" s="30" t="str">
        <f ca="1">IFERROR(__xludf.DUMMYFUNCTION("""COMPUTED_VALUE"""),"6427")</f>
        <v>6427</v>
      </c>
      <c r="P385" s="30" t="str">
        <f ca="1">IFERROR(__xludf.DUMMYFUNCTION("""COMPUTED_VALUE"""),"LA MATANZA")</f>
        <v>LA MATANZA</v>
      </c>
      <c r="Q385" s="30" t="str">
        <f ca="1">IFERROR(__xludf.DUMMYFUNCTION("""COMPUTED_VALUE"""),"-34.70756522")</f>
        <v>-34.70756522</v>
      </c>
      <c r="R385" s="30" t="str">
        <f ca="1">IFERROR(__xludf.DUMMYFUNCTION("""COMPUTED_VALUE"""),"-58.53817964")</f>
        <v>-58.53817964</v>
      </c>
      <c r="S385" s="30" t="str">
        <f ca="1">IFERROR(__xludf.DUMMYFUNCTION("""COMPUTED_VALUE"""),"Municipal")</f>
        <v>Municipal</v>
      </c>
      <c r="T385" s="30" t="str">
        <f ca="1">IFERROR(__xludf.DUMMYFUNCTION("""COMPUTED_VALUE"""),"LA MATANZA")</f>
        <v>LA MATANZA</v>
      </c>
    </row>
    <row r="386" spans="1:20" ht="15.75" customHeight="1" x14ac:dyDescent="0.25">
      <c r="A386" s="30" t="str">
        <f ca="1">IFERROR(__xludf.DUMMYFUNCTION("""COMPUTED_VALUE"""),"50064272202740")</f>
        <v>50064272202740</v>
      </c>
      <c r="B386" s="30" t="str">
        <f ca="1">IFERROR(__xludf.DUMMYFUNCTION("""COMPUTED_VALUE"""),"UNIDAD SANITARIA PUERTO ARGENTINO CIUDAD EVITA")</f>
        <v>UNIDAD SANITARIA PUERTO ARGENTINO CIUDAD EVITA</v>
      </c>
      <c r="C386" s="30" t="str">
        <f ca="1">IFERROR(__xludf.DUMMYFUNCTION("""COMPUTED_VALUE"""),"Buenos Aires")</f>
        <v>Buenos Aires</v>
      </c>
      <c r="D386" s="30" t="str">
        <f ca="1">IFERROR(__xludf.DUMMYFUNCTION("""COMPUTED_VALUE"""),"6")</f>
        <v>6</v>
      </c>
      <c r="E386" s="30" t="str">
        <f ca="1">IFERROR(__xludf.DUMMYFUNCTION("""COMPUTED_VALUE"""),"")</f>
        <v/>
      </c>
      <c r="F386" s="29"/>
      <c r="G386" s="29"/>
      <c r="H386" s="30" t="str">
        <f ca="1">IFERROR(__xludf.DUMMYFUNCTION("""COMPUTED_VALUE"""),"inactivo")</f>
        <v>inactivo</v>
      </c>
      <c r="I386" s="30" t="str">
        <f ca="1">IFERROR(__xludf.DUMMYFUNCTION("""COMPUTED_VALUE"""),"- fuera circular 2")</f>
        <v>- fuera circular 2</v>
      </c>
      <c r="J386" s="29"/>
      <c r="K386" s="29"/>
      <c r="L386" s="30" t="str">
        <f ca="1">IFERROR(__xludf.DUMMYFUNCTION("""COMPUTED_VALUE"""),"No")</f>
        <v>No</v>
      </c>
      <c r="M386" s="30" t="str">
        <f ca="1">IFERROR(__xludf.DUMMYFUNCTION("""COMPUTED_VALUE"""),"6427010002")</f>
        <v>6427010002</v>
      </c>
      <c r="N386" s="30" t="str">
        <f ca="1">IFERROR(__xludf.DUMMYFUNCTION("""COMPUTED_VALUE"""),"CIUDAD EVITA")</f>
        <v>CIUDAD EVITA</v>
      </c>
      <c r="O386" s="30" t="str">
        <f ca="1">IFERROR(__xludf.DUMMYFUNCTION("""COMPUTED_VALUE"""),"6427")</f>
        <v>6427</v>
      </c>
      <c r="P386" s="30" t="str">
        <f ca="1">IFERROR(__xludf.DUMMYFUNCTION("""COMPUTED_VALUE"""),"LA MATANZA")</f>
        <v>LA MATANZA</v>
      </c>
      <c r="Q386" s="30" t="str">
        <f ca="1">IFERROR(__xludf.DUMMYFUNCTION("""COMPUTED_VALUE"""),"-34.657135")</f>
        <v>-34.657135</v>
      </c>
      <c r="R386" s="30" t="str">
        <f ca="1">IFERROR(__xludf.DUMMYFUNCTION("""COMPUTED_VALUE"""),"-58.4779549")</f>
        <v>-58.4779549</v>
      </c>
      <c r="S386" s="30" t="str">
        <f ca="1">IFERROR(__xludf.DUMMYFUNCTION("""COMPUTED_VALUE"""),"Municipal")</f>
        <v>Municipal</v>
      </c>
      <c r="T386" s="30" t="str">
        <f ca="1">IFERROR(__xludf.DUMMYFUNCTION("""COMPUTED_VALUE"""),"LA MATANZA")</f>
        <v>LA MATANZA</v>
      </c>
    </row>
    <row r="387" spans="1:20" ht="15.75" customHeight="1" x14ac:dyDescent="0.25">
      <c r="A387" s="30" t="str">
        <f ca="1">IFERROR(__xludf.DUMMYFUNCTION("""COMPUTED_VALUE"""),"50064272202746")</f>
        <v>50064272202746</v>
      </c>
      <c r="B387" s="30" t="str">
        <f ca="1">IFERROR(__xludf.DUMMYFUNCTION("""COMPUTED_VALUE"""),"CENTRO DE SALUD RAMON CARRILLO DE LA MATANZA")</f>
        <v>CENTRO DE SALUD RAMON CARRILLO DE LA MATANZA</v>
      </c>
      <c r="C387" s="30" t="str">
        <f ca="1">IFERROR(__xludf.DUMMYFUNCTION("""COMPUTED_VALUE"""),"Buenos Aires")</f>
        <v>Buenos Aires</v>
      </c>
      <c r="D387" s="30" t="str">
        <f ca="1">IFERROR(__xludf.DUMMYFUNCTION("""COMPUTED_VALUE"""),"6")</f>
        <v>6</v>
      </c>
      <c r="E387" s="30" t="str">
        <f ca="1">IFERROR(__xludf.DUMMYFUNCTION("""COMPUTED_VALUE"""),"")</f>
        <v/>
      </c>
      <c r="F387" s="29"/>
      <c r="G387" s="29"/>
      <c r="H387" s="30" t="str">
        <f ca="1">IFERROR(__xludf.DUMMYFUNCTION("""COMPUTED_VALUE"""),"activo")</f>
        <v>activo</v>
      </c>
      <c r="I387" s="29"/>
      <c r="J387" s="29"/>
      <c r="K387" s="29"/>
      <c r="L387" s="30" t="str">
        <f ca="1">IFERROR(__xludf.DUMMYFUNCTION("""COMPUTED_VALUE"""),"No")</f>
        <v>No</v>
      </c>
      <c r="M387" s="30" t="str">
        <f ca="1">IFERROR(__xludf.DUMMYFUNCTION("""COMPUTED_VALUE"""),"6427010002")</f>
        <v>6427010002</v>
      </c>
      <c r="N387" s="30" t="str">
        <f ca="1">IFERROR(__xludf.DUMMYFUNCTION("""COMPUTED_VALUE"""),"CIUDAD EVITA")</f>
        <v>CIUDAD EVITA</v>
      </c>
      <c r="O387" s="30" t="str">
        <f ca="1">IFERROR(__xludf.DUMMYFUNCTION("""COMPUTED_VALUE"""),"6427")</f>
        <v>6427</v>
      </c>
      <c r="P387" s="30" t="str">
        <f ca="1">IFERROR(__xludf.DUMMYFUNCTION("""COMPUTED_VALUE"""),"LA MATANZA")</f>
        <v>LA MATANZA</v>
      </c>
      <c r="Q387" s="30" t="str">
        <f ca="1">IFERROR(__xludf.DUMMYFUNCTION("""COMPUTED_VALUE"""),"-34.71413662")</f>
        <v>-34.71413662</v>
      </c>
      <c r="R387" s="30" t="str">
        <f ca="1">IFERROR(__xludf.DUMMYFUNCTION("""COMPUTED_VALUE"""),"-58.55564833")</f>
        <v>-58.55564833</v>
      </c>
      <c r="S387" s="30" t="str">
        <f ca="1">IFERROR(__xludf.DUMMYFUNCTION("""COMPUTED_VALUE"""),"Municipal")</f>
        <v>Municipal</v>
      </c>
      <c r="T387" s="30" t="str">
        <f ca="1">IFERROR(__xludf.DUMMYFUNCTION("""COMPUTED_VALUE"""),"LA MATANZA")</f>
        <v>LA MATANZA</v>
      </c>
    </row>
    <row r="388" spans="1:20" ht="15.75" customHeight="1" x14ac:dyDescent="0.25">
      <c r="A388" s="30" t="str">
        <f ca="1">IFERROR(__xludf.DUMMYFUNCTION("""COMPUTED_VALUE"""),"50064272202801")</f>
        <v>50064272202801</v>
      </c>
      <c r="B388" s="30" t="str">
        <f ca="1">IFERROR(__xludf.DUMMYFUNCTION("""COMPUTED_VALUE"""),"UNIDAD DE SALUD SAN PEDRO  ( LA MATANZA)")</f>
        <v>UNIDAD DE SALUD SAN PEDRO  ( LA MATANZA)</v>
      </c>
      <c r="C388" s="30" t="str">
        <f ca="1">IFERROR(__xludf.DUMMYFUNCTION("""COMPUTED_VALUE"""),"Buenos Aires")</f>
        <v>Buenos Aires</v>
      </c>
      <c r="D388" s="30" t="str">
        <f ca="1">IFERROR(__xludf.DUMMYFUNCTION("""COMPUTED_VALUE"""),"6")</f>
        <v>6</v>
      </c>
      <c r="E388" s="30" t="str">
        <f ca="1">IFERROR(__xludf.DUMMYFUNCTION("""COMPUTED_VALUE"""),"")</f>
        <v/>
      </c>
      <c r="F388" s="29"/>
      <c r="G388" s="29"/>
      <c r="H388" s="30" t="str">
        <f ca="1">IFERROR(__xludf.DUMMYFUNCTION("""COMPUTED_VALUE"""),"inactivo")</f>
        <v>inactivo</v>
      </c>
      <c r="I388" s="30" t="str">
        <f ca="1">IFERROR(__xludf.DUMMYFUNCTION("""COMPUTED_VALUE"""),"- fuera circular 2")</f>
        <v>- fuera circular 2</v>
      </c>
      <c r="J388" s="29"/>
      <c r="K388" s="29"/>
      <c r="L388" s="30" t="str">
        <f ca="1">IFERROR(__xludf.DUMMYFUNCTION("""COMPUTED_VALUE"""),"No")</f>
        <v>No</v>
      </c>
      <c r="M388" s="30" t="str">
        <f ca="1">IFERROR(__xludf.DUMMYFUNCTION("""COMPUTED_VALUE"""),"6427010015")</f>
        <v>6427010015</v>
      </c>
      <c r="N388" s="30" t="str">
        <f ca="1">IFERROR(__xludf.DUMMYFUNCTION("""COMPUTED_VALUE"""),"VIRREY DEL PINO")</f>
        <v>VIRREY DEL PINO</v>
      </c>
      <c r="O388" s="30" t="str">
        <f ca="1">IFERROR(__xludf.DUMMYFUNCTION("""COMPUTED_VALUE"""),"6427")</f>
        <v>6427</v>
      </c>
      <c r="P388" s="30" t="str">
        <f ca="1">IFERROR(__xludf.DUMMYFUNCTION("""COMPUTED_VALUE"""),"LA MATANZA")</f>
        <v>LA MATANZA</v>
      </c>
      <c r="Q388" s="30" t="str">
        <f ca="1">IFERROR(__xludf.DUMMYFUNCTION("""COMPUTED_VALUE"""),"-34.82135097")</f>
        <v>-34.82135097</v>
      </c>
      <c r="R388" s="30" t="str">
        <f ca="1">IFERROR(__xludf.DUMMYFUNCTION("""COMPUTED_VALUE"""),"-58.63530779")</f>
        <v>-58.63530779</v>
      </c>
      <c r="S388" s="30" t="str">
        <f ca="1">IFERROR(__xludf.DUMMYFUNCTION("""COMPUTED_VALUE"""),"Municipal")</f>
        <v>Municipal</v>
      </c>
      <c r="T388" s="30" t="str">
        <f ca="1">IFERROR(__xludf.DUMMYFUNCTION("""COMPUTED_VALUE"""),"LA MATANZA")</f>
        <v>LA MATANZA</v>
      </c>
    </row>
    <row r="389" spans="1:20" ht="15.75" customHeight="1" x14ac:dyDescent="0.25">
      <c r="A389" s="30" t="str">
        <f ca="1">IFERROR(__xludf.DUMMYFUNCTION("""COMPUTED_VALUE"""),"50064272202885")</f>
        <v>50064272202885</v>
      </c>
      <c r="B389" s="30" t="str">
        <f ca="1">IFERROR(__xludf.DUMMYFUNCTION("""COMPUTED_VALUE"""),"UNIDAD DE SALUD VILLA GIARDINO")</f>
        <v>UNIDAD DE SALUD VILLA GIARDINO</v>
      </c>
      <c r="C389" s="30" t="str">
        <f ca="1">IFERROR(__xludf.DUMMYFUNCTION("""COMPUTED_VALUE"""),"Buenos Aires")</f>
        <v>Buenos Aires</v>
      </c>
      <c r="D389" s="30" t="str">
        <f ca="1">IFERROR(__xludf.DUMMYFUNCTION("""COMPUTED_VALUE"""),"6")</f>
        <v>6</v>
      </c>
      <c r="E389" s="30" t="str">
        <f ca="1">IFERROR(__xludf.DUMMYFUNCTION("""COMPUTED_VALUE"""),"")</f>
        <v/>
      </c>
      <c r="F389" s="29"/>
      <c r="G389" s="29"/>
      <c r="H389" s="30" t="str">
        <f ca="1">IFERROR(__xludf.DUMMYFUNCTION("""COMPUTED_VALUE"""),"inactivo")</f>
        <v>inactivo</v>
      </c>
      <c r="I389" s="29"/>
      <c r="J389" s="29"/>
      <c r="K389" s="29"/>
      <c r="L389" s="30" t="str">
        <f ca="1">IFERROR(__xludf.DUMMYFUNCTION("""COMPUTED_VALUE"""),"No")</f>
        <v>No</v>
      </c>
      <c r="M389" s="30" t="str">
        <f ca="1">IFERROR(__xludf.DUMMYFUNCTION("""COMPUTED_VALUE"""),"6427010005")</f>
        <v>6427010005</v>
      </c>
      <c r="N389" s="30" t="str">
        <f ca="1">IFERROR(__xludf.DUMMYFUNCTION("""COMPUTED_VALUE"""),"ISIDRO CASANOVA")</f>
        <v>ISIDRO CASANOVA</v>
      </c>
      <c r="O389" s="30" t="str">
        <f ca="1">IFERROR(__xludf.DUMMYFUNCTION("""COMPUTED_VALUE"""),"6427")</f>
        <v>6427</v>
      </c>
      <c r="P389" s="30" t="str">
        <f ca="1">IFERROR(__xludf.DUMMYFUNCTION("""COMPUTED_VALUE"""),"LA MATANZA")</f>
        <v>LA MATANZA</v>
      </c>
      <c r="Q389" s="30" t="str">
        <f ca="1">IFERROR(__xludf.DUMMYFUNCTION("""COMPUTED_VALUE"""),"-34.749042")</f>
        <v>-34.749042</v>
      </c>
      <c r="R389" s="30" t="str">
        <f ca="1">IFERROR(__xludf.DUMMYFUNCTION("""COMPUTED_VALUE"""),"-58.602492")</f>
        <v>-58.602492</v>
      </c>
      <c r="S389" s="30" t="str">
        <f ca="1">IFERROR(__xludf.DUMMYFUNCTION("""COMPUTED_VALUE"""),"Municipal")</f>
        <v>Municipal</v>
      </c>
      <c r="T389" s="30" t="str">
        <f ca="1">IFERROR(__xludf.DUMMYFUNCTION("""COMPUTED_VALUE"""),"LA MATANZA")</f>
        <v>LA MATANZA</v>
      </c>
    </row>
    <row r="390" spans="1:20" ht="15.75" customHeight="1" x14ac:dyDescent="0.25">
      <c r="A390" s="30" t="str">
        <f ca="1">IFERROR(__xludf.DUMMYFUNCTION("""COMPUTED_VALUE"""),"50064342201392")</f>
        <v>50064342201392</v>
      </c>
      <c r="B390" s="30" t="str">
        <f ca="1">IFERROR(__xludf.DUMMYFUNCTION("""COMPUTED_VALUE"""),"CENTRO DE SALUD 26 DE ABRIL")</f>
        <v>CENTRO DE SALUD 26 DE ABRIL</v>
      </c>
      <c r="C390" s="30" t="str">
        <f ca="1">IFERROR(__xludf.DUMMYFUNCTION("""COMPUTED_VALUE"""),"Buenos Aires")</f>
        <v>Buenos Aires</v>
      </c>
      <c r="D390" s="30" t="str">
        <f ca="1">IFERROR(__xludf.DUMMYFUNCTION("""COMPUTED_VALUE"""),"6")</f>
        <v>6</v>
      </c>
      <c r="E390" s="30" t="str">
        <f ca="1">IFERROR(__xludf.DUMMYFUNCTION("""COMPUTED_VALUE"""),"")</f>
        <v/>
      </c>
      <c r="F390" s="29"/>
      <c r="G390" s="29"/>
      <c r="H390" s="30" t="str">
        <f ca="1">IFERROR(__xludf.DUMMYFUNCTION("""COMPUTED_VALUE"""),"activo")</f>
        <v>activo</v>
      </c>
      <c r="I390" s="29"/>
      <c r="J390" s="29"/>
      <c r="K390" s="29"/>
      <c r="L390" s="30" t="str">
        <f ca="1">IFERROR(__xludf.DUMMYFUNCTION("""COMPUTED_VALUE"""),"No")</f>
        <v>No</v>
      </c>
      <c r="M390" s="30" t="str">
        <f ca="1">IFERROR(__xludf.DUMMYFUNCTION("""COMPUTED_VALUE"""),"6434010004")</f>
        <v>6434010004</v>
      </c>
      <c r="N390" s="30" t="str">
        <f ca="1">IFERROR(__xludf.DUMMYFUNCTION("""COMPUTED_VALUE"""),"MONTE CHINGOLO")</f>
        <v>MONTE CHINGOLO</v>
      </c>
      <c r="O390" s="30" t="str">
        <f ca="1">IFERROR(__xludf.DUMMYFUNCTION("""COMPUTED_VALUE"""),"6434")</f>
        <v>6434</v>
      </c>
      <c r="P390" s="30" t="str">
        <f ca="1">IFERROR(__xludf.DUMMYFUNCTION("""COMPUTED_VALUE"""),"LANÚS")</f>
        <v>LANÚS</v>
      </c>
      <c r="Q390" s="30" t="str">
        <f ca="1">IFERROR(__xludf.DUMMYFUNCTION("""COMPUTED_VALUE"""),"-34.736247")</f>
        <v>-34.736247</v>
      </c>
      <c r="R390" s="30" t="str">
        <f ca="1">IFERROR(__xludf.DUMMYFUNCTION("""COMPUTED_VALUE"""),"-58.349015")</f>
        <v>-58.349015</v>
      </c>
      <c r="S390" s="30" t="str">
        <f ca="1">IFERROR(__xludf.DUMMYFUNCTION("""COMPUTED_VALUE"""),"Municipal")</f>
        <v>Municipal</v>
      </c>
      <c r="T390" s="30" t="str">
        <f ca="1">IFERROR(__xludf.DUMMYFUNCTION("""COMPUTED_VALUE"""),"LANÚS")</f>
        <v>LANÚS</v>
      </c>
    </row>
    <row r="391" spans="1:20" ht="15.75" customHeight="1" x14ac:dyDescent="0.25">
      <c r="A391" s="30" t="str">
        <f ca="1">IFERROR(__xludf.DUMMYFUNCTION("""COMPUTED_VALUE"""),"50064342201977")</f>
        <v>50064342201977</v>
      </c>
      <c r="B391" s="30" t="str">
        <f ca="1">IFERROR(__xludf.DUMMYFUNCTION("""COMPUTED_VALUE"""),"SERVICIO DE PEDIATRIA ODONTOLOGIA MASPERO")</f>
        <v>SERVICIO DE PEDIATRIA ODONTOLOGIA MASPERO</v>
      </c>
      <c r="C391" s="30" t="str">
        <f ca="1">IFERROR(__xludf.DUMMYFUNCTION("""COMPUTED_VALUE"""),"Buenos Aires")</f>
        <v>Buenos Aires</v>
      </c>
      <c r="D391" s="30" t="str">
        <f ca="1">IFERROR(__xludf.DUMMYFUNCTION("""COMPUTED_VALUE"""),"6")</f>
        <v>6</v>
      </c>
      <c r="E391" s="30" t="str">
        <f ca="1">IFERROR(__xludf.DUMMYFUNCTION("""COMPUTED_VALUE"""),"")</f>
        <v/>
      </c>
      <c r="F391" s="29"/>
      <c r="G391" s="29"/>
      <c r="H391" s="30" t="str">
        <f ca="1">IFERROR(__xludf.DUMMYFUNCTION("""COMPUTED_VALUE"""),"inactivo")</f>
        <v>inactivo</v>
      </c>
      <c r="I391" s="30" t="str">
        <f ca="1">IFERROR(__xludf.DUMMYFUNCTION("""COMPUTED_VALUE"""),"- fuera circular 2")</f>
        <v>- fuera circular 2</v>
      </c>
      <c r="J391" s="29"/>
      <c r="K391" s="29"/>
      <c r="L391" s="30" t="str">
        <f ca="1">IFERROR(__xludf.DUMMYFUNCTION("""COMPUTED_VALUE"""),"No")</f>
        <v>No</v>
      </c>
      <c r="M391" s="30" t="str">
        <f ca="1">IFERROR(__xludf.DUMMYFUNCTION("""COMPUTED_VALUE"""),"6434010005")</f>
        <v>6434010005</v>
      </c>
      <c r="N391" s="30" t="str">
        <f ca="1">IFERROR(__xludf.DUMMYFUNCTION("""COMPUTED_VALUE"""),"REMEDIOS ESCALADA DE SAN MARTIN")</f>
        <v>REMEDIOS ESCALADA DE SAN MARTIN</v>
      </c>
      <c r="O391" s="30" t="str">
        <f ca="1">IFERROR(__xludf.DUMMYFUNCTION("""COMPUTED_VALUE"""),"6434")</f>
        <v>6434</v>
      </c>
      <c r="P391" s="30" t="str">
        <f ca="1">IFERROR(__xludf.DUMMYFUNCTION("""COMPUTED_VALUE"""),"LANÚS")</f>
        <v>LANÚS</v>
      </c>
      <c r="Q391" s="30" t="str">
        <f ca="1">IFERROR(__xludf.DUMMYFUNCTION("""COMPUTED_VALUE"""),"-34.7235211")</f>
        <v>-34.7235211</v>
      </c>
      <c r="R391" s="30" t="str">
        <f ca="1">IFERROR(__xludf.DUMMYFUNCTION("""COMPUTED_VALUE"""),"-58.3953269")</f>
        <v>-58.3953269</v>
      </c>
      <c r="S391" s="30" t="str">
        <f ca="1">IFERROR(__xludf.DUMMYFUNCTION("""COMPUTED_VALUE"""),"Municipal")</f>
        <v>Municipal</v>
      </c>
      <c r="T391" s="30" t="str">
        <f ca="1">IFERROR(__xludf.DUMMYFUNCTION("""COMPUTED_VALUE"""),"LANÚS")</f>
        <v>LANÚS</v>
      </c>
    </row>
    <row r="392" spans="1:20" ht="15.75" customHeight="1" x14ac:dyDescent="0.25">
      <c r="A392" s="30" t="str">
        <f ca="1">IFERROR(__xludf.DUMMYFUNCTION("""COMPUTED_VALUE"""),"50064342202455")</f>
        <v>50064342202455</v>
      </c>
      <c r="B392" s="30" t="str">
        <f ca="1">IFERROR(__xludf.DUMMYFUNCTION("""COMPUTED_VALUE"""),"UNIDAD SANITARIA MONTE CHINGOLO")</f>
        <v>UNIDAD SANITARIA MONTE CHINGOLO</v>
      </c>
      <c r="C392" s="30" t="str">
        <f ca="1">IFERROR(__xludf.DUMMYFUNCTION("""COMPUTED_VALUE"""),"Buenos Aires")</f>
        <v>Buenos Aires</v>
      </c>
      <c r="D392" s="30" t="str">
        <f ca="1">IFERROR(__xludf.DUMMYFUNCTION("""COMPUTED_VALUE"""),"6")</f>
        <v>6</v>
      </c>
      <c r="E392" s="30" t="str">
        <f ca="1">IFERROR(__xludf.DUMMYFUNCTION("""COMPUTED_VALUE"""),"")</f>
        <v/>
      </c>
      <c r="F392" s="29"/>
      <c r="G392" s="29"/>
      <c r="H392" s="30" t="str">
        <f ca="1">IFERROR(__xludf.DUMMYFUNCTION("""COMPUTED_VALUE"""),"activo")</f>
        <v>activo</v>
      </c>
      <c r="I392" s="29"/>
      <c r="J392" s="29"/>
      <c r="K392" s="29"/>
      <c r="L392" s="30" t="str">
        <f ca="1">IFERROR(__xludf.DUMMYFUNCTION("""COMPUTED_VALUE"""),"No")</f>
        <v>No</v>
      </c>
      <c r="M392" s="30" t="str">
        <f ca="1">IFERROR(__xludf.DUMMYFUNCTION("""COMPUTED_VALUE"""),"6434010004")</f>
        <v>6434010004</v>
      </c>
      <c r="N392" s="30" t="str">
        <f ca="1">IFERROR(__xludf.DUMMYFUNCTION("""COMPUTED_VALUE"""),"MONTE CHINGOLO")</f>
        <v>MONTE CHINGOLO</v>
      </c>
      <c r="O392" s="30" t="str">
        <f ca="1">IFERROR(__xludf.DUMMYFUNCTION("""COMPUTED_VALUE"""),"6434")</f>
        <v>6434</v>
      </c>
      <c r="P392" s="30" t="str">
        <f ca="1">IFERROR(__xludf.DUMMYFUNCTION("""COMPUTED_VALUE"""),"LANÚS")</f>
        <v>LANÚS</v>
      </c>
      <c r="Q392" s="30" t="str">
        <f ca="1">IFERROR(__xludf.DUMMYFUNCTION("""COMPUTED_VALUE"""),"-34.72314518")</f>
        <v>-34.72314518</v>
      </c>
      <c r="R392" s="30" t="str">
        <f ca="1">IFERROR(__xludf.DUMMYFUNCTION("""COMPUTED_VALUE"""),"-58.34711194")</f>
        <v>-58.34711194</v>
      </c>
      <c r="S392" s="30" t="str">
        <f ca="1">IFERROR(__xludf.DUMMYFUNCTION("""COMPUTED_VALUE"""),"Municipal")</f>
        <v>Municipal</v>
      </c>
      <c r="T392" s="30" t="str">
        <f ca="1">IFERROR(__xludf.DUMMYFUNCTION("""COMPUTED_VALUE"""),"LANÚS")</f>
        <v>LANÚS</v>
      </c>
    </row>
    <row r="393" spans="1:20" ht="15.75" customHeight="1" x14ac:dyDescent="0.25">
      <c r="A393" s="30" t="str">
        <f ca="1">IFERROR(__xludf.DUMMYFUNCTION("""COMPUTED_VALUE"""),"50064342202798")</f>
        <v>50064342202798</v>
      </c>
      <c r="B393" s="30" t="str">
        <f ca="1">IFERROR(__xludf.DUMMYFUNCTION("""COMPUTED_VALUE"""),"UNIDAD SANITARIA SAN MARTIN DE LANUS")</f>
        <v>UNIDAD SANITARIA SAN MARTIN DE LANUS</v>
      </c>
      <c r="C393" s="30" t="str">
        <f ca="1">IFERROR(__xludf.DUMMYFUNCTION("""COMPUTED_VALUE"""),"Buenos Aires")</f>
        <v>Buenos Aires</v>
      </c>
      <c r="D393" s="30" t="str">
        <f ca="1">IFERROR(__xludf.DUMMYFUNCTION("""COMPUTED_VALUE"""),"6")</f>
        <v>6</v>
      </c>
      <c r="E393" s="30" t="str">
        <f ca="1">IFERROR(__xludf.DUMMYFUNCTION("""COMPUTED_VALUE"""),"")</f>
        <v/>
      </c>
      <c r="F393" s="29"/>
      <c r="G393" s="29"/>
      <c r="H393" s="30" t="str">
        <f ca="1">IFERROR(__xludf.DUMMYFUNCTION("""COMPUTED_VALUE"""),"activo")</f>
        <v>activo</v>
      </c>
      <c r="I393" s="29"/>
      <c r="J393" s="29"/>
      <c r="K393" s="29"/>
      <c r="L393" s="30" t="str">
        <f ca="1">IFERROR(__xludf.DUMMYFUNCTION("""COMPUTED_VALUE"""),"No")</f>
        <v>No</v>
      </c>
      <c r="M393" s="30" t="str">
        <f ca="1">IFERROR(__xludf.DUMMYFUNCTION("""COMPUTED_VALUE"""),"6434010002")</f>
        <v>6434010002</v>
      </c>
      <c r="N393" s="30" t="str">
        <f ca="1">IFERROR(__xludf.DUMMYFUNCTION("""COMPUTED_VALUE"""),"LANUS ESTE")</f>
        <v>LANUS ESTE</v>
      </c>
      <c r="O393" s="30" t="str">
        <f ca="1">IFERROR(__xludf.DUMMYFUNCTION("""COMPUTED_VALUE"""),"6434")</f>
        <v>6434</v>
      </c>
      <c r="P393" s="30" t="str">
        <f ca="1">IFERROR(__xludf.DUMMYFUNCTION("""COMPUTED_VALUE"""),"LANÚS")</f>
        <v>LANÚS</v>
      </c>
      <c r="Q393" s="30" t="str">
        <f ca="1">IFERROR(__xludf.DUMMYFUNCTION("""COMPUTED_VALUE"""),"-34.73154")</f>
        <v>-34.73154</v>
      </c>
      <c r="R393" s="30" t="str">
        <f ca="1">IFERROR(__xludf.DUMMYFUNCTION("""COMPUTED_VALUE"""),"-58.3596825")</f>
        <v>-58.3596825</v>
      </c>
      <c r="S393" s="30" t="str">
        <f ca="1">IFERROR(__xludf.DUMMYFUNCTION("""COMPUTED_VALUE"""),"Municipal")</f>
        <v>Municipal</v>
      </c>
      <c r="T393" s="30" t="str">
        <f ca="1">IFERROR(__xludf.DUMMYFUNCTION("""COMPUTED_VALUE"""),"LANÚS")</f>
        <v>LANÚS</v>
      </c>
    </row>
    <row r="394" spans="1:20" ht="15.75" customHeight="1" x14ac:dyDescent="0.25">
      <c r="A394" s="30" t="str">
        <f ca="1">IFERROR(__xludf.DUMMYFUNCTION("""COMPUTED_VALUE"""),"50064412201177")</f>
        <v>50064412201177</v>
      </c>
      <c r="B394" s="30" t="str">
        <f ca="1">IFERROR(__xludf.DUMMYFUNCTION("""COMPUTED_VALUE"""),"CENTRO DE INTEGRACION COMUNITARIA")</f>
        <v>CENTRO DE INTEGRACION COMUNITARIA</v>
      </c>
      <c r="C394" s="30" t="str">
        <f ca="1">IFERROR(__xludf.DUMMYFUNCTION("""COMPUTED_VALUE"""),"Buenos Aires")</f>
        <v>Buenos Aires</v>
      </c>
      <c r="D394" s="30" t="str">
        <f ca="1">IFERROR(__xludf.DUMMYFUNCTION("""COMPUTED_VALUE"""),"6")</f>
        <v>6</v>
      </c>
      <c r="E394" s="30" t="str">
        <f ca="1">IFERROR(__xludf.DUMMYFUNCTION("""COMPUTED_VALUE"""),"")</f>
        <v/>
      </c>
      <c r="F394" s="29"/>
      <c r="G394" s="29"/>
      <c r="H394" s="30" t="str">
        <f ca="1">IFERROR(__xludf.DUMMYFUNCTION("""COMPUTED_VALUE"""),"activo")</f>
        <v>activo</v>
      </c>
      <c r="I394" s="29"/>
      <c r="J394" s="29"/>
      <c r="K394" s="29"/>
      <c r="L394" s="30" t="str">
        <f ca="1">IFERROR(__xludf.DUMMYFUNCTION("""COMPUTED_VALUE"""),"No")</f>
        <v>No</v>
      </c>
      <c r="M394" s="30" t="str">
        <f ca="1">IFERROR(__xludf.DUMMYFUNCTION("""COMPUTED_VALUE"""),"6441030015")</f>
        <v>6441030015</v>
      </c>
      <c r="N394" s="30" t="str">
        <f ca="1">IFERROR(__xludf.DUMMYFUNCTION("""COMPUTED_VALUE"""),"LA PLATA")</f>
        <v>LA PLATA</v>
      </c>
      <c r="O394" s="30" t="str">
        <f ca="1">IFERROR(__xludf.DUMMYFUNCTION("""COMPUTED_VALUE"""),"6441")</f>
        <v>6441</v>
      </c>
      <c r="P394" s="30" t="str">
        <f ca="1">IFERROR(__xludf.DUMMYFUNCTION("""COMPUTED_VALUE"""),"LA PLATA")</f>
        <v>LA PLATA</v>
      </c>
      <c r="Q394" s="30" t="str">
        <f ca="1">IFERROR(__xludf.DUMMYFUNCTION("""COMPUTED_VALUE"""),"-34.96096555")</f>
        <v>-34.96096555</v>
      </c>
      <c r="R394" s="30" t="str">
        <f ca="1">IFERROR(__xludf.DUMMYFUNCTION("""COMPUTED_VALUE"""),"-58.00594139")</f>
        <v>-58.00594139</v>
      </c>
      <c r="S394" s="30" t="str">
        <f ca="1">IFERROR(__xludf.DUMMYFUNCTION("""COMPUTED_VALUE"""),"Municipal")</f>
        <v>Municipal</v>
      </c>
      <c r="T394" s="30" t="str">
        <f ca="1">IFERROR(__xludf.DUMMYFUNCTION("""COMPUTED_VALUE"""),"LA PLATA")</f>
        <v>LA PLATA</v>
      </c>
    </row>
    <row r="395" spans="1:20" ht="15.75" customHeight="1" x14ac:dyDescent="0.25">
      <c r="A395" s="30" t="str">
        <f ca="1">IFERROR(__xludf.DUMMYFUNCTION("""COMPUTED_VALUE"""),"50064412201280")</f>
        <v>50064412201280</v>
      </c>
      <c r="B395" s="30" t="str">
        <f ca="1">IFERROR(__xludf.DUMMYFUNCTION("""COMPUTED_VALUE"""),"CENTRO DE SALUD N° 13 DE LA PLATA")</f>
        <v>CENTRO DE SALUD N° 13 DE LA PLATA</v>
      </c>
      <c r="C395" s="30" t="str">
        <f ca="1">IFERROR(__xludf.DUMMYFUNCTION("""COMPUTED_VALUE"""),"Buenos Aires")</f>
        <v>Buenos Aires</v>
      </c>
      <c r="D395" s="30" t="str">
        <f ca="1">IFERROR(__xludf.DUMMYFUNCTION("""COMPUTED_VALUE"""),"6")</f>
        <v>6</v>
      </c>
      <c r="E395" s="30" t="str">
        <f ca="1">IFERROR(__xludf.DUMMYFUNCTION("""COMPUTED_VALUE"""),"")</f>
        <v/>
      </c>
      <c r="F395" s="29"/>
      <c r="G395" s="29"/>
      <c r="H395" s="30" t="str">
        <f ca="1">IFERROR(__xludf.DUMMYFUNCTION("""COMPUTED_VALUE"""),"inactivo")</f>
        <v>inactivo</v>
      </c>
      <c r="I395" s="30" t="str">
        <f ca="1">IFERROR(__xludf.DUMMYFUNCTION("""COMPUTED_VALUE"""),"- fuera circular 2")</f>
        <v>- fuera circular 2</v>
      </c>
      <c r="J395" s="29"/>
      <c r="K395" s="29"/>
      <c r="L395" s="30" t="str">
        <f ca="1">IFERROR(__xludf.DUMMYFUNCTION("""COMPUTED_VALUE"""),"No")</f>
        <v>No</v>
      </c>
      <c r="M395" s="30" t="str">
        <f ca="1">IFERROR(__xludf.DUMMYFUNCTION("""COMPUTED_VALUE"""),"6441030015")</f>
        <v>6441030015</v>
      </c>
      <c r="N395" s="30" t="str">
        <f ca="1">IFERROR(__xludf.DUMMYFUNCTION("""COMPUTED_VALUE"""),"LA PLATA")</f>
        <v>LA PLATA</v>
      </c>
      <c r="O395" s="30" t="str">
        <f ca="1">IFERROR(__xludf.DUMMYFUNCTION("""COMPUTED_VALUE"""),"6441")</f>
        <v>6441</v>
      </c>
      <c r="P395" s="30" t="str">
        <f ca="1">IFERROR(__xludf.DUMMYFUNCTION("""COMPUTED_VALUE"""),"LA PLATA")</f>
        <v>LA PLATA</v>
      </c>
      <c r="Q395" s="30" t="str">
        <f ca="1">IFERROR(__xludf.DUMMYFUNCTION("""COMPUTED_VALUE"""),"-34.91149324")</f>
        <v>-34.91149324</v>
      </c>
      <c r="R395" s="30" t="str">
        <f ca="1">IFERROR(__xludf.DUMMYFUNCTION("""COMPUTED_VALUE"""),"-57.96234941")</f>
        <v>-57.96234941</v>
      </c>
      <c r="S395" s="30" t="str">
        <f ca="1">IFERROR(__xludf.DUMMYFUNCTION("""COMPUTED_VALUE"""),"Municipal")</f>
        <v>Municipal</v>
      </c>
      <c r="T395" s="30" t="str">
        <f ca="1">IFERROR(__xludf.DUMMYFUNCTION("""COMPUTED_VALUE"""),"LA PLATA")</f>
        <v>LA PLATA</v>
      </c>
    </row>
    <row r="396" spans="1:20" ht="15.75" customHeight="1" x14ac:dyDescent="0.25">
      <c r="A396" s="30" t="str">
        <f ca="1">IFERROR(__xludf.DUMMYFUNCTION("""COMPUTED_VALUE"""),"50064412201281")</f>
        <v>50064412201281</v>
      </c>
      <c r="B396" s="30" t="str">
        <f ca="1">IFERROR(__xludf.DUMMYFUNCTION("""COMPUTED_VALUE"""),"CENTRO DE SALUD N° 14 DE LA PLATA")</f>
        <v>CENTRO DE SALUD N° 14 DE LA PLATA</v>
      </c>
      <c r="C396" s="30" t="str">
        <f ca="1">IFERROR(__xludf.DUMMYFUNCTION("""COMPUTED_VALUE"""),"Buenos Aires")</f>
        <v>Buenos Aires</v>
      </c>
      <c r="D396" s="30" t="str">
        <f ca="1">IFERROR(__xludf.DUMMYFUNCTION("""COMPUTED_VALUE"""),"6")</f>
        <v>6</v>
      </c>
      <c r="E396" s="30" t="str">
        <f ca="1">IFERROR(__xludf.DUMMYFUNCTION("""COMPUTED_VALUE"""),"")</f>
        <v/>
      </c>
      <c r="F396" s="29"/>
      <c r="G396" s="29"/>
      <c r="H396" s="30" t="str">
        <f ca="1">IFERROR(__xludf.DUMMYFUNCTION("""COMPUTED_VALUE"""),"activo")</f>
        <v>activo</v>
      </c>
      <c r="I396" s="29"/>
      <c r="J396" s="29"/>
      <c r="K396" s="29"/>
      <c r="L396" s="30" t="str">
        <f ca="1">IFERROR(__xludf.DUMMYFUNCTION("""COMPUTED_VALUE"""),"No")</f>
        <v>No</v>
      </c>
      <c r="M396" s="30" t="str">
        <f ca="1">IFERROR(__xludf.DUMMYFUNCTION("""COMPUTED_VALUE"""),"6441030015")</f>
        <v>6441030015</v>
      </c>
      <c r="N396" s="30" t="str">
        <f ca="1">IFERROR(__xludf.DUMMYFUNCTION("""COMPUTED_VALUE"""),"LA PLATA")</f>
        <v>LA PLATA</v>
      </c>
      <c r="O396" s="30" t="str">
        <f ca="1">IFERROR(__xludf.DUMMYFUNCTION("""COMPUTED_VALUE"""),"6441")</f>
        <v>6441</v>
      </c>
      <c r="P396" s="30" t="str">
        <f ca="1">IFERROR(__xludf.DUMMYFUNCTION("""COMPUTED_VALUE"""),"LA PLATA")</f>
        <v>LA PLATA</v>
      </c>
      <c r="Q396" s="30" t="str">
        <f ca="1">IFERROR(__xludf.DUMMYFUNCTION("""COMPUTED_VALUE"""),"-34.90688293")</f>
        <v>-34.90688293</v>
      </c>
      <c r="R396" s="30" t="str">
        <f ca="1">IFERROR(__xludf.DUMMYFUNCTION("""COMPUTED_VALUE"""),"-57.9810605")</f>
        <v>-57.9810605</v>
      </c>
      <c r="S396" s="30" t="str">
        <f ca="1">IFERROR(__xludf.DUMMYFUNCTION("""COMPUTED_VALUE"""),"Municipal")</f>
        <v>Municipal</v>
      </c>
      <c r="T396" s="30" t="str">
        <f ca="1">IFERROR(__xludf.DUMMYFUNCTION("""COMPUTED_VALUE"""),"LA PLATA")</f>
        <v>LA PLATA</v>
      </c>
    </row>
    <row r="397" spans="1:20" ht="15.75" customHeight="1" x14ac:dyDescent="0.25">
      <c r="A397" s="30" t="str">
        <f ca="1">IFERROR(__xludf.DUMMYFUNCTION("""COMPUTED_VALUE"""),"50064412201282")</f>
        <v>50064412201282</v>
      </c>
      <c r="B397" s="30" t="str">
        <f ca="1">IFERROR(__xludf.DUMMYFUNCTION("""COMPUTED_VALUE"""),"CENTRO DE SALUD N° 15 DE LA PLATA")</f>
        <v>CENTRO DE SALUD N° 15 DE LA PLATA</v>
      </c>
      <c r="C397" s="30" t="str">
        <f ca="1">IFERROR(__xludf.DUMMYFUNCTION("""COMPUTED_VALUE"""),"Buenos Aires")</f>
        <v>Buenos Aires</v>
      </c>
      <c r="D397" s="30" t="str">
        <f ca="1">IFERROR(__xludf.DUMMYFUNCTION("""COMPUTED_VALUE"""),"6")</f>
        <v>6</v>
      </c>
      <c r="E397" s="30" t="str">
        <f ca="1">IFERROR(__xludf.DUMMYFUNCTION("""COMPUTED_VALUE"""),"")</f>
        <v/>
      </c>
      <c r="F397" s="29"/>
      <c r="G397" s="29"/>
      <c r="H397" s="30" t="str">
        <f ca="1">IFERROR(__xludf.DUMMYFUNCTION("""COMPUTED_VALUE"""),"activo")</f>
        <v>activo</v>
      </c>
      <c r="I397" s="29"/>
      <c r="J397" s="29"/>
      <c r="K397" s="29"/>
      <c r="L397" s="30" t="str">
        <f ca="1">IFERROR(__xludf.DUMMYFUNCTION("""COMPUTED_VALUE"""),"No")</f>
        <v>No</v>
      </c>
      <c r="M397" s="30" t="str">
        <f ca="1">IFERROR(__xludf.DUMMYFUNCTION("""COMPUTED_VALUE"""),"6441030015")</f>
        <v>6441030015</v>
      </c>
      <c r="N397" s="30" t="str">
        <f ca="1">IFERROR(__xludf.DUMMYFUNCTION("""COMPUTED_VALUE"""),"LA PLATA")</f>
        <v>LA PLATA</v>
      </c>
      <c r="O397" s="30" t="str">
        <f ca="1">IFERROR(__xludf.DUMMYFUNCTION("""COMPUTED_VALUE"""),"6441")</f>
        <v>6441</v>
      </c>
      <c r="P397" s="30" t="str">
        <f ca="1">IFERROR(__xludf.DUMMYFUNCTION("""COMPUTED_VALUE"""),"LA PLATA")</f>
        <v>LA PLATA</v>
      </c>
      <c r="Q397" s="30" t="str">
        <f ca="1">IFERROR(__xludf.DUMMYFUNCTION("""COMPUTED_VALUE"""),"-34.88124674")</f>
        <v>-34.88124674</v>
      </c>
      <c r="R397" s="30" t="str">
        <f ca="1">IFERROR(__xludf.DUMMYFUNCTION("""COMPUTED_VALUE"""),"-57.97242093")</f>
        <v>-57.97242093</v>
      </c>
      <c r="S397" s="30" t="str">
        <f ca="1">IFERROR(__xludf.DUMMYFUNCTION("""COMPUTED_VALUE"""),"Municipal")</f>
        <v>Municipal</v>
      </c>
      <c r="T397" s="30" t="str">
        <f ca="1">IFERROR(__xludf.DUMMYFUNCTION("""COMPUTED_VALUE"""),"LA PLATA")</f>
        <v>LA PLATA</v>
      </c>
    </row>
    <row r="398" spans="1:20" ht="15.75" customHeight="1" x14ac:dyDescent="0.25">
      <c r="A398" s="30" t="str">
        <f ca="1">IFERROR(__xludf.DUMMYFUNCTION("""COMPUTED_VALUE"""),"50064412201288")</f>
        <v>50064412201288</v>
      </c>
      <c r="B398" s="30" t="str">
        <f ca="1">IFERROR(__xludf.DUMMYFUNCTION("""COMPUTED_VALUE"""),"CENTRO DE SALUD N° 2 DE LA PLATA")</f>
        <v>CENTRO DE SALUD N° 2 DE LA PLATA</v>
      </c>
      <c r="C398" s="30" t="str">
        <f ca="1">IFERROR(__xludf.DUMMYFUNCTION("""COMPUTED_VALUE"""),"Buenos Aires")</f>
        <v>Buenos Aires</v>
      </c>
      <c r="D398" s="30" t="str">
        <f ca="1">IFERROR(__xludf.DUMMYFUNCTION("""COMPUTED_VALUE"""),"6")</f>
        <v>6</v>
      </c>
      <c r="E398" s="30" t="str">
        <f ca="1">IFERROR(__xludf.DUMMYFUNCTION("""COMPUTED_VALUE"""),"")</f>
        <v/>
      </c>
      <c r="F398" s="29"/>
      <c r="G398" s="29"/>
      <c r="H398" s="30" t="str">
        <f ca="1">IFERROR(__xludf.DUMMYFUNCTION("""COMPUTED_VALUE"""),"activo")</f>
        <v>activo</v>
      </c>
      <c r="I398" s="29"/>
      <c r="J398" s="29"/>
      <c r="K398" s="29"/>
      <c r="L398" s="30" t="str">
        <f ca="1">IFERROR(__xludf.DUMMYFUNCTION("""COMPUTED_VALUE"""),"No")</f>
        <v>No</v>
      </c>
      <c r="M398" s="30" t="str">
        <f ca="1">IFERROR(__xludf.DUMMYFUNCTION("""COMPUTED_VALUE"""),"6441030015")</f>
        <v>6441030015</v>
      </c>
      <c r="N398" s="30" t="str">
        <f ca="1">IFERROR(__xludf.DUMMYFUNCTION("""COMPUTED_VALUE"""),"LA PLATA")</f>
        <v>LA PLATA</v>
      </c>
      <c r="O398" s="30" t="str">
        <f ca="1">IFERROR(__xludf.DUMMYFUNCTION("""COMPUTED_VALUE"""),"6441")</f>
        <v>6441</v>
      </c>
      <c r="P398" s="30" t="str">
        <f ca="1">IFERROR(__xludf.DUMMYFUNCTION("""COMPUTED_VALUE"""),"LA PLATA")</f>
        <v>LA PLATA</v>
      </c>
      <c r="Q398" s="30" t="str">
        <f ca="1">IFERROR(__xludf.DUMMYFUNCTION("""COMPUTED_VALUE"""),"-34.96002765")</f>
        <v>-34.96002765</v>
      </c>
      <c r="R398" s="30" t="str">
        <f ca="1">IFERROR(__xludf.DUMMYFUNCTION("""COMPUTED_VALUE"""),"-57.97213411")</f>
        <v>-57.97213411</v>
      </c>
      <c r="S398" s="30" t="str">
        <f ca="1">IFERROR(__xludf.DUMMYFUNCTION("""COMPUTED_VALUE"""),"Municipal")</f>
        <v>Municipal</v>
      </c>
      <c r="T398" s="30" t="str">
        <f ca="1">IFERROR(__xludf.DUMMYFUNCTION("""COMPUTED_VALUE"""),"LA PLATA")</f>
        <v>LA PLATA</v>
      </c>
    </row>
    <row r="399" spans="1:20" ht="15.75" customHeight="1" x14ac:dyDescent="0.25">
      <c r="A399" s="30" t="str">
        <f ca="1">IFERROR(__xludf.DUMMYFUNCTION("""COMPUTED_VALUE"""),"50064412201300")</f>
        <v>50064412201300</v>
      </c>
      <c r="B399" s="30" t="str">
        <f ca="1">IFERROR(__xludf.DUMMYFUNCTION("""COMPUTED_VALUE"""),"CENTRO DE SALUD N° 25 DE LA PLATA")</f>
        <v>CENTRO DE SALUD N° 25 DE LA PLATA</v>
      </c>
      <c r="C399" s="30" t="str">
        <f ca="1">IFERROR(__xludf.DUMMYFUNCTION("""COMPUTED_VALUE"""),"Buenos Aires")</f>
        <v>Buenos Aires</v>
      </c>
      <c r="D399" s="30" t="str">
        <f ca="1">IFERROR(__xludf.DUMMYFUNCTION("""COMPUTED_VALUE"""),"6")</f>
        <v>6</v>
      </c>
      <c r="E399" s="30" t="str">
        <f ca="1">IFERROR(__xludf.DUMMYFUNCTION("""COMPUTED_VALUE"""),"")</f>
        <v/>
      </c>
      <c r="F399" s="29"/>
      <c r="G399" s="29"/>
      <c r="H399" s="30" t="str">
        <f ca="1">IFERROR(__xludf.DUMMYFUNCTION("""COMPUTED_VALUE"""),"activo")</f>
        <v>activo</v>
      </c>
      <c r="I399" s="29"/>
      <c r="J399" s="29"/>
      <c r="K399" s="29"/>
      <c r="L399" s="30" t="str">
        <f ca="1">IFERROR(__xludf.DUMMYFUNCTION("""COMPUTED_VALUE"""),"No")</f>
        <v>No</v>
      </c>
      <c r="M399" s="30" t="str">
        <f ca="1">IFERROR(__xludf.DUMMYFUNCTION("""COMPUTED_VALUE"""),"6441030015")</f>
        <v>6441030015</v>
      </c>
      <c r="N399" s="30" t="str">
        <f ca="1">IFERROR(__xludf.DUMMYFUNCTION("""COMPUTED_VALUE"""),"LA PLATA")</f>
        <v>LA PLATA</v>
      </c>
      <c r="O399" s="30" t="str">
        <f ca="1">IFERROR(__xludf.DUMMYFUNCTION("""COMPUTED_VALUE"""),"6441")</f>
        <v>6441</v>
      </c>
      <c r="P399" s="30" t="str">
        <f ca="1">IFERROR(__xludf.DUMMYFUNCTION("""COMPUTED_VALUE"""),"LA PLATA")</f>
        <v>LA PLATA</v>
      </c>
      <c r="Q399" s="30" t="str">
        <f ca="1">IFERROR(__xludf.DUMMYFUNCTION("""COMPUTED_VALUE"""),"-34.88967119")</f>
        <v>-34.88967119</v>
      </c>
      <c r="R399" s="30" t="str">
        <f ca="1">IFERROR(__xludf.DUMMYFUNCTION("""COMPUTED_VALUE"""),"-57.99397802")</f>
        <v>-57.99397802</v>
      </c>
      <c r="S399" s="30" t="str">
        <f ca="1">IFERROR(__xludf.DUMMYFUNCTION("""COMPUTED_VALUE"""),"Municipal")</f>
        <v>Municipal</v>
      </c>
      <c r="T399" s="30" t="str">
        <f ca="1">IFERROR(__xludf.DUMMYFUNCTION("""COMPUTED_VALUE"""),"LA PLATA")</f>
        <v>LA PLATA</v>
      </c>
    </row>
    <row r="400" spans="1:20" ht="15.75" customHeight="1" x14ac:dyDescent="0.25">
      <c r="A400" s="30" t="str">
        <f ca="1">IFERROR(__xludf.DUMMYFUNCTION("""COMPUTED_VALUE"""),"50064412201321")</f>
        <v>50064412201321</v>
      </c>
      <c r="B400" s="30" t="str">
        <f ca="1">IFERROR(__xludf.DUMMYFUNCTION("""COMPUTED_VALUE"""),"CENTRO DE SALUD N° 4 DE LA PLATA")</f>
        <v>CENTRO DE SALUD N° 4 DE LA PLATA</v>
      </c>
      <c r="C400" s="30" t="str">
        <f ca="1">IFERROR(__xludf.DUMMYFUNCTION("""COMPUTED_VALUE"""),"Buenos Aires")</f>
        <v>Buenos Aires</v>
      </c>
      <c r="D400" s="30" t="str">
        <f ca="1">IFERROR(__xludf.DUMMYFUNCTION("""COMPUTED_VALUE"""),"6")</f>
        <v>6</v>
      </c>
      <c r="E400" s="30" t="str">
        <f ca="1">IFERROR(__xludf.DUMMYFUNCTION("""COMPUTED_VALUE"""),"")</f>
        <v/>
      </c>
      <c r="F400" s="29"/>
      <c r="G400" s="29"/>
      <c r="H400" s="30" t="str">
        <f ca="1">IFERROR(__xludf.DUMMYFUNCTION("""COMPUTED_VALUE"""),"activo")</f>
        <v>activo</v>
      </c>
      <c r="I400" s="29"/>
      <c r="J400" s="29"/>
      <c r="K400" s="29"/>
      <c r="L400" s="30" t="str">
        <f ca="1">IFERROR(__xludf.DUMMYFUNCTION("""COMPUTED_VALUE"""),"No")</f>
        <v>No</v>
      </c>
      <c r="M400" s="30" t="str">
        <f ca="1">IFERROR(__xludf.DUMMYFUNCTION("""COMPUTED_VALUE"""),"6441030015")</f>
        <v>6441030015</v>
      </c>
      <c r="N400" s="30" t="str">
        <f ca="1">IFERROR(__xludf.DUMMYFUNCTION("""COMPUTED_VALUE"""),"LA PLATA")</f>
        <v>LA PLATA</v>
      </c>
      <c r="O400" s="30" t="str">
        <f ca="1">IFERROR(__xludf.DUMMYFUNCTION("""COMPUTED_VALUE"""),"6441")</f>
        <v>6441</v>
      </c>
      <c r="P400" s="30" t="str">
        <f ca="1">IFERROR(__xludf.DUMMYFUNCTION("""COMPUTED_VALUE"""),"LA PLATA")</f>
        <v>LA PLATA</v>
      </c>
      <c r="Q400" s="30" t="str">
        <f ca="1">IFERROR(__xludf.DUMMYFUNCTION("""COMPUTED_VALUE"""),"-34.86932718")</f>
        <v>-34.86932718</v>
      </c>
      <c r="R400" s="30" t="str">
        <f ca="1">IFERROR(__xludf.DUMMYFUNCTION("""COMPUTED_VALUE"""),"-58.09754062")</f>
        <v>-58.09754062</v>
      </c>
      <c r="S400" s="30" t="str">
        <f ca="1">IFERROR(__xludf.DUMMYFUNCTION("""COMPUTED_VALUE"""),"Municipal")</f>
        <v>Municipal</v>
      </c>
      <c r="T400" s="30" t="str">
        <f ca="1">IFERROR(__xludf.DUMMYFUNCTION("""COMPUTED_VALUE"""),"LA PLATA")</f>
        <v>LA PLATA</v>
      </c>
    </row>
    <row r="401" spans="1:20" ht="15.75" customHeight="1" x14ac:dyDescent="0.25">
      <c r="A401" s="30" t="str">
        <f ca="1">IFERROR(__xludf.DUMMYFUNCTION("""COMPUTED_VALUE"""),"50064412201560")</f>
        <v>50064412201560</v>
      </c>
      <c r="B401" s="30" t="str">
        <f ca="1">IFERROR(__xludf.DUMMYFUNCTION("""COMPUTED_VALUE"""),"CONSULTORIO EXTERNO EVITA")</f>
        <v>CONSULTORIO EXTERNO EVITA</v>
      </c>
      <c r="C401" s="30" t="str">
        <f ca="1">IFERROR(__xludf.DUMMYFUNCTION("""COMPUTED_VALUE"""),"Buenos Aires")</f>
        <v>Buenos Aires</v>
      </c>
      <c r="D401" s="30" t="str">
        <f ca="1">IFERROR(__xludf.DUMMYFUNCTION("""COMPUTED_VALUE"""),"6")</f>
        <v>6</v>
      </c>
      <c r="E401" s="30" t="str">
        <f ca="1">IFERROR(__xludf.DUMMYFUNCTION("""COMPUTED_VALUE"""),"")</f>
        <v/>
      </c>
      <c r="F401" s="29"/>
      <c r="G401" s="29"/>
      <c r="H401" s="30" t="str">
        <f ca="1">IFERROR(__xludf.DUMMYFUNCTION("""COMPUTED_VALUE"""),"activo")</f>
        <v>activo</v>
      </c>
      <c r="I401" s="29"/>
      <c r="J401" s="29"/>
      <c r="K401" s="29"/>
      <c r="L401" s="30" t="str">
        <f ca="1">IFERROR(__xludf.DUMMYFUNCTION("""COMPUTED_VALUE"""),"No")</f>
        <v>No</v>
      </c>
      <c r="M401" s="30" t="str">
        <f ca="1">IFERROR(__xludf.DUMMYFUNCTION("""COMPUTED_VALUE"""),"6441030013")</f>
        <v>6441030013</v>
      </c>
      <c r="N401" s="30" t="str">
        <f ca="1">IFERROR(__xludf.DUMMYFUNCTION("""COMPUTED_VALUE"""),"JOSE MELCHOR ROMERO")</f>
        <v>JOSE MELCHOR ROMERO</v>
      </c>
      <c r="O401" s="30" t="str">
        <f ca="1">IFERROR(__xludf.DUMMYFUNCTION("""COMPUTED_VALUE"""),"6441")</f>
        <v>6441</v>
      </c>
      <c r="P401" s="30" t="str">
        <f ca="1">IFERROR(__xludf.DUMMYFUNCTION("""COMPUTED_VALUE"""),"LA PLATA")</f>
        <v>LA PLATA</v>
      </c>
      <c r="Q401" s="30" t="str">
        <f ca="1">IFERROR(__xludf.DUMMYFUNCTION("""COMPUTED_VALUE"""),"-34.93632518")</f>
        <v>-34.93632518</v>
      </c>
      <c r="R401" s="30" t="str">
        <f ca="1">IFERROR(__xludf.DUMMYFUNCTION("""COMPUTED_VALUE"""),"-58.04607725")</f>
        <v>-58.04607725</v>
      </c>
      <c r="S401" s="30" t="str">
        <f ca="1">IFERROR(__xludf.DUMMYFUNCTION("""COMPUTED_VALUE"""),"Municipal")</f>
        <v>Municipal</v>
      </c>
      <c r="T401" s="30" t="str">
        <f ca="1">IFERROR(__xludf.DUMMYFUNCTION("""COMPUTED_VALUE"""),"LA PLATA")</f>
        <v>LA PLATA</v>
      </c>
    </row>
    <row r="402" spans="1:20" ht="15.75" customHeight="1" x14ac:dyDescent="0.25">
      <c r="A402" s="30" t="str">
        <f ca="1">IFERROR(__xludf.DUMMYFUNCTION("""COMPUTED_VALUE"""),"50064412201636")</f>
        <v>50064412201636</v>
      </c>
      <c r="B402" s="30" t="str">
        <f ca="1">IFERROR(__xludf.DUMMYFUNCTION("""COMPUTED_VALUE"""),"HOSPITAL SUBZONAL ESPECIALIZADO ELINA DE LA SERNA DE MONTES DE OCA")</f>
        <v>HOSPITAL SUBZONAL ESPECIALIZADO ELINA DE LA SERNA DE MONTES DE OCA</v>
      </c>
      <c r="C402" s="30" t="str">
        <f ca="1">IFERROR(__xludf.DUMMYFUNCTION("""COMPUTED_VALUE"""),"Buenos Aires")</f>
        <v>Buenos Aires</v>
      </c>
      <c r="D402" s="30" t="str">
        <f ca="1">IFERROR(__xludf.DUMMYFUNCTION("""COMPUTED_VALUE"""),"6")</f>
        <v>6</v>
      </c>
      <c r="E402" s="30" t="str">
        <f ca="1">IFERROR(__xludf.DUMMYFUNCTION("""COMPUTED_VALUE"""),"")</f>
        <v/>
      </c>
      <c r="F402" s="29"/>
      <c r="G402" s="29"/>
      <c r="H402" s="30" t="str">
        <f ca="1">IFERROR(__xludf.DUMMYFUNCTION("""COMPUTED_VALUE"""),"inactivo")</f>
        <v>inactivo</v>
      </c>
      <c r="I402" s="30" t="str">
        <f ca="1">IFERROR(__xludf.DUMMYFUNCTION("""COMPUTED_VALUE"""),"- fuera circular 2")</f>
        <v>- fuera circular 2</v>
      </c>
      <c r="J402" s="29"/>
      <c r="K402" s="29"/>
      <c r="L402" s="30" t="str">
        <f ca="1">IFERROR(__xludf.DUMMYFUNCTION("""COMPUTED_VALUE"""),"No")</f>
        <v>No</v>
      </c>
      <c r="M402" s="30" t="str">
        <f ca="1">IFERROR(__xludf.DUMMYFUNCTION("""COMPUTED_VALUE"""),"6441030015")</f>
        <v>6441030015</v>
      </c>
      <c r="N402" s="30" t="str">
        <f ca="1">IFERROR(__xludf.DUMMYFUNCTION("""COMPUTED_VALUE"""),"LA PLATA")</f>
        <v>LA PLATA</v>
      </c>
      <c r="O402" s="30" t="str">
        <f ca="1">IFERROR(__xludf.DUMMYFUNCTION("""COMPUTED_VALUE"""),"6441")</f>
        <v>6441</v>
      </c>
      <c r="P402" s="30" t="str">
        <f ca="1">IFERROR(__xludf.DUMMYFUNCTION("""COMPUTED_VALUE"""),"LA PLATA")</f>
        <v>LA PLATA</v>
      </c>
      <c r="Q402" s="30" t="str">
        <f ca="1">IFERROR(__xludf.DUMMYFUNCTION("""COMPUTED_VALUE"""),"-34.9097197")</f>
        <v>-34.9097197</v>
      </c>
      <c r="R402" s="30" t="str">
        <f ca="1">IFERROR(__xludf.DUMMYFUNCTION("""COMPUTED_VALUE"""),"-57.9590206")</f>
        <v>-57.9590206</v>
      </c>
      <c r="S402" s="30" t="str">
        <f ca="1">IFERROR(__xludf.DUMMYFUNCTION("""COMPUTED_VALUE"""),"Provincial")</f>
        <v>Provincial</v>
      </c>
      <c r="T402" s="30" t="str">
        <f ca="1">IFERROR(__xludf.DUMMYFUNCTION("""COMPUTED_VALUE"""),"LA PLATA")</f>
        <v>LA PLATA</v>
      </c>
    </row>
    <row r="403" spans="1:20" ht="15.75" customHeight="1" x14ac:dyDescent="0.25">
      <c r="A403" s="30" t="str">
        <f ca="1">IFERROR(__xludf.DUMMYFUNCTION("""COMPUTED_VALUE"""),"50064412202474")</f>
        <v>50064412202474</v>
      </c>
      <c r="B403" s="30" t="str">
        <f ca="1">IFERROR(__xludf.DUMMYFUNCTION("""COMPUTED_VALUE"""),"UNIDAD SANITARIA N° 10 DE LA PLATA")</f>
        <v>UNIDAD SANITARIA N° 10 DE LA PLATA</v>
      </c>
      <c r="C403" s="30" t="str">
        <f ca="1">IFERROR(__xludf.DUMMYFUNCTION("""COMPUTED_VALUE"""),"Buenos Aires")</f>
        <v>Buenos Aires</v>
      </c>
      <c r="D403" s="30" t="str">
        <f ca="1">IFERROR(__xludf.DUMMYFUNCTION("""COMPUTED_VALUE"""),"6")</f>
        <v>6</v>
      </c>
      <c r="E403" s="30" t="str">
        <f ca="1">IFERROR(__xludf.DUMMYFUNCTION("""COMPUTED_VALUE"""),"")</f>
        <v/>
      </c>
      <c r="F403" s="29"/>
      <c r="G403" s="29"/>
      <c r="H403" s="30" t="str">
        <f ca="1">IFERROR(__xludf.DUMMYFUNCTION("""COMPUTED_VALUE"""),"activo")</f>
        <v>activo</v>
      </c>
      <c r="I403" s="29"/>
      <c r="J403" s="29"/>
      <c r="K403" s="29"/>
      <c r="L403" s="30" t="str">
        <f ca="1">IFERROR(__xludf.DUMMYFUNCTION("""COMPUTED_VALUE"""),"No")</f>
        <v>No</v>
      </c>
      <c r="M403" s="30" t="str">
        <f ca="1">IFERROR(__xludf.DUMMYFUNCTION("""COMPUTED_VALUE"""),"6441030001")</f>
        <v>6441030001</v>
      </c>
      <c r="N403" s="30" t="str">
        <f ca="1">IFERROR(__xludf.DUMMYFUNCTION("""COMPUTED_VALUE"""),"ABASTO")</f>
        <v>ABASTO</v>
      </c>
      <c r="O403" s="30" t="str">
        <f ca="1">IFERROR(__xludf.DUMMYFUNCTION("""COMPUTED_VALUE"""),"6441")</f>
        <v>6441</v>
      </c>
      <c r="P403" s="30" t="str">
        <f ca="1">IFERROR(__xludf.DUMMYFUNCTION("""COMPUTED_VALUE"""),"LA PLATA")</f>
        <v>LA PLATA</v>
      </c>
      <c r="Q403" s="30" t="str">
        <f ca="1">IFERROR(__xludf.DUMMYFUNCTION("""COMPUTED_VALUE"""),"-34.98265612")</f>
        <v>-34.98265612</v>
      </c>
      <c r="R403" s="30" t="str">
        <f ca="1">IFERROR(__xludf.DUMMYFUNCTION("""COMPUTED_VALUE"""),"-58.09088087")</f>
        <v>-58.09088087</v>
      </c>
      <c r="S403" s="30" t="str">
        <f ca="1">IFERROR(__xludf.DUMMYFUNCTION("""COMPUTED_VALUE"""),"Municipal")</f>
        <v>Municipal</v>
      </c>
      <c r="T403" s="30" t="str">
        <f ca="1">IFERROR(__xludf.DUMMYFUNCTION("""COMPUTED_VALUE"""),"LA PLATA")</f>
        <v>LA PLATA</v>
      </c>
    </row>
    <row r="404" spans="1:20" ht="15.75" customHeight="1" x14ac:dyDescent="0.25">
      <c r="A404" s="30" t="str">
        <f ca="1">IFERROR(__xludf.DUMMYFUNCTION("""COMPUTED_VALUE"""),"50064412202536")</f>
        <v>50064412202536</v>
      </c>
      <c r="B404" s="30" t="str">
        <f ca="1">IFERROR(__xludf.DUMMYFUNCTION("""COMPUTED_VALUE"""),"UNIDAD SANITARIA N° 18 DE LA PLATA")</f>
        <v>UNIDAD SANITARIA N° 18 DE LA PLATA</v>
      </c>
      <c r="C404" s="30" t="str">
        <f ca="1">IFERROR(__xludf.DUMMYFUNCTION("""COMPUTED_VALUE"""),"Buenos Aires")</f>
        <v>Buenos Aires</v>
      </c>
      <c r="D404" s="30" t="str">
        <f ca="1">IFERROR(__xludf.DUMMYFUNCTION("""COMPUTED_VALUE"""),"6")</f>
        <v>6</v>
      </c>
      <c r="E404" s="30" t="str">
        <f ca="1">IFERROR(__xludf.DUMMYFUNCTION("""COMPUTED_VALUE"""),"")</f>
        <v/>
      </c>
      <c r="F404" s="29"/>
      <c r="G404" s="29"/>
      <c r="H404" s="30" t="str">
        <f ca="1">IFERROR(__xludf.DUMMYFUNCTION("""COMPUTED_VALUE"""),"inactivo")</f>
        <v>inactivo</v>
      </c>
      <c r="I404" s="30" t="str">
        <f ca="1">IFERROR(__xludf.DUMMYFUNCTION("""COMPUTED_VALUE"""),"se dio de baja duante la Adenda al CAI 2020. Cambio su codigo REFEs a 50064412201285. Sigue siendo el mismo efector")</f>
        <v>se dio de baja duante la Adenda al CAI 2020. Cambio su codigo REFEs a 50064412201285. Sigue siendo el mismo efector</v>
      </c>
      <c r="J404" s="29"/>
      <c r="K404" s="29"/>
      <c r="L404" s="30" t="str">
        <f ca="1">IFERROR(__xludf.DUMMYFUNCTION("""COMPUTED_VALUE"""),"No")</f>
        <v>No</v>
      </c>
      <c r="M404" s="30" t="str">
        <f ca="1">IFERROR(__xludf.DUMMYFUNCTION("""COMPUTED_VALUE"""),"6441030016")</f>
        <v>6441030016</v>
      </c>
      <c r="N404" s="30" t="str">
        <f ca="1">IFERROR(__xludf.DUMMYFUNCTION("""COMPUTED_VALUE"""),"LISANDRO OLMOS")</f>
        <v>LISANDRO OLMOS</v>
      </c>
      <c r="O404" s="30" t="str">
        <f ca="1">IFERROR(__xludf.DUMMYFUNCTION("""COMPUTED_VALUE"""),"6441")</f>
        <v>6441</v>
      </c>
      <c r="P404" s="30" t="str">
        <f ca="1">IFERROR(__xludf.DUMMYFUNCTION("""COMPUTED_VALUE"""),"LA PLATA")</f>
        <v>LA PLATA</v>
      </c>
      <c r="Q404" s="30" t="str">
        <f ca="1">IFERROR(__xludf.DUMMYFUNCTION("""COMPUTED_VALUE"""),"-34.98744295")</f>
        <v>-34.98744295</v>
      </c>
      <c r="R404" s="30" t="str">
        <f ca="1">IFERROR(__xludf.DUMMYFUNCTION("""COMPUTED_VALUE"""),"-58.03728747")</f>
        <v>-58.03728747</v>
      </c>
      <c r="S404" s="30" t="str">
        <f ca="1">IFERROR(__xludf.DUMMYFUNCTION("""COMPUTED_VALUE"""),"Municipal")</f>
        <v>Municipal</v>
      </c>
      <c r="T404" s="30" t="str">
        <f ca="1">IFERROR(__xludf.DUMMYFUNCTION("""COMPUTED_VALUE"""),"LA PLATA")</f>
        <v>LA PLATA</v>
      </c>
    </row>
    <row r="405" spans="1:20" ht="15.75" customHeight="1" x14ac:dyDescent="0.25">
      <c r="A405" s="30" t="str">
        <f ca="1">IFERROR(__xludf.DUMMYFUNCTION("""COMPUTED_VALUE"""),"50064412202597")</f>
        <v>50064412202597</v>
      </c>
      <c r="B405" s="30" t="str">
        <f ca="1">IFERROR(__xludf.DUMMYFUNCTION("""COMPUTED_VALUE"""),"UNIDAD SANITARIA N° 31 DE COLONIA URQUIZA")</f>
        <v>UNIDAD SANITARIA N° 31 DE COLONIA URQUIZA</v>
      </c>
      <c r="C405" s="30" t="str">
        <f ca="1">IFERROR(__xludf.DUMMYFUNCTION("""COMPUTED_VALUE"""),"Buenos Aires")</f>
        <v>Buenos Aires</v>
      </c>
      <c r="D405" s="30" t="str">
        <f ca="1">IFERROR(__xludf.DUMMYFUNCTION("""COMPUTED_VALUE"""),"6")</f>
        <v>6</v>
      </c>
      <c r="E405" s="30" t="str">
        <f ca="1">IFERROR(__xludf.DUMMYFUNCTION("""COMPUTED_VALUE"""),"")</f>
        <v/>
      </c>
      <c r="F405" s="29"/>
      <c r="G405" s="29"/>
      <c r="H405" s="30" t="str">
        <f ca="1">IFERROR(__xludf.DUMMYFUNCTION("""COMPUTED_VALUE"""),"inactivo")</f>
        <v>inactivo</v>
      </c>
      <c r="I405" s="30" t="str">
        <f ca="1">IFERROR(__xludf.DUMMYFUNCTION("""COMPUTED_VALUE"""),"- fuera circular 2")</f>
        <v>- fuera circular 2</v>
      </c>
      <c r="J405" s="29"/>
      <c r="K405" s="29"/>
      <c r="L405" s="30" t="str">
        <f ca="1">IFERROR(__xludf.DUMMYFUNCTION("""COMPUTED_VALUE"""),"No")</f>
        <v>No</v>
      </c>
      <c r="M405" s="30" t="str">
        <f ca="1">IFERROR(__xludf.DUMMYFUNCTION("""COMPUTED_VALUE"""),"6441120")</f>
        <v>6441120</v>
      </c>
      <c r="N405" s="30" t="str">
        <f ca="1">IFERROR(__xludf.DUMMYFUNCTION("""COMPUTED_VALUE"""),"COLONIA URQUIZA")</f>
        <v>COLONIA URQUIZA</v>
      </c>
      <c r="O405" s="30" t="str">
        <f ca="1">IFERROR(__xludf.DUMMYFUNCTION("""COMPUTED_VALUE"""),"6441")</f>
        <v>6441</v>
      </c>
      <c r="P405" s="30" t="str">
        <f ca="1">IFERROR(__xludf.DUMMYFUNCTION("""COMPUTED_VALUE"""),"LA PLATA")</f>
        <v>LA PLATA</v>
      </c>
      <c r="Q405" s="30" t="str">
        <f ca="1">IFERROR(__xludf.DUMMYFUNCTION("""COMPUTED_VALUE"""),"-34.94386424")</f>
        <v>-34.94386424</v>
      </c>
      <c r="R405" s="30" t="str">
        <f ca="1">IFERROR(__xludf.DUMMYFUNCTION("""COMPUTED_VALUE"""),"-58.0911541")</f>
        <v>-58.0911541</v>
      </c>
      <c r="S405" s="30" t="str">
        <f ca="1">IFERROR(__xludf.DUMMYFUNCTION("""COMPUTED_VALUE"""),"Municipal")</f>
        <v>Municipal</v>
      </c>
      <c r="T405" s="30" t="str">
        <f ca="1">IFERROR(__xludf.DUMMYFUNCTION("""COMPUTED_VALUE"""),"LA PLATA")</f>
        <v>LA PLATA</v>
      </c>
    </row>
    <row r="406" spans="1:20" ht="15.75" customHeight="1" x14ac:dyDescent="0.25">
      <c r="A406" s="30" t="str">
        <f ca="1">IFERROR(__xludf.DUMMYFUNCTION("""COMPUTED_VALUE"""),"50064552202135")</f>
        <v>50064552202135</v>
      </c>
      <c r="B406" s="30" t="str">
        <f ca="1">IFERROR(__xludf.DUMMYFUNCTION("""COMPUTED_VALUE"""),"UNIDAD SANITARIA BARRIO SOLIDARIDAD")</f>
        <v>UNIDAD SANITARIA BARRIO SOLIDARIDAD</v>
      </c>
      <c r="C406" s="30" t="str">
        <f ca="1">IFERROR(__xludf.DUMMYFUNCTION("""COMPUTED_VALUE"""),"Buenos Aires")</f>
        <v>Buenos Aires</v>
      </c>
      <c r="D406" s="30" t="str">
        <f ca="1">IFERROR(__xludf.DUMMYFUNCTION("""COMPUTED_VALUE"""),"6")</f>
        <v>6</v>
      </c>
      <c r="E406" s="30" t="str">
        <f ca="1">IFERROR(__xludf.DUMMYFUNCTION("""COMPUTED_VALUE"""),"")</f>
        <v/>
      </c>
      <c r="F406" s="29"/>
      <c r="G406" s="30" t="str">
        <f ca="1">IFERROR(__xludf.DUMMYFUNCTION("""COMPUTED_VALUE"""),"50065682201355")</f>
        <v>50065682201355</v>
      </c>
      <c r="H406" s="30" t="str">
        <f ca="1">IFERROR(__xludf.DUMMYFUNCTION("""COMPUTED_VALUE"""),"inactivo")</f>
        <v>inactivo</v>
      </c>
      <c r="I406" s="29"/>
      <c r="J406" s="29"/>
      <c r="K406" s="29"/>
      <c r="L406" s="30" t="str">
        <f ca="1">IFERROR(__xludf.DUMMYFUNCTION("""COMPUTED_VALUE"""),"No")</f>
        <v>No</v>
      </c>
      <c r="M406" s="30" t="str">
        <f ca="1">IFERROR(__xludf.DUMMYFUNCTION("""COMPUTED_VALUE"""),"6455030000")</f>
        <v>6455030000</v>
      </c>
      <c r="N406" s="30" t="str">
        <f ca="1">IFERROR(__xludf.DUMMYFUNCTION("""COMPUTED_VALUE"""),"LAS FLORES")</f>
        <v>LAS FLORES</v>
      </c>
      <c r="O406" s="30" t="str">
        <f ca="1">IFERROR(__xludf.DUMMYFUNCTION("""COMPUTED_VALUE"""),"6455")</f>
        <v>6455</v>
      </c>
      <c r="P406" s="30" t="str">
        <f ca="1">IFERROR(__xludf.DUMMYFUNCTION("""COMPUTED_VALUE"""),"LAS FLORES")</f>
        <v>LAS FLORES</v>
      </c>
      <c r="Q406" s="30" t="str">
        <f ca="1">IFERROR(__xludf.DUMMYFUNCTION("""COMPUTED_VALUE"""),"-36.01329156")</f>
        <v>-36.01329156</v>
      </c>
      <c r="R406" s="30" t="str">
        <f ca="1">IFERROR(__xludf.DUMMYFUNCTION("""COMPUTED_VALUE"""),"-59.08492327")</f>
        <v>-59.08492327</v>
      </c>
      <c r="S406" s="30" t="str">
        <f ca="1">IFERROR(__xludf.DUMMYFUNCTION("""COMPUTED_VALUE"""),"Municipal")</f>
        <v>Municipal</v>
      </c>
      <c r="T406" s="30" t="str">
        <f ca="1">IFERROR(__xludf.DUMMYFUNCTION("""COMPUTED_VALUE"""),"LAS FLORES")</f>
        <v>LAS FLORES</v>
      </c>
    </row>
    <row r="407" spans="1:20" ht="15.75" customHeight="1" x14ac:dyDescent="0.25">
      <c r="A407" s="30" t="str">
        <f ca="1">IFERROR(__xludf.DUMMYFUNCTION("""COMPUTED_VALUE"""),"50065682201355")</f>
        <v>50065682201355</v>
      </c>
      <c r="B407" s="30" t="str">
        <f ca="1">IFERROR(__xludf.DUMMYFUNCTION("""COMPUTED_VALUE"""),"CENTRO DE SALUD SANTA LAURA")</f>
        <v>CENTRO DE SALUD SANTA LAURA</v>
      </c>
      <c r="C407" s="30" t="str">
        <f ca="1">IFERROR(__xludf.DUMMYFUNCTION("""COMPUTED_VALUE"""),"Buenos Aires")</f>
        <v>Buenos Aires</v>
      </c>
      <c r="D407" s="30" t="str">
        <f ca="1">IFERROR(__xludf.DUMMYFUNCTION("""COMPUTED_VALUE"""),"6")</f>
        <v>6</v>
      </c>
      <c r="E407" s="30" t="str">
        <f ca="1">IFERROR(__xludf.DUMMYFUNCTION("""COMPUTED_VALUE"""),"")</f>
        <v/>
      </c>
      <c r="F407" s="30" t="str">
        <f ca="1">IFERROR(__xludf.DUMMYFUNCTION("""COMPUTED_VALUE"""),"50064552202135")</f>
        <v>50064552202135</v>
      </c>
      <c r="G407" s="29"/>
      <c r="H407" s="30" t="str">
        <f ca="1">IFERROR(__xludf.DUMMYFUNCTION("""COMPUTED_VALUE"""),"activo")</f>
        <v>activo</v>
      </c>
      <c r="I407" s="29"/>
      <c r="J407" s="29"/>
      <c r="K407" s="29"/>
      <c r="L407" s="30" t="str">
        <f ca="1">IFERROR(__xludf.DUMMYFUNCTION("""COMPUTED_VALUE"""),"No")</f>
        <v>No</v>
      </c>
      <c r="M407" s="30" t="str">
        <f ca="1">IFERROR(__xludf.DUMMYFUNCTION("""COMPUTED_VALUE"""),"6568010004")</f>
        <v>6568010004</v>
      </c>
      <c r="N407" s="30" t="str">
        <f ca="1">IFERROR(__xludf.DUMMYFUNCTION("""COMPUTED_VALUE"""),"MORON")</f>
        <v>MORON</v>
      </c>
      <c r="O407" s="30" t="str">
        <f ca="1">IFERROR(__xludf.DUMMYFUNCTION("""COMPUTED_VALUE"""),"6568")</f>
        <v>6568</v>
      </c>
      <c r="P407" s="30" t="str">
        <f ca="1">IFERROR(__xludf.DUMMYFUNCTION("""COMPUTED_VALUE"""),"MORÓN")</f>
        <v>MORÓN</v>
      </c>
      <c r="Q407" s="30" t="str">
        <f ca="1">IFERROR(__xludf.DUMMYFUNCTION("""COMPUTED_VALUE"""),"-34.65785048")</f>
        <v>-34.65785048</v>
      </c>
      <c r="R407" s="30" t="str">
        <f ca="1">IFERROR(__xludf.DUMMYFUNCTION("""COMPUTED_VALUE"""),"-58.59797144")</f>
        <v>-58.59797144</v>
      </c>
      <c r="S407" s="30" t="str">
        <f ca="1">IFERROR(__xludf.DUMMYFUNCTION("""COMPUTED_VALUE"""),"Municipal")</f>
        <v>Municipal</v>
      </c>
      <c r="T407" s="30" t="str">
        <f ca="1">IFERROR(__xludf.DUMMYFUNCTION("""COMPUTED_VALUE"""),"MORÓN")</f>
        <v>MORÓN</v>
      </c>
    </row>
    <row r="408" spans="1:20" ht="15.75" customHeight="1" x14ac:dyDescent="0.25">
      <c r="A408" s="30" t="str">
        <f ca="1">IFERROR(__xludf.DUMMYFUNCTION("""COMPUTED_VALUE"""),"50064622202242")</f>
        <v>50064622202242</v>
      </c>
      <c r="B408" s="30" t="str">
        <f ca="1">IFERROR(__xludf.DUMMYFUNCTION("""COMPUTED_VALUE"""),"UNIDAD SANITARIA DR. PABLO R. GROUPIERRE Y ALBERDI")</f>
        <v>UNIDAD SANITARIA DR. PABLO R. GROUPIERRE Y ALBERDI</v>
      </c>
      <c r="C408" s="30" t="str">
        <f ca="1">IFERROR(__xludf.DUMMYFUNCTION("""COMPUTED_VALUE"""),"Buenos Aires")</f>
        <v>Buenos Aires</v>
      </c>
      <c r="D408" s="30" t="str">
        <f ca="1">IFERROR(__xludf.DUMMYFUNCTION("""COMPUTED_VALUE"""),"6")</f>
        <v>6</v>
      </c>
      <c r="E408" s="30" t="str">
        <f ca="1">IFERROR(__xludf.DUMMYFUNCTION("""COMPUTED_VALUE"""),"")</f>
        <v/>
      </c>
      <c r="F408" s="29"/>
      <c r="G408" s="30" t="str">
        <f ca="1">IFERROR(__xludf.DUMMYFUNCTION("""COMPUTED_VALUE"""),"50065682202051")</f>
        <v>50065682202051</v>
      </c>
      <c r="H408" s="30" t="str">
        <f ca="1">IFERROR(__xludf.DUMMYFUNCTION("""COMPUTED_VALUE"""),"inactivo")</f>
        <v>inactivo</v>
      </c>
      <c r="I408" s="29"/>
      <c r="J408" s="29"/>
      <c r="K408" s="29"/>
      <c r="L408" s="30" t="str">
        <f ca="1">IFERROR(__xludf.DUMMYFUNCTION("""COMPUTED_VALUE"""),"No")</f>
        <v>No</v>
      </c>
      <c r="M408" s="30" t="str">
        <f ca="1">IFERROR(__xludf.DUMMYFUNCTION("""COMPUTED_VALUE"""),"6462040000")</f>
        <v>6462040000</v>
      </c>
      <c r="N408" s="30" t="str">
        <f ca="1">IFERROR(__xludf.DUMMYFUNCTION("""COMPUTED_VALUE"""),"JUAN BAUTISTA ALBERDI")</f>
        <v>JUAN BAUTISTA ALBERDI</v>
      </c>
      <c r="O408" s="30" t="str">
        <f ca="1">IFERROR(__xludf.DUMMYFUNCTION("""COMPUTED_VALUE"""),"6462")</f>
        <v>6462</v>
      </c>
      <c r="P408" s="30" t="str">
        <f ca="1">IFERROR(__xludf.DUMMYFUNCTION("""COMPUTED_VALUE"""),"LEANDRO N. ALEM")</f>
        <v>LEANDRO N. ALEM</v>
      </c>
      <c r="Q408" s="30" t="str">
        <f ca="1">IFERROR(__xludf.DUMMYFUNCTION("""COMPUTED_VALUE"""),"-34.43743917")</f>
        <v>-34.43743917</v>
      </c>
      <c r="R408" s="30" t="str">
        <f ca="1">IFERROR(__xludf.DUMMYFUNCTION("""COMPUTED_VALUE"""),"-61.80070496")</f>
        <v>-61.80070496</v>
      </c>
      <c r="S408" s="30" t="str">
        <f ca="1">IFERROR(__xludf.DUMMYFUNCTION("""COMPUTED_VALUE"""),"Municipal")</f>
        <v>Municipal</v>
      </c>
      <c r="T408" s="30" t="str">
        <f ca="1">IFERROR(__xludf.DUMMYFUNCTION("""COMPUTED_VALUE"""),"LEANDRO N. ALEM")</f>
        <v>LEANDRO N. ALEM</v>
      </c>
    </row>
    <row r="409" spans="1:20" ht="15.75" customHeight="1" x14ac:dyDescent="0.25">
      <c r="A409" s="30" t="str">
        <f ca="1">IFERROR(__xludf.DUMMYFUNCTION("""COMPUTED_VALUE"""),"50065682202051")</f>
        <v>50065682202051</v>
      </c>
      <c r="B409" s="30" t="str">
        <f ca="1">IFERROR(__xludf.DUMMYFUNCTION("""COMPUTED_VALUE"""),"UNIDAD SANITARIA ALMAFUERTE")</f>
        <v>UNIDAD SANITARIA ALMAFUERTE</v>
      </c>
      <c r="C409" s="30" t="str">
        <f ca="1">IFERROR(__xludf.DUMMYFUNCTION("""COMPUTED_VALUE"""),"Buenos Aires")</f>
        <v>Buenos Aires</v>
      </c>
      <c r="D409" s="30" t="str">
        <f ca="1">IFERROR(__xludf.DUMMYFUNCTION("""COMPUTED_VALUE"""),"6")</f>
        <v>6</v>
      </c>
      <c r="E409" s="30" t="str">
        <f ca="1">IFERROR(__xludf.DUMMYFUNCTION("""COMPUTED_VALUE"""),"")</f>
        <v/>
      </c>
      <c r="F409" s="30" t="str">
        <f ca="1">IFERROR(__xludf.DUMMYFUNCTION("""COMPUTED_VALUE"""),"50064622202242")</f>
        <v>50064622202242</v>
      </c>
      <c r="G409" s="29"/>
      <c r="H409" s="30" t="str">
        <f ca="1">IFERROR(__xludf.DUMMYFUNCTION("""COMPUTED_VALUE"""),"activo")</f>
        <v>activo</v>
      </c>
      <c r="I409" s="29"/>
      <c r="J409" s="29"/>
      <c r="K409" s="29"/>
      <c r="L409" s="30" t="str">
        <f ca="1">IFERROR(__xludf.DUMMYFUNCTION("""COMPUTED_VALUE"""),"No")</f>
        <v>No</v>
      </c>
      <c r="M409" s="30" t="str">
        <f ca="1">IFERROR(__xludf.DUMMYFUNCTION("""COMPUTED_VALUE"""),"6568010004")</f>
        <v>6568010004</v>
      </c>
      <c r="N409" s="30" t="str">
        <f ca="1">IFERROR(__xludf.DUMMYFUNCTION("""COMPUTED_VALUE"""),"MORON")</f>
        <v>MORON</v>
      </c>
      <c r="O409" s="30" t="str">
        <f ca="1">IFERROR(__xludf.DUMMYFUNCTION("""COMPUTED_VALUE"""),"6568")</f>
        <v>6568</v>
      </c>
      <c r="P409" s="30" t="str">
        <f ca="1">IFERROR(__xludf.DUMMYFUNCTION("""COMPUTED_VALUE"""),"MORÓN")</f>
        <v>MORÓN</v>
      </c>
      <c r="Q409" s="30" t="str">
        <f ca="1">IFERROR(__xludf.DUMMYFUNCTION("""COMPUTED_VALUE"""),"-34.68043976")</f>
        <v>-34.68043976</v>
      </c>
      <c r="R409" s="30" t="str">
        <f ca="1">IFERROR(__xludf.DUMMYFUNCTION("""COMPUTED_VALUE"""),"-58.63972807")</f>
        <v>-58.63972807</v>
      </c>
      <c r="S409" s="30" t="str">
        <f ca="1">IFERROR(__xludf.DUMMYFUNCTION("""COMPUTED_VALUE"""),"Municipal")</f>
        <v>Municipal</v>
      </c>
      <c r="T409" s="30" t="str">
        <f ca="1">IFERROR(__xludf.DUMMYFUNCTION("""COMPUTED_VALUE"""),"MORÓN")</f>
        <v>MORÓN</v>
      </c>
    </row>
    <row r="410" spans="1:20" ht="15.75" customHeight="1" x14ac:dyDescent="0.25">
      <c r="A410" s="30" t="str">
        <f ca="1">IFERROR(__xludf.DUMMYFUNCTION("""COMPUTED_VALUE"""),"50064902201391")</f>
        <v>50064902201391</v>
      </c>
      <c r="B410" s="30" t="str">
        <f ca="1">IFERROR(__xludf.DUMMYFUNCTION("""COMPUTED_VALUE"""),"CENTRO DE SALUD 25 DE MAYO DE LOMAS DE ZAMORA")</f>
        <v>CENTRO DE SALUD 25 DE MAYO DE LOMAS DE ZAMORA</v>
      </c>
      <c r="C410" s="30" t="str">
        <f ca="1">IFERROR(__xludf.DUMMYFUNCTION("""COMPUTED_VALUE"""),"Buenos Aires")</f>
        <v>Buenos Aires</v>
      </c>
      <c r="D410" s="30" t="str">
        <f ca="1">IFERROR(__xludf.DUMMYFUNCTION("""COMPUTED_VALUE"""),"6")</f>
        <v>6</v>
      </c>
      <c r="E410" s="30" t="str">
        <f ca="1">IFERROR(__xludf.DUMMYFUNCTION("""COMPUTED_VALUE"""),"")</f>
        <v/>
      </c>
      <c r="F410" s="29"/>
      <c r="G410" s="29"/>
      <c r="H410" s="30" t="str">
        <f ca="1">IFERROR(__xludf.DUMMYFUNCTION("""COMPUTED_VALUE"""),"activo")</f>
        <v>activo</v>
      </c>
      <c r="I410" s="29"/>
      <c r="J410" s="29"/>
      <c r="K410" s="29"/>
      <c r="L410" s="30" t="str">
        <f ca="1">IFERROR(__xludf.DUMMYFUNCTION("""COMPUTED_VALUE"""),"No")</f>
        <v>No</v>
      </c>
      <c r="M410" s="30" t="str">
        <f ca="1">IFERROR(__xludf.DUMMYFUNCTION("""COMPUTED_VALUE"""),"6490010002")</f>
        <v>6490010002</v>
      </c>
      <c r="N410" s="30" t="str">
        <f ca="1">IFERROR(__xludf.DUMMYFUNCTION("""COMPUTED_VALUE"""),"LLAVALLOL")</f>
        <v>LLAVALLOL</v>
      </c>
      <c r="O410" s="30" t="str">
        <f ca="1">IFERROR(__xludf.DUMMYFUNCTION("""COMPUTED_VALUE"""),"6490")</f>
        <v>6490</v>
      </c>
      <c r="P410" s="30" t="str">
        <f ca="1">IFERROR(__xludf.DUMMYFUNCTION("""COMPUTED_VALUE"""),"LOMAS DE ZAMORA")</f>
        <v>LOMAS DE ZAMORA</v>
      </c>
      <c r="Q410" s="30" t="str">
        <f ca="1">IFERROR(__xludf.DUMMYFUNCTION("""COMPUTED_VALUE"""),"-34.80780363")</f>
        <v>-34.80780363</v>
      </c>
      <c r="R410" s="30" t="str">
        <f ca="1">IFERROR(__xludf.DUMMYFUNCTION("""COMPUTED_VALUE"""),"-58.43359494")</f>
        <v>-58.43359494</v>
      </c>
      <c r="S410" s="30" t="str">
        <f ca="1">IFERROR(__xludf.DUMMYFUNCTION("""COMPUTED_VALUE"""),"Municipal")</f>
        <v>Municipal</v>
      </c>
      <c r="T410" s="30" t="str">
        <f ca="1">IFERROR(__xludf.DUMMYFUNCTION("""COMPUTED_VALUE"""),"LOMAS DE ZAMORA")</f>
        <v>LOMAS DE ZAMORA</v>
      </c>
    </row>
    <row r="411" spans="1:20" ht="15.75" customHeight="1" x14ac:dyDescent="0.25">
      <c r="A411" s="30" t="str">
        <f ca="1">IFERROR(__xludf.DUMMYFUNCTION("""COMPUTED_VALUE"""),"50064902201990")</f>
        <v>50064902201990</v>
      </c>
      <c r="B411" s="30" t="str">
        <f ca="1">IFERROR(__xludf.DUMMYFUNCTION("""COMPUTED_VALUE"""),"TRAILER PEDIATRICO")</f>
        <v>TRAILER PEDIATRICO</v>
      </c>
      <c r="C411" s="30" t="str">
        <f ca="1">IFERROR(__xludf.DUMMYFUNCTION("""COMPUTED_VALUE"""),"Buenos Aires")</f>
        <v>Buenos Aires</v>
      </c>
      <c r="D411" s="30" t="str">
        <f ca="1">IFERROR(__xludf.DUMMYFUNCTION("""COMPUTED_VALUE"""),"6")</f>
        <v>6</v>
      </c>
      <c r="E411" s="30" t="str">
        <f ca="1">IFERROR(__xludf.DUMMYFUNCTION("""COMPUTED_VALUE"""),"")</f>
        <v/>
      </c>
      <c r="F411" s="29"/>
      <c r="G411" s="29"/>
      <c r="H411" s="30" t="str">
        <f ca="1">IFERROR(__xludf.DUMMYFUNCTION("""COMPUTED_VALUE"""),"activo")</f>
        <v>activo</v>
      </c>
      <c r="I411" s="30" t="str">
        <f ca="1">IFERROR(__xludf.DUMMYFUNCTION("""COMPUTED_VALUE"""),"2020")</f>
        <v>2020</v>
      </c>
      <c r="J411" s="29"/>
      <c r="K411" s="29"/>
      <c r="L411" s="30" t="str">
        <f ca="1">IFERROR(__xludf.DUMMYFUNCTION("""COMPUTED_VALUE"""),"No")</f>
        <v>No</v>
      </c>
      <c r="M411" s="30" t="str">
        <f ca="1">IFERROR(__xludf.DUMMYFUNCTION("""COMPUTED_VALUE"""),"6490010003")</f>
        <v>6490010003</v>
      </c>
      <c r="N411" s="30" t="str">
        <f ca="1">IFERROR(__xludf.DUMMYFUNCTION("""COMPUTED_VALUE"""),"LOMAS DE ZAMORA")</f>
        <v>LOMAS DE ZAMORA</v>
      </c>
      <c r="O411" s="30" t="str">
        <f ca="1">IFERROR(__xludf.DUMMYFUNCTION("""COMPUTED_VALUE"""),"6490")</f>
        <v>6490</v>
      </c>
      <c r="P411" s="30" t="str">
        <f ca="1">IFERROR(__xludf.DUMMYFUNCTION("""COMPUTED_VALUE"""),"LOMAS DE ZAMORA")</f>
        <v>LOMAS DE ZAMORA</v>
      </c>
      <c r="Q411" s="30" t="str">
        <f ca="1">IFERROR(__xludf.DUMMYFUNCTION("""COMPUTED_VALUE"""),"-34.7726129")</f>
        <v>-34.7726129</v>
      </c>
      <c r="R411" s="30" t="str">
        <f ca="1">IFERROR(__xludf.DUMMYFUNCTION("""COMPUTED_VALUE"""),"-58.4051183")</f>
        <v>-58.4051183</v>
      </c>
      <c r="S411" s="30" t="str">
        <f ca="1">IFERROR(__xludf.DUMMYFUNCTION("""COMPUTED_VALUE"""),"Municipal")</f>
        <v>Municipal</v>
      </c>
      <c r="T411" s="30" t="str">
        <f ca="1">IFERROR(__xludf.DUMMYFUNCTION("""COMPUTED_VALUE"""),"LOMAS DE ZAMORA")</f>
        <v>LOMAS DE ZAMORA</v>
      </c>
    </row>
    <row r="412" spans="1:20" ht="15.75" customHeight="1" x14ac:dyDescent="0.25">
      <c r="A412" s="30" t="str">
        <f ca="1">IFERROR(__xludf.DUMMYFUNCTION("""COMPUTED_VALUE"""),"50064902202050")</f>
        <v>50064902202050</v>
      </c>
      <c r="B412" s="30" t="str">
        <f ca="1">IFERROR(__xludf.DUMMYFUNCTION("""COMPUTED_VALUE"""),"UNIDAD SANITARIA ALICIA MOREAU DE JUSTO VILLA BENQUES")</f>
        <v>UNIDAD SANITARIA ALICIA MOREAU DE JUSTO VILLA BENQUES</v>
      </c>
      <c r="C412" s="30" t="str">
        <f ca="1">IFERROR(__xludf.DUMMYFUNCTION("""COMPUTED_VALUE"""),"Buenos Aires")</f>
        <v>Buenos Aires</v>
      </c>
      <c r="D412" s="30" t="str">
        <f ca="1">IFERROR(__xludf.DUMMYFUNCTION("""COMPUTED_VALUE"""),"6")</f>
        <v>6</v>
      </c>
      <c r="E412" s="30" t="str">
        <f ca="1">IFERROR(__xludf.DUMMYFUNCTION("""COMPUTED_VALUE"""),"")</f>
        <v/>
      </c>
      <c r="F412" s="29"/>
      <c r="G412" s="29"/>
      <c r="H412" s="30" t="str">
        <f ca="1">IFERROR(__xludf.DUMMYFUNCTION("""COMPUTED_VALUE"""),"activo")</f>
        <v>activo</v>
      </c>
      <c r="I412" s="29"/>
      <c r="J412" s="29"/>
      <c r="K412" s="29"/>
      <c r="L412" s="30" t="str">
        <f ca="1">IFERROR(__xludf.DUMMYFUNCTION("""COMPUTED_VALUE"""),"No")</f>
        <v>No</v>
      </c>
      <c r="M412" s="30" t="str">
        <f ca="1">IFERROR(__xludf.DUMMYFUNCTION("""COMPUTED_VALUE"""),"6490010001")</f>
        <v>6490010001</v>
      </c>
      <c r="N412" s="30" t="str">
        <f ca="1">IFERROR(__xludf.DUMMYFUNCTION("""COMPUTED_VALUE"""),"BANFIELD")</f>
        <v>BANFIELD</v>
      </c>
      <c r="O412" s="30" t="str">
        <f ca="1">IFERROR(__xludf.DUMMYFUNCTION("""COMPUTED_VALUE"""),"6490")</f>
        <v>6490</v>
      </c>
      <c r="P412" s="30" t="str">
        <f ca="1">IFERROR(__xludf.DUMMYFUNCTION("""COMPUTED_VALUE"""),"LOMAS DE ZAMORA")</f>
        <v>LOMAS DE ZAMORA</v>
      </c>
      <c r="Q412" s="30" t="str">
        <f ca="1">IFERROR(__xludf.DUMMYFUNCTION("""COMPUTED_VALUE"""),"-34.74512921")</f>
        <v>-34.74512921</v>
      </c>
      <c r="R412" s="30" t="str">
        <f ca="1">IFERROR(__xludf.DUMMYFUNCTION("""COMPUTED_VALUE"""),"-58.36581016")</f>
        <v>-58.36581016</v>
      </c>
      <c r="S412" s="30" t="str">
        <f ca="1">IFERROR(__xludf.DUMMYFUNCTION("""COMPUTED_VALUE"""),"Municipal")</f>
        <v>Municipal</v>
      </c>
      <c r="T412" s="30" t="str">
        <f ca="1">IFERROR(__xludf.DUMMYFUNCTION("""COMPUTED_VALUE"""),"LOMAS DE ZAMORA")</f>
        <v>LOMAS DE ZAMORA</v>
      </c>
    </row>
    <row r="413" spans="1:20" ht="15.75" customHeight="1" x14ac:dyDescent="0.25">
      <c r="A413" s="30" t="str">
        <f ca="1">IFERROR(__xludf.DUMMYFUNCTION("""COMPUTED_VALUE"""),"50064902202116")</f>
        <v>50064902202116</v>
      </c>
      <c r="B413" s="30" t="str">
        <f ca="1">IFERROR(__xludf.DUMMYFUNCTION("""COMPUTED_VALUE"""),"UNIDAD SANITARIA BARRIO OBRERO")</f>
        <v>UNIDAD SANITARIA BARRIO OBRERO</v>
      </c>
      <c r="C413" s="30" t="str">
        <f ca="1">IFERROR(__xludf.DUMMYFUNCTION("""COMPUTED_VALUE"""),"Buenos Aires")</f>
        <v>Buenos Aires</v>
      </c>
      <c r="D413" s="30" t="str">
        <f ca="1">IFERROR(__xludf.DUMMYFUNCTION("""COMPUTED_VALUE"""),"6")</f>
        <v>6</v>
      </c>
      <c r="E413" s="30" t="str">
        <f ca="1">IFERROR(__xludf.DUMMYFUNCTION("""COMPUTED_VALUE"""),"")</f>
        <v/>
      </c>
      <c r="F413" s="29"/>
      <c r="G413" s="29"/>
      <c r="H413" s="30" t="str">
        <f ca="1">IFERROR(__xludf.DUMMYFUNCTION("""COMPUTED_VALUE"""),"activo")</f>
        <v>activo</v>
      </c>
      <c r="I413" s="29"/>
      <c r="J413" s="29"/>
      <c r="K413" s="29"/>
      <c r="L413" s="30" t="str">
        <f ca="1">IFERROR(__xludf.DUMMYFUNCTION("""COMPUTED_VALUE"""),"No")</f>
        <v>No</v>
      </c>
      <c r="M413" s="30" t="str">
        <f ca="1">IFERROR(__xludf.DUMMYFUNCTION("""COMPUTED_VALUE"""),"6490010003")</f>
        <v>6490010003</v>
      </c>
      <c r="N413" s="30" t="str">
        <f ca="1">IFERROR(__xludf.DUMMYFUNCTION("""COMPUTED_VALUE"""),"LOMAS DE ZAMORA")</f>
        <v>LOMAS DE ZAMORA</v>
      </c>
      <c r="O413" s="30" t="str">
        <f ca="1">IFERROR(__xludf.DUMMYFUNCTION("""COMPUTED_VALUE"""),"6490")</f>
        <v>6490</v>
      </c>
      <c r="P413" s="30" t="str">
        <f ca="1">IFERROR(__xludf.DUMMYFUNCTION("""COMPUTED_VALUE"""),"LOMAS DE ZAMORA")</f>
        <v>LOMAS DE ZAMORA</v>
      </c>
      <c r="Q413" s="30" t="str">
        <f ca="1">IFERROR(__xludf.DUMMYFUNCTION("""COMPUTED_VALUE"""),"-34.74860346")</f>
        <v>-34.74860346</v>
      </c>
      <c r="R413" s="30" t="str">
        <f ca="1">IFERROR(__xludf.DUMMYFUNCTION("""COMPUTED_VALUE"""),"-58.46286535")</f>
        <v>-58.46286535</v>
      </c>
      <c r="S413" s="30" t="str">
        <f ca="1">IFERROR(__xludf.DUMMYFUNCTION("""COMPUTED_VALUE"""),"Municipal")</f>
        <v>Municipal</v>
      </c>
      <c r="T413" s="30" t="str">
        <f ca="1">IFERROR(__xludf.DUMMYFUNCTION("""COMPUTED_VALUE"""),"LOMAS DE ZAMORA")</f>
        <v>LOMAS DE ZAMORA</v>
      </c>
    </row>
    <row r="414" spans="1:20" ht="15.75" customHeight="1" x14ac:dyDescent="0.25">
      <c r="A414" s="30" t="str">
        <f ca="1">IFERROR(__xludf.DUMMYFUNCTION("""COMPUTED_VALUE"""),"50064902202129")</f>
        <v>50064902202129</v>
      </c>
      <c r="B414" s="30" t="str">
        <f ca="1">IFERROR(__xludf.DUMMYFUNCTION("""COMPUTED_VALUE"""),"UNIDAD SANITARIA BARRIO SAN JOSE DE LOMAS DE ZAMORA")</f>
        <v>UNIDAD SANITARIA BARRIO SAN JOSE DE LOMAS DE ZAMORA</v>
      </c>
      <c r="C414" s="30" t="str">
        <f ca="1">IFERROR(__xludf.DUMMYFUNCTION("""COMPUTED_VALUE"""),"Buenos Aires")</f>
        <v>Buenos Aires</v>
      </c>
      <c r="D414" s="30" t="str">
        <f ca="1">IFERROR(__xludf.DUMMYFUNCTION("""COMPUTED_VALUE"""),"6")</f>
        <v>6</v>
      </c>
      <c r="E414" s="30" t="str">
        <f ca="1">IFERROR(__xludf.DUMMYFUNCTION("""COMPUTED_VALUE"""),"")</f>
        <v/>
      </c>
      <c r="F414" s="29"/>
      <c r="G414" s="29"/>
      <c r="H414" s="30" t="str">
        <f ca="1">IFERROR(__xludf.DUMMYFUNCTION("""COMPUTED_VALUE"""),"activo")</f>
        <v>activo</v>
      </c>
      <c r="I414" s="29"/>
      <c r="J414" s="29"/>
      <c r="K414" s="29"/>
      <c r="L414" s="30" t="str">
        <f ca="1">IFERROR(__xludf.DUMMYFUNCTION("""COMPUTED_VALUE"""),"No")</f>
        <v>No</v>
      </c>
      <c r="M414" s="30" t="str">
        <f ca="1">IFERROR(__xludf.DUMMYFUNCTION("""COMPUTED_VALUE"""),"6490010004")</f>
        <v>6490010004</v>
      </c>
      <c r="N414" s="30" t="str">
        <f ca="1">IFERROR(__xludf.DUMMYFUNCTION("""COMPUTED_VALUE"""),"TEMPERLEY")</f>
        <v>TEMPERLEY</v>
      </c>
      <c r="O414" s="30" t="str">
        <f ca="1">IFERROR(__xludf.DUMMYFUNCTION("""COMPUTED_VALUE"""),"6490")</f>
        <v>6490</v>
      </c>
      <c r="P414" s="30" t="str">
        <f ca="1">IFERROR(__xludf.DUMMYFUNCTION("""COMPUTED_VALUE"""),"LOMAS DE ZAMORA")</f>
        <v>LOMAS DE ZAMORA</v>
      </c>
      <c r="Q414" s="30" t="str">
        <f ca="1">IFERROR(__xludf.DUMMYFUNCTION("""COMPUTED_VALUE"""),"-34.76247453")</f>
        <v>-34.76247453</v>
      </c>
      <c r="R414" s="30" t="str">
        <f ca="1">IFERROR(__xludf.DUMMYFUNCTION("""COMPUTED_VALUE"""),"-58.36211354")</f>
        <v>-58.36211354</v>
      </c>
      <c r="S414" s="30" t="str">
        <f ca="1">IFERROR(__xludf.DUMMYFUNCTION("""COMPUTED_VALUE"""),"Municipal")</f>
        <v>Municipal</v>
      </c>
      <c r="T414" s="30" t="str">
        <f ca="1">IFERROR(__xludf.DUMMYFUNCTION("""COMPUTED_VALUE"""),"LOMAS DE ZAMORA")</f>
        <v>LOMAS DE ZAMORA</v>
      </c>
    </row>
    <row r="415" spans="1:20" ht="15.75" customHeight="1" x14ac:dyDescent="0.25">
      <c r="A415" s="30" t="str">
        <f ca="1">IFERROR(__xludf.DUMMYFUNCTION("""COMPUTED_VALUE"""),"50064902202238")</f>
        <v>50064902202238</v>
      </c>
      <c r="B415" s="30" t="str">
        <f ca="1">IFERROR(__xludf.DUMMYFUNCTION("""COMPUTED_VALUE"""),"UNIDAD SANITARIA DR. M. J. OLIVERAS")</f>
        <v>UNIDAD SANITARIA DR. M. J. OLIVERAS</v>
      </c>
      <c r="C415" s="30" t="str">
        <f ca="1">IFERROR(__xludf.DUMMYFUNCTION("""COMPUTED_VALUE"""),"Buenos Aires")</f>
        <v>Buenos Aires</v>
      </c>
      <c r="D415" s="30" t="str">
        <f ca="1">IFERROR(__xludf.DUMMYFUNCTION("""COMPUTED_VALUE"""),"6")</f>
        <v>6</v>
      </c>
      <c r="E415" s="30" t="str">
        <f ca="1">IFERROR(__xludf.DUMMYFUNCTION("""COMPUTED_VALUE"""),"")</f>
        <v/>
      </c>
      <c r="F415" s="29"/>
      <c r="G415" s="29"/>
      <c r="H415" s="30" t="str">
        <f ca="1">IFERROR(__xludf.DUMMYFUNCTION("""COMPUTED_VALUE"""),"activo")</f>
        <v>activo</v>
      </c>
      <c r="I415" s="29"/>
      <c r="J415" s="29"/>
      <c r="K415" s="29"/>
      <c r="L415" s="30" t="str">
        <f ca="1">IFERROR(__xludf.DUMMYFUNCTION("""COMPUTED_VALUE"""),"No")</f>
        <v>No</v>
      </c>
      <c r="M415" s="30" t="str">
        <f ca="1">IFERROR(__xludf.DUMMYFUNCTION("""COMPUTED_VALUE"""),"6490010004")</f>
        <v>6490010004</v>
      </c>
      <c r="N415" s="30" t="str">
        <f ca="1">IFERROR(__xludf.DUMMYFUNCTION("""COMPUTED_VALUE"""),"TEMPERLEY")</f>
        <v>TEMPERLEY</v>
      </c>
      <c r="O415" s="30" t="str">
        <f ca="1">IFERROR(__xludf.DUMMYFUNCTION("""COMPUTED_VALUE"""),"6490")</f>
        <v>6490</v>
      </c>
      <c r="P415" s="30" t="str">
        <f ca="1">IFERROR(__xludf.DUMMYFUNCTION("""COMPUTED_VALUE"""),"LOMAS DE ZAMORA")</f>
        <v>LOMAS DE ZAMORA</v>
      </c>
      <c r="Q415" s="30" t="str">
        <f ca="1">IFERROR(__xludf.DUMMYFUNCTION("""COMPUTED_VALUE"""),"-34.7607532")</f>
        <v>-34.7607532</v>
      </c>
      <c r="R415" s="30" t="str">
        <f ca="1">IFERROR(__xludf.DUMMYFUNCTION("""COMPUTED_VALUE"""),"-58.3678426")</f>
        <v>-58.3678426</v>
      </c>
      <c r="S415" s="30" t="str">
        <f ca="1">IFERROR(__xludf.DUMMYFUNCTION("""COMPUTED_VALUE"""),"Municipal")</f>
        <v>Municipal</v>
      </c>
      <c r="T415" s="30" t="str">
        <f ca="1">IFERROR(__xludf.DUMMYFUNCTION("""COMPUTED_VALUE"""),"LOMAS DE ZAMORA")</f>
        <v>LOMAS DE ZAMORA</v>
      </c>
    </row>
    <row r="416" spans="1:20" ht="15.75" customHeight="1" x14ac:dyDescent="0.25">
      <c r="A416" s="30" t="str">
        <f ca="1">IFERROR(__xludf.DUMMYFUNCTION("""COMPUTED_VALUE"""),"50064902202360")</f>
        <v>50064902202360</v>
      </c>
      <c r="B416" s="30" t="str">
        <f ca="1">IFERROR(__xludf.DUMMYFUNCTION("""COMPUTED_VALUE"""),"UNIDAD SANITARIA LA CORTADA")</f>
        <v>UNIDAD SANITARIA LA CORTADA</v>
      </c>
      <c r="C416" s="30" t="str">
        <f ca="1">IFERROR(__xludf.DUMMYFUNCTION("""COMPUTED_VALUE"""),"Buenos Aires")</f>
        <v>Buenos Aires</v>
      </c>
      <c r="D416" s="30" t="str">
        <f ca="1">IFERROR(__xludf.DUMMYFUNCTION("""COMPUTED_VALUE"""),"6")</f>
        <v>6</v>
      </c>
      <c r="E416" s="30" t="str">
        <f ca="1">IFERROR(__xludf.DUMMYFUNCTION("""COMPUTED_VALUE"""),"")</f>
        <v/>
      </c>
      <c r="F416" s="29"/>
      <c r="G416" s="29"/>
      <c r="H416" s="30" t="str">
        <f ca="1">IFERROR(__xludf.DUMMYFUNCTION("""COMPUTED_VALUE"""),"activo")</f>
        <v>activo</v>
      </c>
      <c r="I416" s="29"/>
      <c r="J416" s="29"/>
      <c r="K416" s="29"/>
      <c r="L416" s="30" t="str">
        <f ca="1">IFERROR(__xludf.DUMMYFUNCTION("""COMPUTED_VALUE"""),"No")</f>
        <v>No</v>
      </c>
      <c r="M416" s="30" t="str">
        <f ca="1">IFERROR(__xludf.DUMMYFUNCTION("""COMPUTED_VALUE"""),"6490010006")</f>
        <v>6490010006</v>
      </c>
      <c r="N416" s="30" t="str">
        <f ca="1">IFERROR(__xludf.DUMMYFUNCTION("""COMPUTED_VALUE"""),"VILLA CENTENARIO")</f>
        <v>VILLA CENTENARIO</v>
      </c>
      <c r="O416" s="30" t="str">
        <f ca="1">IFERROR(__xludf.DUMMYFUNCTION("""COMPUTED_VALUE"""),"6490")</f>
        <v>6490</v>
      </c>
      <c r="P416" s="30" t="str">
        <f ca="1">IFERROR(__xludf.DUMMYFUNCTION("""COMPUTED_VALUE"""),"LOMAS DE ZAMORA")</f>
        <v>LOMAS DE ZAMORA</v>
      </c>
      <c r="Q416" s="30" t="str">
        <f ca="1">IFERROR(__xludf.DUMMYFUNCTION("""COMPUTED_VALUE"""),"-34.72126747")</f>
        <v>-34.72126747</v>
      </c>
      <c r="R416" s="30" t="str">
        <f ca="1">IFERROR(__xludf.DUMMYFUNCTION("""COMPUTED_VALUE"""),"-58.42330313")</f>
        <v>-58.42330313</v>
      </c>
      <c r="S416" s="30" t="str">
        <f ca="1">IFERROR(__xludf.DUMMYFUNCTION("""COMPUTED_VALUE"""),"Municipal")</f>
        <v>Municipal</v>
      </c>
      <c r="T416" s="30" t="str">
        <f ca="1">IFERROR(__xludf.DUMMYFUNCTION("""COMPUTED_VALUE"""),"LOMAS DE ZAMORA")</f>
        <v>LOMAS DE ZAMORA</v>
      </c>
    </row>
    <row r="417" spans="1:20" ht="15.75" customHeight="1" x14ac:dyDescent="0.25">
      <c r="A417" s="30" t="str">
        <f ca="1">IFERROR(__xludf.DUMMYFUNCTION("""COMPUTED_VALUE"""),"50064902202394")</f>
        <v>50064902202394</v>
      </c>
      <c r="B417" s="30" t="str">
        <f ca="1">IFERROR(__xludf.DUMMYFUNCTION("""COMPUTED_VALUE"""),"UNIDAD SANITARIA LAS CASUARINAS")</f>
        <v>UNIDAD SANITARIA LAS CASUARINAS</v>
      </c>
      <c r="C417" s="30" t="str">
        <f ca="1">IFERROR(__xludf.DUMMYFUNCTION("""COMPUTED_VALUE"""),"Buenos Aires")</f>
        <v>Buenos Aires</v>
      </c>
      <c r="D417" s="30" t="str">
        <f ca="1">IFERROR(__xludf.DUMMYFUNCTION("""COMPUTED_VALUE"""),"6")</f>
        <v>6</v>
      </c>
      <c r="E417" s="30" t="str">
        <f ca="1">IFERROR(__xludf.DUMMYFUNCTION("""COMPUTED_VALUE"""),"")</f>
        <v/>
      </c>
      <c r="F417" s="29"/>
      <c r="G417" s="29"/>
      <c r="H417" s="30" t="str">
        <f ca="1">IFERROR(__xludf.DUMMYFUNCTION("""COMPUTED_VALUE"""),"activo")</f>
        <v>activo</v>
      </c>
      <c r="I417" s="29"/>
      <c r="J417" s="29"/>
      <c r="K417" s="29"/>
      <c r="L417" s="30" t="str">
        <f ca="1">IFERROR(__xludf.DUMMYFUNCTION("""COMPUTED_VALUE"""),"No")</f>
        <v>No</v>
      </c>
      <c r="M417" s="30" t="str">
        <f ca="1">IFERROR(__xludf.DUMMYFUNCTION("""COMPUTED_VALUE"""),"6490010004")</f>
        <v>6490010004</v>
      </c>
      <c r="N417" s="30" t="str">
        <f ca="1">IFERROR(__xludf.DUMMYFUNCTION("""COMPUTED_VALUE"""),"TEMPERLEY")</f>
        <v>TEMPERLEY</v>
      </c>
      <c r="O417" s="30" t="str">
        <f ca="1">IFERROR(__xludf.DUMMYFUNCTION("""COMPUTED_VALUE"""),"6490")</f>
        <v>6490</v>
      </c>
      <c r="P417" s="30" t="str">
        <f ca="1">IFERROR(__xludf.DUMMYFUNCTION("""COMPUTED_VALUE"""),"LOMAS DE ZAMORA")</f>
        <v>LOMAS DE ZAMORA</v>
      </c>
      <c r="Q417" s="30" t="str">
        <f ca="1">IFERROR(__xludf.DUMMYFUNCTION("""COMPUTED_VALUE"""),"-34.74989271")</f>
        <v>-34.74989271</v>
      </c>
      <c r="R417" s="30" t="str">
        <f ca="1">IFERROR(__xludf.DUMMYFUNCTION("""COMPUTED_VALUE"""),"-58.35498691")</f>
        <v>-58.35498691</v>
      </c>
      <c r="S417" s="30" t="str">
        <f ca="1">IFERROR(__xludf.DUMMYFUNCTION("""COMPUTED_VALUE"""),"Municipal")</f>
        <v>Municipal</v>
      </c>
      <c r="T417" s="30" t="str">
        <f ca="1">IFERROR(__xludf.DUMMYFUNCTION("""COMPUTED_VALUE"""),"LOMAS DE ZAMORA")</f>
        <v>LOMAS DE ZAMORA</v>
      </c>
    </row>
    <row r="418" spans="1:20" ht="15.75" customHeight="1" x14ac:dyDescent="0.25">
      <c r="A418" s="30" t="str">
        <f ca="1">IFERROR(__xludf.DUMMYFUNCTION("""COMPUTED_VALUE"""),"50064902202407")</f>
        <v>50064902202407</v>
      </c>
      <c r="B418" s="30" t="str">
        <f ca="1">IFERROR(__xludf.DUMMYFUNCTION("""COMPUTED_VALUE"""),"UNIDAD SANITARIA LAVALLOL")</f>
        <v>UNIDAD SANITARIA LAVALLOL</v>
      </c>
      <c r="C418" s="30" t="str">
        <f ca="1">IFERROR(__xludf.DUMMYFUNCTION("""COMPUTED_VALUE"""),"Buenos Aires")</f>
        <v>Buenos Aires</v>
      </c>
      <c r="D418" s="30" t="str">
        <f ca="1">IFERROR(__xludf.DUMMYFUNCTION("""COMPUTED_VALUE"""),"6")</f>
        <v>6</v>
      </c>
      <c r="E418" s="30" t="str">
        <f ca="1">IFERROR(__xludf.DUMMYFUNCTION("""COMPUTED_VALUE"""),"")</f>
        <v/>
      </c>
      <c r="F418" s="29"/>
      <c r="G418" s="29"/>
      <c r="H418" s="30" t="str">
        <f ca="1">IFERROR(__xludf.DUMMYFUNCTION("""COMPUTED_VALUE"""),"inactivo")</f>
        <v>inactivo</v>
      </c>
      <c r="I418" s="30" t="str">
        <f ca="1">IFERROR(__xludf.DUMMYFUNCTION("""COMPUTED_VALUE"""),"- fuera circular 2")</f>
        <v>- fuera circular 2</v>
      </c>
      <c r="J418" s="29"/>
      <c r="K418" s="29"/>
      <c r="L418" s="30" t="str">
        <f ca="1">IFERROR(__xludf.DUMMYFUNCTION("""COMPUTED_VALUE"""),"No")</f>
        <v>No</v>
      </c>
      <c r="M418" s="30" t="str">
        <f ca="1">IFERROR(__xludf.DUMMYFUNCTION("""COMPUTED_VALUE"""),"6490010002")</f>
        <v>6490010002</v>
      </c>
      <c r="N418" s="30" t="str">
        <f ca="1">IFERROR(__xludf.DUMMYFUNCTION("""COMPUTED_VALUE"""),"LLAVALLOL")</f>
        <v>LLAVALLOL</v>
      </c>
      <c r="O418" s="30" t="str">
        <f ca="1">IFERROR(__xludf.DUMMYFUNCTION("""COMPUTED_VALUE"""),"6490")</f>
        <v>6490</v>
      </c>
      <c r="P418" s="30" t="str">
        <f ca="1">IFERROR(__xludf.DUMMYFUNCTION("""COMPUTED_VALUE"""),"LOMAS DE ZAMORA")</f>
        <v>LOMAS DE ZAMORA</v>
      </c>
      <c r="Q418" s="30" t="str">
        <f ca="1">IFERROR(__xludf.DUMMYFUNCTION("""COMPUTED_VALUE"""),"-34.804656")</f>
        <v>-34.804656</v>
      </c>
      <c r="R418" s="30" t="str">
        <f ca="1">IFERROR(__xludf.DUMMYFUNCTION("""COMPUTED_VALUE"""),"-58.42567")</f>
        <v>-58.42567</v>
      </c>
      <c r="S418" s="30" t="str">
        <f ca="1">IFERROR(__xludf.DUMMYFUNCTION("""COMPUTED_VALUE"""),"Municipal")</f>
        <v>Municipal</v>
      </c>
      <c r="T418" s="30" t="str">
        <f ca="1">IFERROR(__xludf.DUMMYFUNCTION("""COMPUTED_VALUE"""),"LOMAS DE ZAMORA")</f>
        <v>LOMAS DE ZAMORA</v>
      </c>
    </row>
    <row r="419" spans="1:20" ht="15.75" customHeight="1" x14ac:dyDescent="0.25">
      <c r="A419" s="30" t="str">
        <f ca="1">IFERROR(__xludf.DUMMYFUNCTION("""COMPUTED_VALUE"""),"50064902202429")</f>
        <v>50064902202429</v>
      </c>
      <c r="B419" s="30" t="str">
        <f ca="1">IFERROR(__xludf.DUMMYFUNCTION("""COMPUTED_VALUE"""),"UNIDAD SANITARIA LUIS AGOTE DE VILLA ELVIRA")</f>
        <v>UNIDAD SANITARIA LUIS AGOTE DE VILLA ELVIRA</v>
      </c>
      <c r="C419" s="30" t="str">
        <f ca="1">IFERROR(__xludf.DUMMYFUNCTION("""COMPUTED_VALUE"""),"Buenos Aires")</f>
        <v>Buenos Aires</v>
      </c>
      <c r="D419" s="30" t="str">
        <f ca="1">IFERROR(__xludf.DUMMYFUNCTION("""COMPUTED_VALUE"""),"6")</f>
        <v>6</v>
      </c>
      <c r="E419" s="30" t="str">
        <f ca="1">IFERROR(__xludf.DUMMYFUNCTION("""COMPUTED_VALUE"""),"")</f>
        <v/>
      </c>
      <c r="F419" s="29"/>
      <c r="G419" s="29"/>
      <c r="H419" s="30" t="str">
        <f ca="1">IFERROR(__xludf.DUMMYFUNCTION("""COMPUTED_VALUE"""),"activo")</f>
        <v>activo</v>
      </c>
      <c r="I419" s="29"/>
      <c r="J419" s="29"/>
      <c r="K419" s="29"/>
      <c r="L419" s="30" t="str">
        <f ca="1">IFERROR(__xludf.DUMMYFUNCTION("""COMPUTED_VALUE"""),"No")</f>
        <v>No</v>
      </c>
      <c r="M419" s="30" t="str">
        <f ca="1">IFERROR(__xludf.DUMMYFUNCTION("""COMPUTED_VALUE"""),"6490010003")</f>
        <v>6490010003</v>
      </c>
      <c r="N419" s="30" t="str">
        <f ca="1">IFERROR(__xludf.DUMMYFUNCTION("""COMPUTED_VALUE"""),"LOMAS DE ZAMORA")</f>
        <v>LOMAS DE ZAMORA</v>
      </c>
      <c r="O419" s="30" t="str">
        <f ca="1">IFERROR(__xludf.DUMMYFUNCTION("""COMPUTED_VALUE"""),"6490")</f>
        <v>6490</v>
      </c>
      <c r="P419" s="30" t="str">
        <f ca="1">IFERROR(__xludf.DUMMYFUNCTION("""COMPUTED_VALUE"""),"LOMAS DE ZAMORA")</f>
        <v>LOMAS DE ZAMORA</v>
      </c>
      <c r="Q419" s="30" t="str">
        <f ca="1">IFERROR(__xludf.DUMMYFUNCTION("""COMPUTED_VALUE"""),"-34.71719093")</f>
        <v>-34.71719093</v>
      </c>
      <c r="R419" s="30" t="str">
        <f ca="1">IFERROR(__xludf.DUMMYFUNCTION("""COMPUTED_VALUE"""),"-58.43248701")</f>
        <v>-58.43248701</v>
      </c>
      <c r="S419" s="30" t="str">
        <f ca="1">IFERROR(__xludf.DUMMYFUNCTION("""COMPUTED_VALUE"""),"Municipal")</f>
        <v>Municipal</v>
      </c>
      <c r="T419" s="30" t="str">
        <f ca="1">IFERROR(__xludf.DUMMYFUNCTION("""COMPUTED_VALUE"""),"LOMAS DE ZAMORA")</f>
        <v>LOMAS DE ZAMORA</v>
      </c>
    </row>
    <row r="420" spans="1:20" ht="15.75" customHeight="1" x14ac:dyDescent="0.25">
      <c r="A420" s="30" t="str">
        <f ca="1">IFERROR(__xludf.DUMMYFUNCTION("""COMPUTED_VALUE"""),"50064902202696")</f>
        <v>50064902202696</v>
      </c>
      <c r="B420" s="30" t="str">
        <f ca="1">IFERROR(__xludf.DUMMYFUNCTION("""COMPUTED_VALUE"""),"UNIDAD SANITARIA NUEVO FIORITO")</f>
        <v>UNIDAD SANITARIA NUEVO FIORITO</v>
      </c>
      <c r="C420" s="30" t="str">
        <f ca="1">IFERROR(__xludf.DUMMYFUNCTION("""COMPUTED_VALUE"""),"Buenos Aires")</f>
        <v>Buenos Aires</v>
      </c>
      <c r="D420" s="30" t="str">
        <f ca="1">IFERROR(__xludf.DUMMYFUNCTION("""COMPUTED_VALUE"""),"6")</f>
        <v>6</v>
      </c>
      <c r="E420" s="30" t="str">
        <f ca="1">IFERROR(__xludf.DUMMYFUNCTION("""COMPUTED_VALUE"""),"")</f>
        <v/>
      </c>
      <c r="F420" s="29"/>
      <c r="G420" s="29"/>
      <c r="H420" s="30" t="str">
        <f ca="1">IFERROR(__xludf.DUMMYFUNCTION("""COMPUTED_VALUE"""),"activo")</f>
        <v>activo</v>
      </c>
      <c r="I420" s="29"/>
      <c r="J420" s="29"/>
      <c r="K420" s="29"/>
      <c r="L420" s="30" t="str">
        <f ca="1">IFERROR(__xludf.DUMMYFUNCTION("""COMPUTED_VALUE"""),"No")</f>
        <v>No</v>
      </c>
      <c r="M420" s="30" t="str">
        <f ca="1">IFERROR(__xludf.DUMMYFUNCTION("""COMPUTED_VALUE"""),"6490010007")</f>
        <v>6490010007</v>
      </c>
      <c r="N420" s="30" t="str">
        <f ca="1">IFERROR(__xludf.DUMMYFUNCTION("""COMPUTED_VALUE"""),"VILLA FIORITO")</f>
        <v>VILLA FIORITO</v>
      </c>
      <c r="O420" s="30" t="str">
        <f ca="1">IFERROR(__xludf.DUMMYFUNCTION("""COMPUTED_VALUE"""),"6490")</f>
        <v>6490</v>
      </c>
      <c r="P420" s="30" t="str">
        <f ca="1">IFERROR(__xludf.DUMMYFUNCTION("""COMPUTED_VALUE"""),"LOMAS DE ZAMORA")</f>
        <v>LOMAS DE ZAMORA</v>
      </c>
      <c r="Q420" s="30" t="str">
        <f ca="1">IFERROR(__xludf.DUMMYFUNCTION("""COMPUTED_VALUE"""),"-34.7003613")</f>
        <v>-34.7003613</v>
      </c>
      <c r="R420" s="30" t="str">
        <f ca="1">IFERROR(__xludf.DUMMYFUNCTION("""COMPUTED_VALUE"""),"-58.44233716")</f>
        <v>-58.44233716</v>
      </c>
      <c r="S420" s="30" t="str">
        <f ca="1">IFERROR(__xludf.DUMMYFUNCTION("""COMPUTED_VALUE"""),"Municipal")</f>
        <v>Municipal</v>
      </c>
      <c r="T420" s="30" t="str">
        <f ca="1">IFERROR(__xludf.DUMMYFUNCTION("""COMPUTED_VALUE"""),"LOMAS DE ZAMORA")</f>
        <v>LOMAS DE ZAMORA</v>
      </c>
    </row>
    <row r="421" spans="1:20" ht="15.75" customHeight="1" x14ac:dyDescent="0.25">
      <c r="A421" s="30" t="str">
        <f ca="1">IFERROR(__xludf.DUMMYFUNCTION("""COMPUTED_VALUE"""),"50064902202880")</f>
        <v>50064902202880</v>
      </c>
      <c r="B421" s="30" t="str">
        <f ca="1">IFERROR(__xludf.DUMMYFUNCTION("""COMPUTED_VALUE"""),"UNIDAD SANITARIA VILLA EL FARO")</f>
        <v>UNIDAD SANITARIA VILLA EL FARO</v>
      </c>
      <c r="C421" s="30" t="str">
        <f ca="1">IFERROR(__xludf.DUMMYFUNCTION("""COMPUTED_VALUE"""),"Buenos Aires")</f>
        <v>Buenos Aires</v>
      </c>
      <c r="D421" s="30" t="str">
        <f ca="1">IFERROR(__xludf.DUMMYFUNCTION("""COMPUTED_VALUE"""),"6")</f>
        <v>6</v>
      </c>
      <c r="E421" s="30" t="str">
        <f ca="1">IFERROR(__xludf.DUMMYFUNCTION("""COMPUTED_VALUE"""),"")</f>
        <v/>
      </c>
      <c r="F421" s="29"/>
      <c r="G421" s="29"/>
      <c r="H421" s="30" t="str">
        <f ca="1">IFERROR(__xludf.DUMMYFUNCTION("""COMPUTED_VALUE"""),"activo")</f>
        <v>activo</v>
      </c>
      <c r="I421" s="29"/>
      <c r="J421" s="29"/>
      <c r="K421" s="29"/>
      <c r="L421" s="30" t="str">
        <f ca="1">IFERROR(__xludf.DUMMYFUNCTION("""COMPUTED_VALUE"""),"No")</f>
        <v>No</v>
      </c>
      <c r="M421" s="30" t="str">
        <f ca="1">IFERROR(__xludf.DUMMYFUNCTION("""COMPUTED_VALUE"""),"6490010003")</f>
        <v>6490010003</v>
      </c>
      <c r="N421" s="30" t="str">
        <f ca="1">IFERROR(__xludf.DUMMYFUNCTION("""COMPUTED_VALUE"""),"LOMAS DE ZAMORA")</f>
        <v>LOMAS DE ZAMORA</v>
      </c>
      <c r="O421" s="30" t="str">
        <f ca="1">IFERROR(__xludf.DUMMYFUNCTION("""COMPUTED_VALUE"""),"6490")</f>
        <v>6490</v>
      </c>
      <c r="P421" s="30" t="str">
        <f ca="1">IFERROR(__xludf.DUMMYFUNCTION("""COMPUTED_VALUE"""),"LOMAS DE ZAMORA")</f>
        <v>LOMAS DE ZAMORA</v>
      </c>
      <c r="Q421" s="30" t="str">
        <f ca="1">IFERROR(__xludf.DUMMYFUNCTION("""COMPUTED_VALUE"""),"-34.74325142")</f>
        <v>-34.74325142</v>
      </c>
      <c r="R421" s="30" t="str">
        <f ca="1">IFERROR(__xludf.DUMMYFUNCTION("""COMPUTED_VALUE"""),"-58.44341683")</f>
        <v>-58.44341683</v>
      </c>
      <c r="S421" s="30" t="str">
        <f ca="1">IFERROR(__xludf.DUMMYFUNCTION("""COMPUTED_VALUE"""),"Municipal")</f>
        <v>Municipal</v>
      </c>
      <c r="T421" s="30" t="str">
        <f ca="1">IFERROR(__xludf.DUMMYFUNCTION("""COMPUTED_VALUE"""),"LOMAS DE ZAMORA")</f>
        <v>LOMAS DE ZAMORA</v>
      </c>
    </row>
    <row r="422" spans="1:20" ht="15.75" customHeight="1" x14ac:dyDescent="0.25">
      <c r="A422" s="30" t="str">
        <f ca="1">IFERROR(__xludf.DUMMYFUNCTION("""COMPUTED_VALUE"""),"50064902202884")</f>
        <v>50064902202884</v>
      </c>
      <c r="B422" s="30" t="str">
        <f ca="1">IFERROR(__xludf.DUMMYFUNCTION("""COMPUTED_VALUE"""),"UNIDAD SANITARIA VILLA GENERAL SAN MARTIN")</f>
        <v>UNIDAD SANITARIA VILLA GENERAL SAN MARTIN</v>
      </c>
      <c r="C422" s="30" t="str">
        <f ca="1">IFERROR(__xludf.DUMMYFUNCTION("""COMPUTED_VALUE"""),"Buenos Aires")</f>
        <v>Buenos Aires</v>
      </c>
      <c r="D422" s="30" t="str">
        <f ca="1">IFERROR(__xludf.DUMMYFUNCTION("""COMPUTED_VALUE"""),"6")</f>
        <v>6</v>
      </c>
      <c r="E422" s="30" t="str">
        <f ca="1">IFERROR(__xludf.DUMMYFUNCTION("""COMPUTED_VALUE"""),"")</f>
        <v/>
      </c>
      <c r="F422" s="29"/>
      <c r="G422" s="29"/>
      <c r="H422" s="30" t="str">
        <f ca="1">IFERROR(__xludf.DUMMYFUNCTION("""COMPUTED_VALUE"""),"activo")</f>
        <v>activo</v>
      </c>
      <c r="I422" s="29"/>
      <c r="J422" s="29"/>
      <c r="K422" s="29"/>
      <c r="L422" s="30" t="str">
        <f ca="1">IFERROR(__xludf.DUMMYFUNCTION("""COMPUTED_VALUE"""),"No")</f>
        <v>No</v>
      </c>
      <c r="M422" s="30" t="str">
        <f ca="1">IFERROR(__xludf.DUMMYFUNCTION("""COMPUTED_VALUE"""),"6490010004")</f>
        <v>6490010004</v>
      </c>
      <c r="N422" s="30" t="str">
        <f ca="1">IFERROR(__xludf.DUMMYFUNCTION("""COMPUTED_VALUE"""),"TEMPERLEY")</f>
        <v>TEMPERLEY</v>
      </c>
      <c r="O422" s="30" t="str">
        <f ca="1">IFERROR(__xludf.DUMMYFUNCTION("""COMPUTED_VALUE"""),"6490")</f>
        <v>6490</v>
      </c>
      <c r="P422" s="30" t="str">
        <f ca="1">IFERROR(__xludf.DUMMYFUNCTION("""COMPUTED_VALUE"""),"LOMAS DE ZAMORA")</f>
        <v>LOMAS DE ZAMORA</v>
      </c>
      <c r="Q422" s="30" t="str">
        <f ca="1">IFERROR(__xludf.DUMMYFUNCTION("""COMPUTED_VALUE"""),"-34.75311333")</f>
        <v>-34.75311333</v>
      </c>
      <c r="R422" s="30" t="str">
        <f ca="1">IFERROR(__xludf.DUMMYFUNCTION("""COMPUTED_VALUE"""),"-58.35923052")</f>
        <v>-58.35923052</v>
      </c>
      <c r="S422" s="30" t="str">
        <f ca="1">IFERROR(__xludf.DUMMYFUNCTION("""COMPUTED_VALUE"""),"Municipal")</f>
        <v>Municipal</v>
      </c>
      <c r="T422" s="30" t="str">
        <f ca="1">IFERROR(__xludf.DUMMYFUNCTION("""COMPUTED_VALUE"""),"LOMAS DE ZAMORA")</f>
        <v>LOMAS DE ZAMORA</v>
      </c>
    </row>
    <row r="423" spans="1:20" ht="15.75" customHeight="1" x14ac:dyDescent="0.25">
      <c r="A423" s="30" t="str">
        <f ca="1">IFERROR(__xludf.DUMMYFUNCTION("""COMPUTED_VALUE"""),"CI50068402202992")</f>
        <v>CI50068402202992</v>
      </c>
      <c r="B423" s="30" t="str">
        <f ca="1">IFERROR(__xludf.DUMMYFUNCTION("""COMPUTED_VALUE"""),"René Favaloro/Castelar Sur - MORON")</f>
        <v>René Favaloro/Castelar Sur - MORON</v>
      </c>
      <c r="C423" s="30" t="str">
        <f ca="1">IFERROR(__xludf.DUMMYFUNCTION("""COMPUTED_VALUE"""),"Buenos Aires")</f>
        <v>Buenos Aires</v>
      </c>
      <c r="D423" s="30" t="str">
        <f ca="1">IFERROR(__xludf.DUMMYFUNCTION("""COMPUTED_VALUE"""),"6")</f>
        <v>6</v>
      </c>
      <c r="E423" s="30" t="str">
        <f ca="1">IFERROR(__xludf.DUMMYFUNCTION("""COMPUTED_VALUE"""),"")</f>
        <v/>
      </c>
      <c r="F423" s="30" t="str">
        <f ca="1">IFERROR(__xludf.DUMMYFUNCTION("""COMPUTED_VALUE"""),"50064902202884")</f>
        <v>50064902202884</v>
      </c>
      <c r="G423" s="29"/>
      <c r="H423" s="30" t="str">
        <f ca="1">IFERROR(__xludf.DUMMYFUNCTION("""COMPUTED_VALUE"""),"inactivo")</f>
        <v>inactivo</v>
      </c>
      <c r="I423" s="30" t="str">
        <f ca="1">IFERROR(__xludf.DUMMYFUNCTION("""COMPUTED_VALUE"""),"Este efector cambió su CI a REFES: 50065682220047")</f>
        <v>Este efector cambió su CI a REFES: 50065682220047</v>
      </c>
      <c r="J423" s="29"/>
      <c r="K423" s="29"/>
      <c r="L423" s="30" t="str">
        <f ca="1">IFERROR(__xludf.DUMMYFUNCTION("""COMPUTED_VALUE"""),"No")</f>
        <v>No</v>
      </c>
      <c r="M423" s="30" t="str">
        <f ca="1">IFERROR(__xludf.DUMMYFUNCTION("""COMPUTED_VALUE"""),"#N/A")</f>
        <v>#N/A</v>
      </c>
      <c r="N423" s="30" t="str">
        <f ca="1">IFERROR(__xludf.DUMMYFUNCTION("""COMPUTED_VALUE"""),"#N/A")</f>
        <v>#N/A</v>
      </c>
      <c r="O423" s="30" t="str">
        <f ca="1">IFERROR(__xludf.DUMMYFUNCTION("""COMPUTED_VALUE"""),"#N/A")</f>
        <v>#N/A</v>
      </c>
      <c r="P423" s="30" t="str">
        <f ca="1">IFERROR(__xludf.DUMMYFUNCTION("""COMPUTED_VALUE"""),"MORÓN")</f>
        <v>MORÓN</v>
      </c>
      <c r="Q423" s="30" t="str">
        <f ca="1">IFERROR(__xludf.DUMMYFUNCTION("""COMPUTED_VALUE"""),"#N/A")</f>
        <v>#N/A</v>
      </c>
      <c r="R423" s="30" t="str">
        <f ca="1">IFERROR(__xludf.DUMMYFUNCTION("""COMPUTED_VALUE"""),"#N/A")</f>
        <v>#N/A</v>
      </c>
      <c r="S423" s="30" t="str">
        <f ca="1">IFERROR(__xludf.DUMMYFUNCTION("""COMPUTED_VALUE"""),"#N/A")</f>
        <v>#N/A</v>
      </c>
      <c r="T423" s="30" t="str">
        <f ca="1">IFERROR(__xludf.DUMMYFUNCTION("""COMPUTED_VALUE"""),"MORÓN")</f>
        <v>MORÓN</v>
      </c>
    </row>
    <row r="424" spans="1:20" ht="15.75" customHeight="1" x14ac:dyDescent="0.25">
      <c r="A424" s="30" t="str">
        <f ca="1">IFERROR(__xludf.DUMMYFUNCTION("""COMPUTED_VALUE"""),"50064902202908")</f>
        <v>50064902202908</v>
      </c>
      <c r="B424" s="30" t="str">
        <f ca="1">IFERROR(__xludf.DUMMYFUNCTION("""COMPUTED_VALUE"""),"UNIDAD SANITARIA VILLA URBANA")</f>
        <v>UNIDAD SANITARIA VILLA URBANA</v>
      </c>
      <c r="C424" s="30" t="str">
        <f ca="1">IFERROR(__xludf.DUMMYFUNCTION("""COMPUTED_VALUE"""),"Buenos Aires")</f>
        <v>Buenos Aires</v>
      </c>
      <c r="D424" s="30" t="str">
        <f ca="1">IFERROR(__xludf.DUMMYFUNCTION("""COMPUTED_VALUE"""),"6")</f>
        <v>6</v>
      </c>
      <c r="E424" s="30" t="str">
        <f ca="1">IFERROR(__xludf.DUMMYFUNCTION("""COMPUTED_VALUE"""),"")</f>
        <v/>
      </c>
      <c r="F424" s="29"/>
      <c r="G424" s="29"/>
      <c r="H424" s="30" t="str">
        <f ca="1">IFERROR(__xludf.DUMMYFUNCTION("""COMPUTED_VALUE"""),"activo")</f>
        <v>activo</v>
      </c>
      <c r="I424" s="29"/>
      <c r="J424" s="29"/>
      <c r="K424" s="29"/>
      <c r="L424" s="30" t="str">
        <f ca="1">IFERROR(__xludf.DUMMYFUNCTION("""COMPUTED_VALUE"""),"No")</f>
        <v>No</v>
      </c>
      <c r="M424" s="30" t="str">
        <f ca="1">IFERROR(__xludf.DUMMYFUNCTION("""COMPUTED_VALUE"""),"6490010003")</f>
        <v>6490010003</v>
      </c>
      <c r="N424" s="30" t="str">
        <f ca="1">IFERROR(__xludf.DUMMYFUNCTION("""COMPUTED_VALUE"""),"LOMAS DE ZAMORA")</f>
        <v>LOMAS DE ZAMORA</v>
      </c>
      <c r="O424" s="30" t="str">
        <f ca="1">IFERROR(__xludf.DUMMYFUNCTION("""COMPUTED_VALUE"""),"6490")</f>
        <v>6490</v>
      </c>
      <c r="P424" s="30" t="str">
        <f ca="1">IFERROR(__xludf.DUMMYFUNCTION("""COMPUTED_VALUE"""),"LOMAS DE ZAMORA")</f>
        <v>LOMAS DE ZAMORA</v>
      </c>
      <c r="Q424" s="30" t="str">
        <f ca="1">IFERROR(__xludf.DUMMYFUNCTION("""COMPUTED_VALUE"""),"-34.7115741")</f>
        <v>-34.7115741</v>
      </c>
      <c r="R424" s="30" t="str">
        <f ca="1">IFERROR(__xludf.DUMMYFUNCTION("""COMPUTED_VALUE"""),"-58.4527215")</f>
        <v>-58.4527215</v>
      </c>
      <c r="S424" s="30" t="str">
        <f ca="1">IFERROR(__xludf.DUMMYFUNCTION("""COMPUTED_VALUE"""),"Municipal")</f>
        <v>Municipal</v>
      </c>
      <c r="T424" s="30" t="str">
        <f ca="1">IFERROR(__xludf.DUMMYFUNCTION("""COMPUTED_VALUE"""),"LOMAS DE ZAMORA")</f>
        <v>LOMAS DE ZAMORA</v>
      </c>
    </row>
    <row r="425" spans="1:20" ht="15.75" customHeight="1" x14ac:dyDescent="0.25">
      <c r="A425" s="30" t="str">
        <f ca="1">IFERROR(__xludf.DUMMYFUNCTION("""COMPUTED_VALUE"""),"50064902207474")</f>
        <v>50064902207474</v>
      </c>
      <c r="B425" s="30" t="str">
        <f ca="1">IFERROR(__xludf.DUMMYFUNCTION("""COMPUTED_VALUE"""),"UNIDAD SANITARIA V° INDEPENDENCIA")</f>
        <v>UNIDAD SANITARIA V° INDEPENDENCIA</v>
      </c>
      <c r="C425" s="30" t="str">
        <f ca="1">IFERROR(__xludf.DUMMYFUNCTION("""COMPUTED_VALUE"""),"Buenos Aires")</f>
        <v>Buenos Aires</v>
      </c>
      <c r="D425" s="30" t="str">
        <f ca="1">IFERROR(__xludf.DUMMYFUNCTION("""COMPUTED_VALUE"""),"6")</f>
        <v>6</v>
      </c>
      <c r="E425" s="30" t="str">
        <f ca="1">IFERROR(__xludf.DUMMYFUNCTION("""COMPUTED_VALUE"""),"")</f>
        <v/>
      </c>
      <c r="F425" s="29"/>
      <c r="G425" s="29"/>
      <c r="H425" s="30" t="str">
        <f ca="1">IFERROR(__xludf.DUMMYFUNCTION("""COMPUTED_VALUE"""),"activo")</f>
        <v>activo</v>
      </c>
      <c r="I425" s="29"/>
      <c r="J425" s="29"/>
      <c r="K425" s="29"/>
      <c r="L425" s="30" t="str">
        <f ca="1">IFERROR(__xludf.DUMMYFUNCTION("""COMPUTED_VALUE"""),"No")</f>
        <v>No</v>
      </c>
      <c r="M425" s="30" t="str">
        <f ca="1">IFERROR(__xludf.DUMMYFUNCTION("""COMPUTED_VALUE"""),"6490010007")</f>
        <v>6490010007</v>
      </c>
      <c r="N425" s="30" t="str">
        <f ca="1">IFERROR(__xludf.DUMMYFUNCTION("""COMPUTED_VALUE"""),"VILLA FIORITO")</f>
        <v>VILLA FIORITO</v>
      </c>
      <c r="O425" s="30" t="str">
        <f ca="1">IFERROR(__xludf.DUMMYFUNCTION("""COMPUTED_VALUE"""),"6490")</f>
        <v>6490</v>
      </c>
      <c r="P425" s="30" t="str">
        <f ca="1">IFERROR(__xludf.DUMMYFUNCTION("""COMPUTED_VALUE"""),"LOMAS DE ZAMORA")</f>
        <v>LOMAS DE ZAMORA</v>
      </c>
      <c r="Q425" s="30" t="str">
        <f ca="1">IFERROR(__xludf.DUMMYFUNCTION("""COMPUTED_VALUE"""),"-34.76165537")</f>
        <v>-34.76165537</v>
      </c>
      <c r="R425" s="30" t="str">
        <f ca="1">IFERROR(__xludf.DUMMYFUNCTION("""COMPUTED_VALUE"""),"-58.44651595")</f>
        <v>-58.44651595</v>
      </c>
      <c r="S425" s="30" t="str">
        <f ca="1">IFERROR(__xludf.DUMMYFUNCTION("""COMPUTED_VALUE"""),"Municipal")</f>
        <v>Municipal</v>
      </c>
      <c r="T425" s="30" t="str">
        <f ca="1">IFERROR(__xludf.DUMMYFUNCTION("""COMPUTED_VALUE"""),"LOMAS DE ZAMORA")</f>
        <v>LOMAS DE ZAMORA</v>
      </c>
    </row>
    <row r="426" spans="1:20" ht="15.75" customHeight="1" x14ac:dyDescent="0.25">
      <c r="A426" s="30" t="str">
        <f ca="1">IFERROR(__xludf.DUMMYFUNCTION("""COMPUTED_VALUE"""),"50065052202211")</f>
        <v>50065052202211</v>
      </c>
      <c r="B426" s="30" t="str">
        <f ca="1">IFERROR(__xludf.DUMMYFUNCTION("""COMPUTED_VALUE"""),"UNIDAD SANITARIA DR  RENE FAVALORO")</f>
        <v>UNIDAD SANITARIA DR  RENE FAVALORO</v>
      </c>
      <c r="C426" s="30" t="str">
        <f ca="1">IFERROR(__xludf.DUMMYFUNCTION("""COMPUTED_VALUE"""),"Buenos Aires")</f>
        <v>Buenos Aires</v>
      </c>
      <c r="D426" s="30" t="str">
        <f ca="1">IFERROR(__xludf.DUMMYFUNCTION("""COMPUTED_VALUE"""),"6")</f>
        <v>6</v>
      </c>
      <c r="E426" s="30" t="str">
        <f ca="1">IFERROR(__xludf.DUMMYFUNCTION("""COMPUTED_VALUE"""),"")</f>
        <v/>
      </c>
      <c r="F426" s="29"/>
      <c r="G426" s="29"/>
      <c r="H426" s="30" t="str">
        <f ca="1">IFERROR(__xludf.DUMMYFUNCTION("""COMPUTED_VALUE"""),"inactivo")</f>
        <v>inactivo</v>
      </c>
      <c r="I426" s="29"/>
      <c r="J426" s="29"/>
      <c r="K426" s="29"/>
      <c r="L426" s="30" t="str">
        <f ca="1">IFERROR(__xludf.DUMMYFUNCTION("""COMPUTED_VALUE"""),"No")</f>
        <v>No</v>
      </c>
      <c r="M426" s="30" t="str">
        <f ca="1">IFERROR(__xludf.DUMMYFUNCTION("""COMPUTED_VALUE"""),"6505020")</f>
        <v>6505020</v>
      </c>
      <c r="N426" s="30" t="str">
        <f ca="1">IFERROR(__xludf.DUMMYFUNCTION("""COMPUTED_VALUE"""),"GENERAL MANSILLA (EST. BARTOLOMÉ BAVIO)")</f>
        <v>GENERAL MANSILLA (EST. BARTOLOMÉ BAVIO)</v>
      </c>
      <c r="O426" s="30" t="str">
        <f ca="1">IFERROR(__xludf.DUMMYFUNCTION("""COMPUTED_VALUE"""),"6505")</f>
        <v>6505</v>
      </c>
      <c r="P426" s="30" t="str">
        <f ca="1">IFERROR(__xludf.DUMMYFUNCTION("""COMPUTED_VALUE"""),"MAGDALENA")</f>
        <v>MAGDALENA</v>
      </c>
      <c r="Q426" s="30" t="str">
        <f ca="1">IFERROR(__xludf.DUMMYFUNCTION("""COMPUTED_VALUE"""),"-35.080192")</f>
        <v>-35.080192</v>
      </c>
      <c r="R426" s="30" t="str">
        <f ca="1">IFERROR(__xludf.DUMMYFUNCTION("""COMPUTED_VALUE"""),"-57.74766")</f>
        <v>-57.74766</v>
      </c>
      <c r="S426" s="30" t="str">
        <f ca="1">IFERROR(__xludf.DUMMYFUNCTION("""COMPUTED_VALUE"""),"Municipal")</f>
        <v>Municipal</v>
      </c>
      <c r="T426" s="30" t="str">
        <f ca="1">IFERROR(__xludf.DUMMYFUNCTION("""COMPUTED_VALUE"""),"MAGDALENA")</f>
        <v>MAGDALENA</v>
      </c>
    </row>
    <row r="427" spans="1:20" ht="15.75" customHeight="1" x14ac:dyDescent="0.25">
      <c r="A427" s="30" t="str">
        <f ca="1">IFERROR(__xludf.DUMMYFUNCTION("""COMPUTED_VALUE"""),"CI50068402202993")</f>
        <v>CI50068402202993</v>
      </c>
      <c r="B427" s="30" t="str">
        <f ca="1">IFERROR(__xludf.DUMMYFUNCTION("""COMPUTED_VALUE"""),"Tres Barrios – PILAR")</f>
        <v>Tres Barrios – PILAR</v>
      </c>
      <c r="C427" s="30" t="str">
        <f ca="1">IFERROR(__xludf.DUMMYFUNCTION("""COMPUTED_VALUE"""),"Buenos Aires")</f>
        <v>Buenos Aires</v>
      </c>
      <c r="D427" s="30" t="str">
        <f ca="1">IFERROR(__xludf.DUMMYFUNCTION("""COMPUTED_VALUE"""),"6")</f>
        <v>6</v>
      </c>
      <c r="E427" s="30" t="str">
        <f ca="1">IFERROR(__xludf.DUMMYFUNCTION("""COMPUTED_VALUE"""),"")</f>
        <v/>
      </c>
      <c r="F427" s="30" t="str">
        <f ca="1">IFERROR(__xludf.DUMMYFUNCTION("""COMPUTED_VALUE"""),"50065052202211")</f>
        <v>50065052202211</v>
      </c>
      <c r="G427" s="29"/>
      <c r="H427" s="30" t="str">
        <f ca="1">IFERROR(__xludf.DUMMYFUNCTION("""COMPUTED_VALUE"""),"activo")</f>
        <v>activo</v>
      </c>
      <c r="I427" s="29"/>
      <c r="J427" s="29"/>
      <c r="K427" s="29"/>
      <c r="L427" s="30" t="str">
        <f ca="1">IFERROR(__xludf.DUMMYFUNCTION("""COMPUTED_VALUE"""),"No")</f>
        <v>No</v>
      </c>
      <c r="M427" s="30" t="str">
        <f ca="1">IFERROR(__xludf.DUMMYFUNCTION("""COMPUTED_VALUE"""),"#N/A")</f>
        <v>#N/A</v>
      </c>
      <c r="N427" s="30" t="str">
        <f ca="1">IFERROR(__xludf.DUMMYFUNCTION("""COMPUTED_VALUE"""),"VILLA ROSA")</f>
        <v>VILLA ROSA</v>
      </c>
      <c r="O427" s="30" t="str">
        <f ca="1">IFERROR(__xludf.DUMMYFUNCTION("""COMPUTED_VALUE"""),"#N/A")</f>
        <v>#N/A</v>
      </c>
      <c r="P427" s="30" t="str">
        <f ca="1">IFERROR(__xludf.DUMMYFUNCTION("""COMPUTED_VALUE"""),"PILAR")</f>
        <v>PILAR</v>
      </c>
      <c r="Q427" s="30" t="str">
        <f ca="1">IFERROR(__xludf.DUMMYFUNCTION("""COMPUTED_VALUE"""),"#N/A")</f>
        <v>#N/A</v>
      </c>
      <c r="R427" s="30" t="str">
        <f ca="1">IFERROR(__xludf.DUMMYFUNCTION("""COMPUTED_VALUE"""),"#N/A")</f>
        <v>#N/A</v>
      </c>
      <c r="S427" s="30" t="str">
        <f ca="1">IFERROR(__xludf.DUMMYFUNCTION("""COMPUTED_VALUE"""),"#N/A")</f>
        <v>#N/A</v>
      </c>
      <c r="T427" s="30" t="str">
        <f ca="1">IFERROR(__xludf.DUMMYFUNCTION("""COMPUTED_VALUE"""),"PILAR")</f>
        <v>PILAR</v>
      </c>
    </row>
    <row r="428" spans="1:20" ht="15.75" customHeight="1" x14ac:dyDescent="0.25">
      <c r="A428" s="30" t="str">
        <f ca="1">IFERROR(__xludf.DUMMYFUNCTION("""COMPUTED_VALUE"""),"50065112201456")</f>
        <v>50065112201456</v>
      </c>
      <c r="B428" s="30" t="str">
        <f ca="1">IFERROR(__xludf.DUMMYFUNCTION("""COMPUTED_VALUE"""),"CENTRO PERIFERICO BARRIO UNION")</f>
        <v>CENTRO PERIFERICO BARRIO UNION</v>
      </c>
      <c r="C428" s="30" t="str">
        <f ca="1">IFERROR(__xludf.DUMMYFUNCTION("""COMPUTED_VALUE"""),"Buenos Aires")</f>
        <v>Buenos Aires</v>
      </c>
      <c r="D428" s="30" t="str">
        <f ca="1">IFERROR(__xludf.DUMMYFUNCTION("""COMPUTED_VALUE"""),"6")</f>
        <v>6</v>
      </c>
      <c r="E428" s="30" t="str">
        <f ca="1">IFERROR(__xludf.DUMMYFUNCTION("""COMPUTED_VALUE"""),"")</f>
        <v/>
      </c>
      <c r="F428" s="29"/>
      <c r="G428" s="29"/>
      <c r="H428" s="30" t="str">
        <f ca="1">IFERROR(__xludf.DUMMYFUNCTION("""COMPUTED_VALUE"""),"inactivo")</f>
        <v>inactivo</v>
      </c>
      <c r="I428" s="29"/>
      <c r="J428" s="29"/>
      <c r="K428" s="29"/>
      <c r="L428" s="30" t="str">
        <f ca="1">IFERROR(__xludf.DUMMYFUNCTION("""COMPUTED_VALUE"""),"No")</f>
        <v>No</v>
      </c>
      <c r="M428" s="30" t="str">
        <f ca="1">IFERROR(__xludf.DUMMYFUNCTION("""COMPUTED_VALUE"""),"6511020000")</f>
        <v>6511020000</v>
      </c>
      <c r="N428" s="30" t="str">
        <f ca="1">IFERROR(__xludf.DUMMYFUNCTION("""COMPUTED_VALUE"""),"MAIPU")</f>
        <v>MAIPU</v>
      </c>
      <c r="O428" s="30" t="str">
        <f ca="1">IFERROR(__xludf.DUMMYFUNCTION("""COMPUTED_VALUE"""),"6511")</f>
        <v>6511</v>
      </c>
      <c r="P428" s="30" t="str">
        <f ca="1">IFERROR(__xludf.DUMMYFUNCTION("""COMPUTED_VALUE"""),"MAIPÚ")</f>
        <v>MAIPÚ</v>
      </c>
      <c r="Q428" s="30" t="str">
        <f ca="1">IFERROR(__xludf.DUMMYFUNCTION("""COMPUTED_VALUE"""),"-36.868614")</f>
        <v>-36.868614</v>
      </c>
      <c r="R428" s="30" t="str">
        <f ca="1">IFERROR(__xludf.DUMMYFUNCTION("""COMPUTED_VALUE"""),"-57.875712")</f>
        <v>-57.875712</v>
      </c>
      <c r="S428" s="30" t="str">
        <f ca="1">IFERROR(__xludf.DUMMYFUNCTION("""COMPUTED_VALUE"""),"Municipal")</f>
        <v>Municipal</v>
      </c>
      <c r="T428" s="30" t="str">
        <f ca="1">IFERROR(__xludf.DUMMYFUNCTION("""COMPUTED_VALUE"""),"MAIPÚ")</f>
        <v>MAIPÚ</v>
      </c>
    </row>
    <row r="429" spans="1:20" ht="15.75" customHeight="1" x14ac:dyDescent="0.25">
      <c r="A429" s="30" t="str">
        <f ca="1">IFERROR(__xludf.DUMMYFUNCTION("""COMPUTED_VALUE"""),"CI50068402202997")</f>
        <v>CI50068402202997</v>
      </c>
      <c r="B429" s="30" t="str">
        <f ca="1">IFERROR(__xludf.DUMMYFUNCTION("""COMPUTED_VALUE"""),"PILOTO DEL CISI - MORENO")</f>
        <v>PILOTO DEL CISI - MORENO</v>
      </c>
      <c r="C429" s="30" t="str">
        <f ca="1">IFERROR(__xludf.DUMMYFUNCTION("""COMPUTED_VALUE"""),"Buenos Aires")</f>
        <v>Buenos Aires</v>
      </c>
      <c r="D429" s="30" t="str">
        <f ca="1">IFERROR(__xludf.DUMMYFUNCTION("""COMPUTED_VALUE"""),"6")</f>
        <v>6</v>
      </c>
      <c r="E429" s="30" t="str">
        <f ca="1">IFERROR(__xludf.DUMMYFUNCTION("""COMPUTED_VALUE"""),"")</f>
        <v/>
      </c>
      <c r="F429" s="30" t="str">
        <f ca="1">IFERROR(__xludf.DUMMYFUNCTION("""COMPUTED_VALUE"""),"50065112201456")</f>
        <v>50065112201456</v>
      </c>
      <c r="G429" s="29"/>
      <c r="H429" s="30" t="str">
        <f ca="1">IFERROR(__xludf.DUMMYFUNCTION("""COMPUTED_VALUE"""),"inactivo")</f>
        <v>inactivo</v>
      </c>
      <c r="I429" s="29"/>
      <c r="J429" s="29"/>
      <c r="K429" s="29"/>
      <c r="L429" s="30" t="str">
        <f ca="1">IFERROR(__xludf.DUMMYFUNCTION("""COMPUTED_VALUE"""),"No")</f>
        <v>No</v>
      </c>
      <c r="M429" s="30" t="str">
        <f ca="1">IFERROR(__xludf.DUMMYFUNCTION("""COMPUTED_VALUE"""),"#N/A")</f>
        <v>#N/A</v>
      </c>
      <c r="N429" s="30" t="str">
        <f ca="1">IFERROR(__xludf.DUMMYFUNCTION("""COMPUTED_VALUE"""),"#N/A")</f>
        <v>#N/A</v>
      </c>
      <c r="O429" s="30" t="str">
        <f ca="1">IFERROR(__xludf.DUMMYFUNCTION("""COMPUTED_VALUE"""),"#N/A")</f>
        <v>#N/A</v>
      </c>
      <c r="P429" s="30" t="str">
        <f ca="1">IFERROR(__xludf.DUMMYFUNCTION("""COMPUTED_VALUE"""),"MORENO")</f>
        <v>MORENO</v>
      </c>
      <c r="Q429" s="30" t="str">
        <f ca="1">IFERROR(__xludf.DUMMYFUNCTION("""COMPUTED_VALUE"""),"#N/A")</f>
        <v>#N/A</v>
      </c>
      <c r="R429" s="30" t="str">
        <f ca="1">IFERROR(__xludf.DUMMYFUNCTION("""COMPUTED_VALUE"""),"#N/A")</f>
        <v>#N/A</v>
      </c>
      <c r="S429" s="30" t="str">
        <f ca="1">IFERROR(__xludf.DUMMYFUNCTION("""COMPUTED_VALUE"""),"#N/A")</f>
        <v>#N/A</v>
      </c>
      <c r="T429" s="30" t="str">
        <f ca="1">IFERROR(__xludf.DUMMYFUNCTION("""COMPUTED_VALUE"""),"MORENO")</f>
        <v>MORENO</v>
      </c>
    </row>
    <row r="430" spans="1:20" ht="15.75" customHeight="1" x14ac:dyDescent="0.25">
      <c r="A430" s="30" t="str">
        <f ca="1">IFERROR(__xludf.DUMMYFUNCTION("""COMPUTED_VALUE"""),"50065112201495")</f>
        <v>50065112201495</v>
      </c>
      <c r="B430" s="30" t="str">
        <f ca="1">IFERROR(__xludf.DUMMYFUNCTION("""COMPUTED_VALUE"""),"CENTRO PERIFERICO VILLA ITALIA")</f>
        <v>CENTRO PERIFERICO VILLA ITALIA</v>
      </c>
      <c r="C430" s="30" t="str">
        <f ca="1">IFERROR(__xludf.DUMMYFUNCTION("""COMPUTED_VALUE"""),"Buenos Aires")</f>
        <v>Buenos Aires</v>
      </c>
      <c r="D430" s="30" t="str">
        <f ca="1">IFERROR(__xludf.DUMMYFUNCTION("""COMPUTED_VALUE"""),"6")</f>
        <v>6</v>
      </c>
      <c r="E430" s="30" t="str">
        <f ca="1">IFERROR(__xludf.DUMMYFUNCTION("""COMPUTED_VALUE"""),"si")</f>
        <v>si</v>
      </c>
      <c r="F430" s="29"/>
      <c r="G430" s="29"/>
      <c r="H430" s="30" t="str">
        <f ca="1">IFERROR(__xludf.DUMMYFUNCTION("""COMPUTED_VALUE"""),"inactivo")</f>
        <v>inactivo</v>
      </c>
      <c r="I430" s="29"/>
      <c r="J430" s="29"/>
      <c r="K430" s="29"/>
      <c r="L430" s="30" t="str">
        <f ca="1">IFERROR(__xludf.DUMMYFUNCTION("""COMPUTED_VALUE"""),"No")</f>
        <v>No</v>
      </c>
      <c r="M430" s="30" t="str">
        <f ca="1">IFERROR(__xludf.DUMMYFUNCTION("""COMPUTED_VALUE"""),"6511020000")</f>
        <v>6511020000</v>
      </c>
      <c r="N430" s="30" t="str">
        <f ca="1">IFERROR(__xludf.DUMMYFUNCTION("""COMPUTED_VALUE"""),"MAIPU")</f>
        <v>MAIPU</v>
      </c>
      <c r="O430" s="30" t="str">
        <f ca="1">IFERROR(__xludf.DUMMYFUNCTION("""COMPUTED_VALUE"""),"6511")</f>
        <v>6511</v>
      </c>
      <c r="P430" s="30" t="str">
        <f ca="1">IFERROR(__xludf.DUMMYFUNCTION("""COMPUTED_VALUE"""),"MAIPÚ")</f>
        <v>MAIPÚ</v>
      </c>
      <c r="Q430" s="30" t="str">
        <f ca="1">IFERROR(__xludf.DUMMYFUNCTION("""COMPUTED_VALUE"""),"-36.86193281")</f>
        <v>-36.86193281</v>
      </c>
      <c r="R430" s="30" t="str">
        <f ca="1">IFERROR(__xludf.DUMMYFUNCTION("""COMPUTED_VALUE"""),"-57.88119507")</f>
        <v>-57.88119507</v>
      </c>
      <c r="S430" s="30" t="str">
        <f ca="1">IFERROR(__xludf.DUMMYFUNCTION("""COMPUTED_VALUE"""),"Municipal")</f>
        <v>Municipal</v>
      </c>
      <c r="T430" s="30" t="str">
        <f ca="1">IFERROR(__xludf.DUMMYFUNCTION("""COMPUTED_VALUE"""),"MAIPÚ")</f>
        <v>MAIPÚ</v>
      </c>
    </row>
    <row r="431" spans="1:20" ht="15.75" customHeight="1" x14ac:dyDescent="0.25">
      <c r="A431" s="30" t="str">
        <f ca="1">IFERROR(__xludf.DUMMYFUNCTION("""COMPUTED_VALUE"""),"CI50068402202996")</f>
        <v>CI50068402202996</v>
      </c>
      <c r="B431" s="30" t="str">
        <f ca="1">IFERROR(__xludf.DUMMYFUNCTION("""COMPUTED_VALUE"""),"UNIDAD SANITARIA PARQUE DEL OESTE - MORENO")</f>
        <v>UNIDAD SANITARIA PARQUE DEL OESTE - MORENO</v>
      </c>
      <c r="C431" s="30" t="str">
        <f ca="1">IFERROR(__xludf.DUMMYFUNCTION("""COMPUTED_VALUE"""),"Buenos Aires")</f>
        <v>Buenos Aires</v>
      </c>
      <c r="D431" s="30" t="str">
        <f ca="1">IFERROR(__xludf.DUMMYFUNCTION("""COMPUTED_VALUE"""),"6")</f>
        <v>6</v>
      </c>
      <c r="E431" s="30" t="str">
        <f ca="1">IFERROR(__xludf.DUMMYFUNCTION("""COMPUTED_VALUE"""),"")</f>
        <v/>
      </c>
      <c r="F431" s="30" t="str">
        <f ca="1">IFERROR(__xludf.DUMMYFUNCTION("""COMPUTED_VALUE"""),"50065112201495")</f>
        <v>50065112201495</v>
      </c>
      <c r="G431" s="29"/>
      <c r="H431" s="30" t="str">
        <f ca="1">IFERROR(__xludf.DUMMYFUNCTION("""COMPUTED_VALUE"""),"inactivo")</f>
        <v>inactivo</v>
      </c>
      <c r="I431" s="30" t="str">
        <f ca="1">IFERROR(__xludf.DUMMYFUNCTION("""COMPUTED_VALUE"""),"Este efector cambió su CI a REFES: 50065602221633")</f>
        <v>Este efector cambió su CI a REFES: 50065602221633</v>
      </c>
      <c r="J431" s="29"/>
      <c r="K431" s="29"/>
      <c r="L431" s="30" t="str">
        <f ca="1">IFERROR(__xludf.DUMMYFUNCTION("""COMPUTED_VALUE"""),"No")</f>
        <v>No</v>
      </c>
      <c r="M431" s="30" t="str">
        <f ca="1">IFERROR(__xludf.DUMMYFUNCTION("""COMPUTED_VALUE"""),"#N/A")</f>
        <v>#N/A</v>
      </c>
      <c r="N431" s="30" t="str">
        <f ca="1">IFERROR(__xludf.DUMMYFUNCTION("""COMPUTED_VALUE"""),"MORENO")</f>
        <v>MORENO</v>
      </c>
      <c r="O431" s="30" t="str">
        <f ca="1">IFERROR(__xludf.DUMMYFUNCTION("""COMPUTED_VALUE"""),"#N/A")</f>
        <v>#N/A</v>
      </c>
      <c r="P431" s="30" t="str">
        <f ca="1">IFERROR(__xludf.DUMMYFUNCTION("""COMPUTED_VALUE"""),"MORENO")</f>
        <v>MORENO</v>
      </c>
      <c r="Q431" s="30" t="str">
        <f ca="1">IFERROR(__xludf.DUMMYFUNCTION("""COMPUTED_VALUE"""),"#N/A")</f>
        <v>#N/A</v>
      </c>
      <c r="R431" s="30" t="str">
        <f ca="1">IFERROR(__xludf.DUMMYFUNCTION("""COMPUTED_VALUE"""),"#N/A")</f>
        <v>#N/A</v>
      </c>
      <c r="S431" s="30" t="str">
        <f ca="1">IFERROR(__xludf.DUMMYFUNCTION("""COMPUTED_VALUE"""),"#N/A")</f>
        <v>#N/A</v>
      </c>
      <c r="T431" s="30" t="str">
        <f ca="1">IFERROR(__xludf.DUMMYFUNCTION("""COMPUTED_VALUE"""),"MORENO")</f>
        <v>MORENO</v>
      </c>
    </row>
    <row r="432" spans="1:20" ht="15.75" customHeight="1" x14ac:dyDescent="0.25">
      <c r="A432" s="30" t="str">
        <f ca="1">IFERROR(__xludf.DUMMYFUNCTION("""COMPUTED_VALUE"""),"50065152201087")</f>
        <v>50065152201087</v>
      </c>
      <c r="B432" s="30" t="str">
        <f ca="1">IFERROR(__xludf.DUMMYFUNCTION("""COMPUTED_VALUE"""),"UNIDAD FUNCIONAL  AMPLIACION DEVOTO")</f>
        <v>UNIDAD FUNCIONAL  AMPLIACION DEVOTO</v>
      </c>
      <c r="C432" s="30" t="str">
        <f ca="1">IFERROR(__xludf.DUMMYFUNCTION("""COMPUTED_VALUE"""),"Buenos Aires")</f>
        <v>Buenos Aires</v>
      </c>
      <c r="D432" s="30" t="str">
        <f ca="1">IFERROR(__xludf.DUMMYFUNCTION("""COMPUTED_VALUE"""),"6")</f>
        <v>6</v>
      </c>
      <c r="E432" s="30" t="str">
        <f ca="1">IFERROR(__xludf.DUMMYFUNCTION("""COMPUTED_VALUE"""),"")</f>
        <v/>
      </c>
      <c r="F432" s="29"/>
      <c r="G432" s="29"/>
      <c r="H432" s="30" t="str">
        <f ca="1">IFERROR(__xludf.DUMMYFUNCTION("""COMPUTED_VALUE"""),"inactivo")</f>
        <v>inactivo</v>
      </c>
      <c r="I432" s="30" t="str">
        <f ca="1">IFERROR(__xludf.DUMMYFUNCTION("""COMPUTED_VALUE"""),"se dio de baja mediante nota enviada el 31-3-2022")</f>
        <v>se dio de baja mediante nota enviada el 31-3-2022</v>
      </c>
      <c r="J432" s="29"/>
      <c r="K432" s="29"/>
      <c r="L432" s="30" t="str">
        <f ca="1">IFERROR(__xludf.DUMMYFUNCTION("""COMPUTED_VALUE"""),"No")</f>
        <v>No</v>
      </c>
      <c r="M432" s="30" t="str">
        <f ca="1">IFERROR(__xludf.DUMMYFUNCTION("""COMPUTED_VALUE"""),"6515010002")</f>
        <v>6515010002</v>
      </c>
      <c r="N432" s="30" t="str">
        <f ca="1">IFERROR(__xludf.DUMMYFUNCTION("""COMPUTED_VALUE"""),"GRAND BOURG")</f>
        <v>GRAND BOURG</v>
      </c>
      <c r="O432" s="30" t="str">
        <f ca="1">IFERROR(__xludf.DUMMYFUNCTION("""COMPUTED_VALUE"""),"6515")</f>
        <v>6515</v>
      </c>
      <c r="P432" s="30" t="str">
        <f ca="1">IFERROR(__xludf.DUMMYFUNCTION("""COMPUTED_VALUE"""),"MALVINAS ARGENTINAS")</f>
        <v>MALVINAS ARGENTINAS</v>
      </c>
      <c r="Q432" s="30" t="str">
        <f ca="1">IFERROR(__xludf.DUMMYFUNCTION("""COMPUTED_VALUE"""),"-34.50299")</f>
        <v>-34.50299</v>
      </c>
      <c r="R432" s="30" t="str">
        <f ca="1">IFERROR(__xludf.DUMMYFUNCTION("""COMPUTED_VALUE"""),"-58.72487211")</f>
        <v>-58.72487211</v>
      </c>
      <c r="S432" s="30" t="str">
        <f ca="1">IFERROR(__xludf.DUMMYFUNCTION("""COMPUTED_VALUE"""),"Municipal")</f>
        <v>Municipal</v>
      </c>
      <c r="T432" s="30" t="str">
        <f ca="1">IFERROR(__xludf.DUMMYFUNCTION("""COMPUTED_VALUE"""),"MALVINAS ARGENTINAS")</f>
        <v>MALVINAS ARGENTINAS</v>
      </c>
    </row>
    <row r="433" spans="1:20" ht="15.75" customHeight="1" x14ac:dyDescent="0.25">
      <c r="A433" s="30" t="str">
        <f ca="1">IFERROR(__xludf.DUMMYFUNCTION("""COMPUTED_VALUE"""),"50065152201191")</f>
        <v>50065152201191</v>
      </c>
      <c r="B433" s="30" t="str">
        <f ca="1">IFERROR(__xludf.DUMMYFUNCTION("""COMPUTED_VALUE"""),"UNIDAD FUNCIONAL ARA GRAL. BELGRANO")</f>
        <v>UNIDAD FUNCIONAL ARA GRAL. BELGRANO</v>
      </c>
      <c r="C433" s="30" t="str">
        <f ca="1">IFERROR(__xludf.DUMMYFUNCTION("""COMPUTED_VALUE"""),"Buenos Aires")</f>
        <v>Buenos Aires</v>
      </c>
      <c r="D433" s="30" t="str">
        <f ca="1">IFERROR(__xludf.DUMMYFUNCTION("""COMPUTED_VALUE"""),"6")</f>
        <v>6</v>
      </c>
      <c r="E433" s="30" t="str">
        <f ca="1">IFERROR(__xludf.DUMMYFUNCTION("""COMPUTED_VALUE"""),"")</f>
        <v/>
      </c>
      <c r="F433" s="29"/>
      <c r="G433" s="29"/>
      <c r="H433" s="30" t="str">
        <f ca="1">IFERROR(__xludf.DUMMYFUNCTION("""COMPUTED_VALUE"""),"activo")</f>
        <v>activo</v>
      </c>
      <c r="I433" s="29"/>
      <c r="J433" s="29"/>
      <c r="K433" s="29"/>
      <c r="L433" s="30" t="str">
        <f ca="1">IFERROR(__xludf.DUMMYFUNCTION("""COMPUTED_VALUE"""),"No")</f>
        <v>No</v>
      </c>
      <c r="M433" s="30" t="str">
        <f ca="1">IFERROR(__xludf.DUMMYFUNCTION("""COMPUTED_VALUE"""),"6515060")</f>
        <v>6515060</v>
      </c>
      <c r="N433" s="30" t="str">
        <f ca="1">IFERROR(__xludf.DUMMYFUNCTION("""COMPUTED_VALUE"""),"PABLO NOGUES")</f>
        <v>PABLO NOGUES</v>
      </c>
      <c r="O433" s="30" t="str">
        <f ca="1">IFERROR(__xludf.DUMMYFUNCTION("""COMPUTED_VALUE"""),"6515")</f>
        <v>6515</v>
      </c>
      <c r="P433" s="30" t="str">
        <f ca="1">IFERROR(__xludf.DUMMYFUNCTION("""COMPUTED_VALUE"""),"MALVINAS ARGENTINAS")</f>
        <v>MALVINAS ARGENTINAS</v>
      </c>
      <c r="Q433" s="30" t="str">
        <f ca="1">IFERROR(__xludf.DUMMYFUNCTION("""COMPUTED_VALUE"""),"-34.4907992")</f>
        <v>-34.4907992</v>
      </c>
      <c r="R433" s="30" t="str">
        <f ca="1">IFERROR(__xludf.DUMMYFUNCTION("""COMPUTED_VALUE"""),"-58.70992684")</f>
        <v>-58.70992684</v>
      </c>
      <c r="S433" s="30" t="str">
        <f ca="1">IFERROR(__xludf.DUMMYFUNCTION("""COMPUTED_VALUE"""),"Municipal")</f>
        <v>Municipal</v>
      </c>
      <c r="T433" s="30" t="str">
        <f ca="1">IFERROR(__xludf.DUMMYFUNCTION("""COMPUTED_VALUE"""),"MALVINAS ARGENTINAS")</f>
        <v>MALVINAS ARGENTINAS</v>
      </c>
    </row>
    <row r="434" spans="1:20" ht="15.75" customHeight="1" x14ac:dyDescent="0.25">
      <c r="A434" s="30" t="str">
        <f ca="1">IFERROR(__xludf.DUMMYFUNCTION("""COMPUTED_VALUE"""),"50065152201197")</f>
        <v>50065152201197</v>
      </c>
      <c r="B434" s="30" t="str">
        <f ca="1">IFERROR(__xludf.DUMMYFUNCTION("""COMPUTED_VALUE"""),"CENTRO DE SALUD BARRIO LA LOMA")</f>
        <v>CENTRO DE SALUD BARRIO LA LOMA</v>
      </c>
      <c r="C434" s="30" t="str">
        <f ca="1">IFERROR(__xludf.DUMMYFUNCTION("""COMPUTED_VALUE"""),"Buenos Aires")</f>
        <v>Buenos Aires</v>
      </c>
      <c r="D434" s="30" t="str">
        <f ca="1">IFERROR(__xludf.DUMMYFUNCTION("""COMPUTED_VALUE"""),"6")</f>
        <v>6</v>
      </c>
      <c r="E434" s="30" t="str">
        <f ca="1">IFERROR(__xludf.DUMMYFUNCTION("""COMPUTED_VALUE"""),"")</f>
        <v/>
      </c>
      <c r="F434" s="29"/>
      <c r="G434" s="29"/>
      <c r="H434" s="30" t="str">
        <f ca="1">IFERROR(__xludf.DUMMYFUNCTION("""COMPUTED_VALUE"""),"inactivo")</f>
        <v>inactivo</v>
      </c>
      <c r="I434" s="30" t="str">
        <f ca="1">IFERROR(__xludf.DUMMYFUNCTION("""COMPUTED_VALUE"""),"se dio de baja mediante nota enviada el 31-3-2022")</f>
        <v>se dio de baja mediante nota enviada el 31-3-2022</v>
      </c>
      <c r="J434" s="29"/>
      <c r="K434" s="29"/>
      <c r="L434" s="30" t="str">
        <f ca="1">IFERROR(__xludf.DUMMYFUNCTION("""COMPUTED_VALUE"""),"No")</f>
        <v>No</v>
      </c>
      <c r="M434" s="30" t="str">
        <f ca="1">IFERROR(__xludf.DUMMYFUNCTION("""COMPUTED_VALUE"""),"6515010008")</f>
        <v>6515010008</v>
      </c>
      <c r="N434" s="30" t="str">
        <f ca="1">IFERROR(__xludf.DUMMYFUNCTION("""COMPUTED_VALUE"""),"VILLA DE MAYO")</f>
        <v>VILLA DE MAYO</v>
      </c>
      <c r="O434" s="30" t="str">
        <f ca="1">IFERROR(__xludf.DUMMYFUNCTION("""COMPUTED_VALUE"""),"6515")</f>
        <v>6515</v>
      </c>
      <c r="P434" s="30" t="str">
        <f ca="1">IFERROR(__xludf.DUMMYFUNCTION("""COMPUTED_VALUE"""),"MALVINAS ARGENTINAS")</f>
        <v>MALVINAS ARGENTINAS</v>
      </c>
      <c r="Q434" s="30" t="str">
        <f ca="1">IFERROR(__xludf.DUMMYFUNCTION("""COMPUTED_VALUE"""),"-34.49157737")</f>
        <v>-34.49157737</v>
      </c>
      <c r="R434" s="30" t="str">
        <f ca="1">IFERROR(__xludf.DUMMYFUNCTION("""COMPUTED_VALUE"""),"-58.66578841")</f>
        <v>-58.66578841</v>
      </c>
      <c r="S434" s="30" t="str">
        <f ca="1">IFERROR(__xludf.DUMMYFUNCTION("""COMPUTED_VALUE"""),"Municipal")</f>
        <v>Municipal</v>
      </c>
      <c r="T434" s="30" t="str">
        <f ca="1">IFERROR(__xludf.DUMMYFUNCTION("""COMPUTED_VALUE"""),"MALVINAS ARGENTINAS")</f>
        <v>MALVINAS ARGENTINAS</v>
      </c>
    </row>
    <row r="435" spans="1:20" ht="15.75" customHeight="1" x14ac:dyDescent="0.25">
      <c r="A435" s="30" t="str">
        <f ca="1">IFERROR(__xludf.DUMMYFUNCTION("""COMPUTED_VALUE"""),"50065152201203")</f>
        <v>50065152201203</v>
      </c>
      <c r="B435" s="30" t="str">
        <f ca="1">IFERROR(__xludf.DUMMYFUNCTION("""COMPUTED_VALUE"""),"UNIDAD FUNCIONAL TENIENTE 1° IBAÑEZ")</f>
        <v>UNIDAD FUNCIONAL TENIENTE 1° IBAÑEZ</v>
      </c>
      <c r="C435" s="30" t="str">
        <f ca="1">IFERROR(__xludf.DUMMYFUNCTION("""COMPUTED_VALUE"""),"Buenos Aires")</f>
        <v>Buenos Aires</v>
      </c>
      <c r="D435" s="30" t="str">
        <f ca="1">IFERROR(__xludf.DUMMYFUNCTION("""COMPUTED_VALUE"""),"6")</f>
        <v>6</v>
      </c>
      <c r="E435" s="30" t="str">
        <f ca="1">IFERROR(__xludf.DUMMYFUNCTION("""COMPUTED_VALUE"""),"")</f>
        <v/>
      </c>
      <c r="F435" s="29"/>
      <c r="G435" s="30" t="str">
        <f ca="1">IFERROR(__xludf.DUMMYFUNCTION("""COMPUTED_VALUE"""),"50066382202419")</f>
        <v>50066382202419</v>
      </c>
      <c r="H435" s="30" t="str">
        <f ca="1">IFERROR(__xludf.DUMMYFUNCTION("""COMPUTED_VALUE"""),"inactivo")</f>
        <v>inactivo</v>
      </c>
      <c r="I435" s="29"/>
      <c r="J435" s="29"/>
      <c r="K435" s="29"/>
      <c r="L435" s="30" t="str">
        <f ca="1">IFERROR(__xludf.DUMMYFUNCTION("""COMPUTED_VALUE"""),"No")</f>
        <v>No</v>
      </c>
      <c r="M435" s="30" t="str">
        <f ca="1">IFERROR(__xludf.DUMMYFUNCTION("""COMPUTED_VALUE"""),"6515010003")</f>
        <v>6515010003</v>
      </c>
      <c r="N435" s="30" t="str">
        <f ca="1">IFERROR(__xludf.DUMMYFUNCTION("""COMPUTED_VALUE"""),"INGENIERO ADOLFO SOURDEAUX")</f>
        <v>INGENIERO ADOLFO SOURDEAUX</v>
      </c>
      <c r="O435" s="30" t="str">
        <f ca="1">IFERROR(__xludf.DUMMYFUNCTION("""COMPUTED_VALUE"""),"6515")</f>
        <v>6515</v>
      </c>
      <c r="P435" s="30" t="str">
        <f ca="1">IFERROR(__xludf.DUMMYFUNCTION("""COMPUTED_VALUE"""),"MALVINAS ARGENTINAS")</f>
        <v>MALVINAS ARGENTINAS</v>
      </c>
      <c r="Q435" s="30" t="str">
        <f ca="1">IFERROR(__xludf.DUMMYFUNCTION("""COMPUTED_VALUE"""),"-34.49907219")</f>
        <v>-34.49907219</v>
      </c>
      <c r="R435" s="30" t="str">
        <f ca="1">IFERROR(__xludf.DUMMYFUNCTION("""COMPUTED_VALUE"""),"-58.65618825")</f>
        <v>-58.65618825</v>
      </c>
      <c r="S435" s="30" t="str">
        <f ca="1">IFERROR(__xludf.DUMMYFUNCTION("""COMPUTED_VALUE"""),"Municipal")</f>
        <v>Municipal</v>
      </c>
      <c r="T435" s="30" t="str">
        <f ca="1">IFERROR(__xludf.DUMMYFUNCTION("""COMPUTED_VALUE"""),"MALVINAS ARGENTINAS")</f>
        <v>MALVINAS ARGENTINAS</v>
      </c>
    </row>
    <row r="436" spans="1:20" ht="15.75" customHeight="1" x14ac:dyDescent="0.25">
      <c r="A436" s="30" t="str">
        <f ca="1">IFERROR(__xludf.DUMMYFUNCTION("""COMPUTED_VALUE"""),"50066382202419")</f>
        <v>50066382202419</v>
      </c>
      <c r="B436" s="30" t="str">
        <f ca="1">IFERROR(__xludf.DUMMYFUNCTION("""COMPUTED_VALUE"""),"UNIDAD SANITARIA LOS CACHORROS")</f>
        <v>UNIDAD SANITARIA LOS CACHORROS</v>
      </c>
      <c r="C436" s="30" t="str">
        <f ca="1">IFERROR(__xludf.DUMMYFUNCTION("""COMPUTED_VALUE"""),"Buenos Aires")</f>
        <v>Buenos Aires</v>
      </c>
      <c r="D436" s="30" t="str">
        <f ca="1">IFERROR(__xludf.DUMMYFUNCTION("""COMPUTED_VALUE"""),"6")</f>
        <v>6</v>
      </c>
      <c r="E436" s="30" t="str">
        <f ca="1">IFERROR(__xludf.DUMMYFUNCTION("""COMPUTED_VALUE"""),"")</f>
        <v/>
      </c>
      <c r="F436" s="30" t="str">
        <f ca="1">IFERROR(__xludf.DUMMYFUNCTION("""COMPUTED_VALUE"""),"50065152201203")</f>
        <v>50065152201203</v>
      </c>
      <c r="G436" s="29"/>
      <c r="H436" s="30" t="str">
        <f ca="1">IFERROR(__xludf.DUMMYFUNCTION("""COMPUTED_VALUE"""),"activo")</f>
        <v>activo</v>
      </c>
      <c r="I436" s="29"/>
      <c r="J436" s="29"/>
      <c r="K436" s="29"/>
      <c r="L436" s="30" t="str">
        <f ca="1">IFERROR(__xludf.DUMMYFUNCTION("""COMPUTED_VALUE"""),"No")</f>
        <v>No</v>
      </c>
      <c r="M436" s="30" t="str">
        <f ca="1">IFERROR(__xludf.DUMMYFUNCTION("""COMPUTED_VALUE"""),"6638040001")</f>
        <v>6638040001</v>
      </c>
      <c r="N436" s="30" t="str">
        <f ca="1">IFERROR(__xludf.DUMMYFUNCTION("""COMPUTED_VALUE"""),"DEL VISO")</f>
        <v>DEL VISO</v>
      </c>
      <c r="O436" s="30" t="str">
        <f ca="1">IFERROR(__xludf.DUMMYFUNCTION("""COMPUTED_VALUE"""),"6638")</f>
        <v>6638</v>
      </c>
      <c r="P436" s="30" t="str">
        <f ca="1">IFERROR(__xludf.DUMMYFUNCTION("""COMPUTED_VALUE"""),"PILAR")</f>
        <v>PILAR</v>
      </c>
      <c r="Q436" s="30" t="str">
        <f ca="1">IFERROR(__xludf.DUMMYFUNCTION("""COMPUTED_VALUE"""),"-34.432942")</f>
        <v>-34.432942</v>
      </c>
      <c r="R436" s="30" t="str">
        <f ca="1">IFERROR(__xludf.DUMMYFUNCTION("""COMPUTED_VALUE"""),"-58.787566")</f>
        <v>-58.787566</v>
      </c>
      <c r="S436" s="30" t="str">
        <f ca="1">IFERROR(__xludf.DUMMYFUNCTION("""COMPUTED_VALUE"""),"Municipal")</f>
        <v>Municipal</v>
      </c>
      <c r="T436" s="30" t="str">
        <f ca="1">IFERROR(__xludf.DUMMYFUNCTION("""COMPUTED_VALUE"""),"PILAR")</f>
        <v>PILAR</v>
      </c>
    </row>
    <row r="437" spans="1:20" ht="15.75" customHeight="1" x14ac:dyDescent="0.25">
      <c r="A437" s="30" t="str">
        <f ca="1">IFERROR(__xludf.DUMMYFUNCTION("""COMPUTED_VALUE"""),"50065152201393")</f>
        <v>50065152201393</v>
      </c>
      <c r="B437" s="30" t="str">
        <f ca="1">IFERROR(__xludf.DUMMYFUNCTION("""COMPUTED_VALUE"""),"UNIDAD FUNCIONAL 8 DE OCTUBRE")</f>
        <v>UNIDAD FUNCIONAL 8 DE OCTUBRE</v>
      </c>
      <c r="C437" s="30" t="str">
        <f ca="1">IFERROR(__xludf.DUMMYFUNCTION("""COMPUTED_VALUE"""),"Buenos Aires")</f>
        <v>Buenos Aires</v>
      </c>
      <c r="D437" s="30" t="str">
        <f ca="1">IFERROR(__xludf.DUMMYFUNCTION("""COMPUTED_VALUE"""),"6")</f>
        <v>6</v>
      </c>
      <c r="E437" s="30" t="str">
        <f ca="1">IFERROR(__xludf.DUMMYFUNCTION("""COMPUTED_VALUE"""),"")</f>
        <v/>
      </c>
      <c r="F437" s="29"/>
      <c r="G437" s="29"/>
      <c r="H437" s="30" t="str">
        <f ca="1">IFERROR(__xludf.DUMMYFUNCTION("""COMPUTED_VALUE"""),"inactivo")</f>
        <v>inactivo</v>
      </c>
      <c r="I437" s="29"/>
      <c r="J437" s="29"/>
      <c r="K437" s="29"/>
      <c r="L437" s="30" t="str">
        <f ca="1">IFERROR(__xludf.DUMMYFUNCTION("""COMPUTED_VALUE"""),"No")</f>
        <v>No</v>
      </c>
      <c r="M437" s="30" t="str">
        <f ca="1">IFERROR(__xludf.DUMMYFUNCTION("""COMPUTED_VALUE"""),"6515010008")</f>
        <v>6515010008</v>
      </c>
      <c r="N437" s="30" t="str">
        <f ca="1">IFERROR(__xludf.DUMMYFUNCTION("""COMPUTED_VALUE"""),"VILLA DE MAYO")</f>
        <v>VILLA DE MAYO</v>
      </c>
      <c r="O437" s="30" t="str">
        <f ca="1">IFERROR(__xludf.DUMMYFUNCTION("""COMPUTED_VALUE"""),"6515")</f>
        <v>6515</v>
      </c>
      <c r="P437" s="30" t="str">
        <f ca="1">IFERROR(__xludf.DUMMYFUNCTION("""COMPUTED_VALUE"""),"MALVINAS ARGENTINAS")</f>
        <v>MALVINAS ARGENTINAS</v>
      </c>
      <c r="Q437" s="30" t="str">
        <f ca="1">IFERROR(__xludf.DUMMYFUNCTION("""COMPUTED_VALUE"""),"-34.51766467")</f>
        <v>-34.51766467</v>
      </c>
      <c r="R437" s="30" t="str">
        <f ca="1">IFERROR(__xludf.DUMMYFUNCTION("""COMPUTED_VALUE"""),"-58.68319645")</f>
        <v>-58.68319645</v>
      </c>
      <c r="S437" s="30" t="str">
        <f ca="1">IFERROR(__xludf.DUMMYFUNCTION("""COMPUTED_VALUE"""),"Municipal")</f>
        <v>Municipal</v>
      </c>
      <c r="T437" s="30" t="str">
        <f ca="1">IFERROR(__xludf.DUMMYFUNCTION("""COMPUTED_VALUE"""),"MALVINAS ARGENTINAS")</f>
        <v>MALVINAS ARGENTINAS</v>
      </c>
    </row>
    <row r="438" spans="1:20" ht="15.75" customHeight="1" x14ac:dyDescent="0.25">
      <c r="A438" s="30" t="str">
        <f ca="1">IFERROR(__xludf.DUMMYFUNCTION("""COMPUTED_VALUE"""),"50065152201586")</f>
        <v>50065152201586</v>
      </c>
      <c r="B438" s="30" t="str">
        <f ca="1">IFERROR(__xludf.DUMMYFUNCTION("""COMPUTED_VALUE"""),"UNIDAD FUNCIONAL DELEGACION VILLA DE MAYO")</f>
        <v>UNIDAD FUNCIONAL DELEGACION VILLA DE MAYO</v>
      </c>
      <c r="C438" s="30" t="str">
        <f ca="1">IFERROR(__xludf.DUMMYFUNCTION("""COMPUTED_VALUE"""),"Buenos Aires")</f>
        <v>Buenos Aires</v>
      </c>
      <c r="D438" s="30" t="str">
        <f ca="1">IFERROR(__xludf.DUMMYFUNCTION("""COMPUTED_VALUE"""),"6")</f>
        <v>6</v>
      </c>
      <c r="E438" s="30" t="str">
        <f ca="1">IFERROR(__xludf.DUMMYFUNCTION("""COMPUTED_VALUE"""),"")</f>
        <v/>
      </c>
      <c r="F438" s="29"/>
      <c r="G438" s="30" t="str">
        <f ca="1">IFERROR(__xludf.DUMMYFUNCTION("""COMPUTED_VALUE"""),"50066382202437")</f>
        <v>50066382202437</v>
      </c>
      <c r="H438" s="30" t="str">
        <f ca="1">IFERROR(__xludf.DUMMYFUNCTION("""COMPUTED_VALUE"""),"inactivo")</f>
        <v>inactivo</v>
      </c>
      <c r="I438" s="29"/>
      <c r="J438" s="29"/>
      <c r="K438" s="29"/>
      <c r="L438" s="30" t="str">
        <f ca="1">IFERROR(__xludf.DUMMYFUNCTION("""COMPUTED_VALUE"""),"No")</f>
        <v>No</v>
      </c>
      <c r="M438" s="30" t="str">
        <f ca="1">IFERROR(__xludf.DUMMYFUNCTION("""COMPUTED_VALUE"""),"6515010008")</f>
        <v>6515010008</v>
      </c>
      <c r="N438" s="30" t="str">
        <f ca="1">IFERROR(__xludf.DUMMYFUNCTION("""COMPUTED_VALUE"""),"VILLA DE MAYO")</f>
        <v>VILLA DE MAYO</v>
      </c>
      <c r="O438" s="30" t="str">
        <f ca="1">IFERROR(__xludf.DUMMYFUNCTION("""COMPUTED_VALUE"""),"6515")</f>
        <v>6515</v>
      </c>
      <c r="P438" s="30" t="str">
        <f ca="1">IFERROR(__xludf.DUMMYFUNCTION("""COMPUTED_VALUE"""),"MALVINAS ARGENTINAS")</f>
        <v>MALVINAS ARGENTINAS</v>
      </c>
      <c r="Q438" s="30" t="str">
        <f ca="1">IFERROR(__xludf.DUMMYFUNCTION("""COMPUTED_VALUE"""),"-34.5237245")</f>
        <v>-34.5237245</v>
      </c>
      <c r="R438" s="30" t="str">
        <f ca="1">IFERROR(__xludf.DUMMYFUNCTION("""COMPUTED_VALUE"""),"-58.70782614")</f>
        <v>-58.70782614</v>
      </c>
      <c r="S438" s="30" t="str">
        <f ca="1">IFERROR(__xludf.DUMMYFUNCTION("""COMPUTED_VALUE"""),"Municipal")</f>
        <v>Municipal</v>
      </c>
      <c r="T438" s="30" t="str">
        <f ca="1">IFERROR(__xludf.DUMMYFUNCTION("""COMPUTED_VALUE"""),"MALVINAS ARGENTINAS")</f>
        <v>MALVINAS ARGENTINAS</v>
      </c>
    </row>
    <row r="439" spans="1:20" ht="15.75" customHeight="1" x14ac:dyDescent="0.25">
      <c r="A439" s="30" t="str">
        <f ca="1">IFERROR(__xludf.DUMMYFUNCTION("""COMPUTED_VALUE"""),"50066382202437")</f>
        <v>50066382202437</v>
      </c>
      <c r="B439" s="30" t="str">
        <f ca="1">IFERROR(__xludf.DUMMYFUNCTION("""COMPUTED_VALUE"""),"UNIDAD SANITARIA MANZONE")</f>
        <v>UNIDAD SANITARIA MANZONE</v>
      </c>
      <c r="C439" s="30" t="str">
        <f ca="1">IFERROR(__xludf.DUMMYFUNCTION("""COMPUTED_VALUE"""),"Buenos Aires")</f>
        <v>Buenos Aires</v>
      </c>
      <c r="D439" s="30" t="str">
        <f ca="1">IFERROR(__xludf.DUMMYFUNCTION("""COMPUTED_VALUE"""),"6")</f>
        <v>6</v>
      </c>
      <c r="E439" s="30" t="str">
        <f ca="1">IFERROR(__xludf.DUMMYFUNCTION("""COMPUTED_VALUE"""),"")</f>
        <v/>
      </c>
      <c r="F439" s="30" t="str">
        <f ca="1">IFERROR(__xludf.DUMMYFUNCTION("""COMPUTED_VALUE"""),"50065152201586")</f>
        <v>50065152201586</v>
      </c>
      <c r="G439" s="29"/>
      <c r="H439" s="30" t="str">
        <f ca="1">IFERROR(__xludf.DUMMYFUNCTION("""COMPUTED_VALUE"""),"activo")</f>
        <v>activo</v>
      </c>
      <c r="I439" s="29"/>
      <c r="J439" s="29"/>
      <c r="K439" s="29"/>
      <c r="L439" s="30" t="str">
        <f ca="1">IFERROR(__xludf.DUMMYFUNCTION("""COMPUTED_VALUE"""),"No")</f>
        <v>No</v>
      </c>
      <c r="M439" s="30" t="str">
        <f ca="1">IFERROR(__xludf.DUMMYFUNCTION("""COMPUTED_VALUE"""),"6638040006")</f>
        <v>6638040006</v>
      </c>
      <c r="N439" s="30" t="str">
        <f ca="1">IFERROR(__xludf.DUMMYFUNCTION("""COMPUTED_VALUE"""),"MANZONE")</f>
        <v>MANZONE</v>
      </c>
      <c r="O439" s="30" t="str">
        <f ca="1">IFERROR(__xludf.DUMMYFUNCTION("""COMPUTED_VALUE"""),"6638")</f>
        <v>6638</v>
      </c>
      <c r="P439" s="30" t="str">
        <f ca="1">IFERROR(__xludf.DUMMYFUNCTION("""COMPUTED_VALUE"""),"PILAR")</f>
        <v>PILAR</v>
      </c>
      <c r="Q439" s="30" t="str">
        <f ca="1">IFERROR(__xludf.DUMMYFUNCTION("""COMPUTED_VALUE"""),"-34.48996796")</f>
        <v>-34.48996796</v>
      </c>
      <c r="R439" s="30" t="str">
        <f ca="1">IFERROR(__xludf.DUMMYFUNCTION("""COMPUTED_VALUE"""),"-58.87698555")</f>
        <v>-58.87698555</v>
      </c>
      <c r="S439" s="30" t="str">
        <f ca="1">IFERROR(__xludf.DUMMYFUNCTION("""COMPUTED_VALUE"""),"Municipal")</f>
        <v>Municipal</v>
      </c>
      <c r="T439" s="30" t="str">
        <f ca="1">IFERROR(__xludf.DUMMYFUNCTION("""COMPUTED_VALUE"""),"PILAR")</f>
        <v>PILAR</v>
      </c>
    </row>
    <row r="440" spans="1:20" ht="15.75" customHeight="1" x14ac:dyDescent="0.25">
      <c r="A440" s="30" t="str">
        <f ca="1">IFERROR(__xludf.DUMMYFUNCTION("""COMPUTED_VALUE"""),"50065152202014")</f>
        <v>50065152202014</v>
      </c>
      <c r="B440" s="30" t="str">
        <f ca="1">IFERROR(__xludf.DUMMYFUNCTION("""COMPUTED_VALUE"""),"UNIDAD FUNCIONAL BARRIO PANAMERICANO")</f>
        <v>UNIDAD FUNCIONAL BARRIO PANAMERICANO</v>
      </c>
      <c r="C440" s="30" t="str">
        <f ca="1">IFERROR(__xludf.DUMMYFUNCTION("""COMPUTED_VALUE"""),"Buenos Aires")</f>
        <v>Buenos Aires</v>
      </c>
      <c r="D440" s="30" t="str">
        <f ca="1">IFERROR(__xludf.DUMMYFUNCTION("""COMPUTED_VALUE"""),"6")</f>
        <v>6</v>
      </c>
      <c r="E440" s="30" t="str">
        <f ca="1">IFERROR(__xludf.DUMMYFUNCTION("""COMPUTED_VALUE"""),"")</f>
        <v/>
      </c>
      <c r="F440" s="29"/>
      <c r="G440" s="30" t="str">
        <f ca="1">IFERROR(__xludf.DUMMYFUNCTION("""COMPUTED_VALUE"""),"50064972201255")</f>
        <v>50064972201255</v>
      </c>
      <c r="H440" s="30" t="str">
        <f ca="1">IFERROR(__xludf.DUMMYFUNCTION("""COMPUTED_VALUE"""),"inactivo")</f>
        <v>inactivo</v>
      </c>
      <c r="I440" s="29"/>
      <c r="J440" s="29"/>
      <c r="K440" s="29"/>
      <c r="L440" s="30" t="str">
        <f ca="1">IFERROR(__xludf.DUMMYFUNCTION("""COMPUTED_VALUE"""),"No")</f>
        <v>No</v>
      </c>
      <c r="M440" s="30" t="str">
        <f ca="1">IFERROR(__xludf.DUMMYFUNCTION("""COMPUTED_VALUE"""),"6515060")</f>
        <v>6515060</v>
      </c>
      <c r="N440" s="30" t="str">
        <f ca="1">IFERROR(__xludf.DUMMYFUNCTION("""COMPUTED_VALUE"""),"PABLO NOGUES")</f>
        <v>PABLO NOGUES</v>
      </c>
      <c r="O440" s="30" t="str">
        <f ca="1">IFERROR(__xludf.DUMMYFUNCTION("""COMPUTED_VALUE"""),"6515")</f>
        <v>6515</v>
      </c>
      <c r="P440" s="30" t="str">
        <f ca="1">IFERROR(__xludf.DUMMYFUNCTION("""COMPUTED_VALUE"""),"MALVINAS ARGENTINAS")</f>
        <v>MALVINAS ARGENTINAS</v>
      </c>
      <c r="Q440" s="30" t="str">
        <f ca="1">IFERROR(__xludf.DUMMYFUNCTION("""COMPUTED_VALUE"""),"-34.4717509")</f>
        <v>-34.4717509</v>
      </c>
      <c r="R440" s="30" t="str">
        <f ca="1">IFERROR(__xludf.DUMMYFUNCTION("""COMPUTED_VALUE"""),"-58.6897433")</f>
        <v>-58.6897433</v>
      </c>
      <c r="S440" s="30" t="str">
        <f ca="1">IFERROR(__xludf.DUMMYFUNCTION("""COMPUTED_VALUE"""),"Municipal")</f>
        <v>Municipal</v>
      </c>
      <c r="T440" s="30" t="str">
        <f ca="1">IFERROR(__xludf.DUMMYFUNCTION("""COMPUTED_VALUE"""),"MALVINAS ARGENTINAS")</f>
        <v>MALVINAS ARGENTINAS</v>
      </c>
    </row>
    <row r="441" spans="1:20" ht="15.75" customHeight="1" x14ac:dyDescent="0.25">
      <c r="A441" s="30" t="str">
        <f ca="1">IFERROR(__xludf.DUMMYFUNCTION("""COMPUTED_VALUE"""),"50064972201255")</f>
        <v>50064972201255</v>
      </c>
      <c r="B441" s="30" t="str">
        <f ca="1">IFERROR(__xludf.DUMMYFUNCTION("""COMPUTED_VALUE"""),"CENTRO DE SALUD LA LOMA")</f>
        <v>CENTRO DE SALUD LA LOMA</v>
      </c>
      <c r="C441" s="30" t="str">
        <f ca="1">IFERROR(__xludf.DUMMYFUNCTION("""COMPUTED_VALUE"""),"Buenos Aires")</f>
        <v>Buenos Aires</v>
      </c>
      <c r="D441" s="30" t="str">
        <f ca="1">IFERROR(__xludf.DUMMYFUNCTION("""COMPUTED_VALUE"""),"6")</f>
        <v>6</v>
      </c>
      <c r="E441" s="30" t="str">
        <f ca="1">IFERROR(__xludf.DUMMYFUNCTION("""COMPUTED_VALUE"""),"")</f>
        <v/>
      </c>
      <c r="F441" s="30" t="str">
        <f ca="1">IFERROR(__xludf.DUMMYFUNCTION("""COMPUTED_VALUE"""),"50065152202014")</f>
        <v>50065152202014</v>
      </c>
      <c r="G441" s="29"/>
      <c r="H441" s="30" t="str">
        <f ca="1">IFERROR(__xludf.DUMMYFUNCTION("""COMPUTED_VALUE"""),"inactivo")</f>
        <v>inactivo</v>
      </c>
      <c r="I441" s="30" t="str">
        <f ca="1">IFERROR(__xludf.DUMMYFUNCTION("""COMPUTED_VALUE"""),"se dio de baja durante la adenda al CAI 2020. cambio su codigo REFEs a CI50066382299991. sigue siendo el mismo efector")</f>
        <v>se dio de baja durante la adenda al CAI 2020. cambio su codigo REFEs a CI50066382299991. sigue siendo el mismo efector</v>
      </c>
      <c r="J441" s="29"/>
      <c r="K441" s="29"/>
      <c r="L441" s="30" t="str">
        <f ca="1">IFERROR(__xludf.DUMMYFUNCTION("""COMPUTED_VALUE"""),"No")</f>
        <v>No</v>
      </c>
      <c r="M441" s="30" t="str">
        <f ca="1">IFERROR(__xludf.DUMMYFUNCTION("""COMPUTED_VALUE"""),"6497060000")</f>
        <v>6497060000</v>
      </c>
      <c r="N441" s="30" t="str">
        <f ca="1">IFERROR(__xludf.DUMMYFUNCTION("""COMPUTED_VALUE"""),"LUJAN")</f>
        <v>LUJAN</v>
      </c>
      <c r="O441" s="30" t="str">
        <f ca="1">IFERROR(__xludf.DUMMYFUNCTION("""COMPUTED_VALUE"""),"6497")</f>
        <v>6497</v>
      </c>
      <c r="P441" s="30" t="str">
        <f ca="1">IFERROR(__xludf.DUMMYFUNCTION("""COMPUTED_VALUE"""),"LUJÁN")</f>
        <v>LUJÁN</v>
      </c>
      <c r="Q441" s="30" t="str">
        <f ca="1">IFERROR(__xludf.DUMMYFUNCTION("""COMPUTED_VALUE"""),"-34.5517937")</f>
        <v>-34.5517937</v>
      </c>
      <c r="R441" s="30" t="str">
        <f ca="1">IFERROR(__xludf.DUMMYFUNCTION("""COMPUTED_VALUE"""),"-59.11937356")</f>
        <v>-59.11937356</v>
      </c>
      <c r="S441" s="30" t="str">
        <f ca="1">IFERROR(__xludf.DUMMYFUNCTION("""COMPUTED_VALUE"""),"Municipal")</f>
        <v>Municipal</v>
      </c>
      <c r="T441" s="30" t="str">
        <f ca="1">IFERROR(__xludf.DUMMYFUNCTION("""COMPUTED_VALUE"""),"LUJÁN")</f>
        <v>LUJÁN</v>
      </c>
    </row>
    <row r="442" spans="1:20" ht="15.75" customHeight="1" x14ac:dyDescent="0.25">
      <c r="A442" s="30" t="str">
        <f ca="1">IFERROR(__xludf.DUMMYFUNCTION("""COMPUTED_VALUE"""),"50065152202085")</f>
        <v>50065152202085</v>
      </c>
      <c r="B442" s="30" t="str">
        <f ca="1">IFERROR(__xludf.DUMMYFUNCTION("""COMPUTED_VALUE"""),"UNIDAD FUNCIONAL PUEBLO CHICO BARRIO EL SOL")</f>
        <v>UNIDAD FUNCIONAL PUEBLO CHICO BARRIO EL SOL</v>
      </c>
      <c r="C442" s="30" t="str">
        <f ca="1">IFERROR(__xludf.DUMMYFUNCTION("""COMPUTED_VALUE"""),"Buenos Aires")</f>
        <v>Buenos Aires</v>
      </c>
      <c r="D442" s="30" t="str">
        <f ca="1">IFERROR(__xludf.DUMMYFUNCTION("""COMPUTED_VALUE"""),"6")</f>
        <v>6</v>
      </c>
      <c r="E442" s="30" t="str">
        <f ca="1">IFERROR(__xludf.DUMMYFUNCTION("""COMPUTED_VALUE"""),"")</f>
        <v/>
      </c>
      <c r="F442" s="29"/>
      <c r="G442" s="29"/>
      <c r="H442" s="30" t="str">
        <f ca="1">IFERROR(__xludf.DUMMYFUNCTION("""COMPUTED_VALUE"""),"activo")</f>
        <v>activo</v>
      </c>
      <c r="I442" s="29"/>
      <c r="J442" s="29"/>
      <c r="K442" s="29"/>
      <c r="L442" s="30" t="str">
        <f ca="1">IFERROR(__xludf.DUMMYFUNCTION("""COMPUTED_VALUE"""),"No")</f>
        <v>No</v>
      </c>
      <c r="M442" s="30" t="str">
        <f ca="1">IFERROR(__xludf.DUMMYFUNCTION("""COMPUTED_VALUE"""),"6515010005")</f>
        <v>6515010005</v>
      </c>
      <c r="N442" s="30" t="str">
        <f ca="1">IFERROR(__xludf.DUMMYFUNCTION("""COMPUTED_VALUE"""),"LOS POLVORINES")</f>
        <v>LOS POLVORINES</v>
      </c>
      <c r="O442" s="30" t="str">
        <f ca="1">IFERROR(__xludf.DUMMYFUNCTION("""COMPUTED_VALUE"""),"6515")</f>
        <v>6515</v>
      </c>
      <c r="P442" s="30" t="str">
        <f ca="1">IFERROR(__xludf.DUMMYFUNCTION("""COMPUTED_VALUE"""),"MALVINAS ARGENTINAS")</f>
        <v>MALVINAS ARGENTINAS</v>
      </c>
      <c r="Q442" s="30" t="str">
        <f ca="1">IFERROR(__xludf.DUMMYFUNCTION("""COMPUTED_VALUE"""),"-34.50724535")</f>
        <v>-34.50724535</v>
      </c>
      <c r="R442" s="30" t="str">
        <f ca="1">IFERROR(__xludf.DUMMYFUNCTION("""COMPUTED_VALUE"""),"-58.70568895")</f>
        <v>-58.70568895</v>
      </c>
      <c r="S442" s="30" t="str">
        <f ca="1">IFERROR(__xludf.DUMMYFUNCTION("""COMPUTED_VALUE"""),"Municipal")</f>
        <v>Municipal</v>
      </c>
      <c r="T442" s="30" t="str">
        <f ca="1">IFERROR(__xludf.DUMMYFUNCTION("""COMPUTED_VALUE"""),"MALVINAS ARGENTINAS")</f>
        <v>MALVINAS ARGENTINAS</v>
      </c>
    </row>
    <row r="443" spans="1:20" ht="15.75" customHeight="1" x14ac:dyDescent="0.25">
      <c r="A443" s="30" t="str">
        <f ca="1">IFERROR(__xludf.DUMMYFUNCTION("""COMPUTED_VALUE"""),"50065152202272")</f>
        <v>50065152202272</v>
      </c>
      <c r="B443" s="30" t="str">
        <f ca="1">IFERROR(__xludf.DUMMYFUNCTION("""COMPUTED_VALUE"""),"UNIDAD FUNCIONAL EL PRIMAVERAL")</f>
        <v>UNIDAD FUNCIONAL EL PRIMAVERAL</v>
      </c>
      <c r="C443" s="30" t="str">
        <f ca="1">IFERROR(__xludf.DUMMYFUNCTION("""COMPUTED_VALUE"""),"Buenos Aires")</f>
        <v>Buenos Aires</v>
      </c>
      <c r="D443" s="30" t="str">
        <f ca="1">IFERROR(__xludf.DUMMYFUNCTION("""COMPUTED_VALUE"""),"6")</f>
        <v>6</v>
      </c>
      <c r="E443" s="30" t="str">
        <f ca="1">IFERROR(__xludf.DUMMYFUNCTION("""COMPUTED_VALUE"""),"")</f>
        <v/>
      </c>
      <c r="F443" s="29"/>
      <c r="G443" s="29"/>
      <c r="H443" s="30" t="str">
        <f ca="1">IFERROR(__xludf.DUMMYFUNCTION("""COMPUTED_VALUE"""),"activo")</f>
        <v>activo</v>
      </c>
      <c r="I443" s="29"/>
      <c r="J443" s="29"/>
      <c r="K443" s="29"/>
      <c r="L443" s="30" t="str">
        <f ca="1">IFERROR(__xludf.DUMMYFUNCTION("""COMPUTED_VALUE"""),"No")</f>
        <v>No</v>
      </c>
      <c r="M443" s="30" t="str">
        <f ca="1">IFERROR(__xludf.DUMMYFUNCTION("""COMPUTED_VALUE"""),"6515010002")</f>
        <v>6515010002</v>
      </c>
      <c r="N443" s="30" t="str">
        <f ca="1">IFERROR(__xludf.DUMMYFUNCTION("""COMPUTED_VALUE"""),"GRAND BOURG")</f>
        <v>GRAND BOURG</v>
      </c>
      <c r="O443" s="30" t="str">
        <f ca="1">IFERROR(__xludf.DUMMYFUNCTION("""COMPUTED_VALUE"""),"6515")</f>
        <v>6515</v>
      </c>
      <c r="P443" s="30" t="str">
        <f ca="1">IFERROR(__xludf.DUMMYFUNCTION("""COMPUTED_VALUE"""),"MALVINAS ARGENTINAS")</f>
        <v>MALVINAS ARGENTINAS</v>
      </c>
      <c r="Q443" s="30" t="str">
        <f ca="1">IFERROR(__xludf.DUMMYFUNCTION("""COMPUTED_VALUE"""),"-34.46723841")</f>
        <v>-34.46723841</v>
      </c>
      <c r="R443" s="30" t="str">
        <f ca="1">IFERROR(__xludf.DUMMYFUNCTION("""COMPUTED_VALUE"""),"-58.71919656")</f>
        <v>-58.71919656</v>
      </c>
      <c r="S443" s="30" t="str">
        <f ca="1">IFERROR(__xludf.DUMMYFUNCTION("""COMPUTED_VALUE"""),"Municipal")</f>
        <v>Municipal</v>
      </c>
      <c r="T443" s="30" t="str">
        <f ca="1">IFERROR(__xludf.DUMMYFUNCTION("""COMPUTED_VALUE"""),"MALVINAS ARGENTINAS")</f>
        <v>MALVINAS ARGENTINAS</v>
      </c>
    </row>
    <row r="444" spans="1:20" ht="15.75" customHeight="1" x14ac:dyDescent="0.25">
      <c r="A444" s="30" t="str">
        <f ca="1">IFERROR(__xludf.DUMMYFUNCTION("""COMPUTED_VALUE"""),"50065152202775")</f>
        <v>50065152202775</v>
      </c>
      <c r="B444" s="30" t="str">
        <f ca="1">IFERROR(__xludf.DUMMYFUNCTION("""COMPUTED_VALUE"""),"UNIDAD SANITARIA SAN CALAL")</f>
        <v>UNIDAD SANITARIA SAN CALAL</v>
      </c>
      <c r="C444" s="30" t="str">
        <f ca="1">IFERROR(__xludf.DUMMYFUNCTION("""COMPUTED_VALUE"""),"Buenos Aires")</f>
        <v>Buenos Aires</v>
      </c>
      <c r="D444" s="30" t="str">
        <f ca="1">IFERROR(__xludf.DUMMYFUNCTION("""COMPUTED_VALUE"""),"6")</f>
        <v>6</v>
      </c>
      <c r="E444" s="30" t="str">
        <f ca="1">IFERROR(__xludf.DUMMYFUNCTION("""COMPUTED_VALUE"""),"")</f>
        <v/>
      </c>
      <c r="F444" s="29"/>
      <c r="G444" s="29"/>
      <c r="H444" s="30" t="str">
        <f ca="1">IFERROR(__xludf.DUMMYFUNCTION("""COMPUTED_VALUE"""),"activo")</f>
        <v>activo</v>
      </c>
      <c r="I444" s="29"/>
      <c r="J444" s="29"/>
      <c r="K444" s="29"/>
      <c r="L444" s="30" t="str">
        <f ca="1">IFERROR(__xludf.DUMMYFUNCTION("""COMPUTED_VALUE"""),"No")</f>
        <v>No</v>
      </c>
      <c r="M444" s="30" t="str">
        <f ca="1">IFERROR(__xludf.DUMMYFUNCTION("""COMPUTED_VALUE"""),"6515010003")</f>
        <v>6515010003</v>
      </c>
      <c r="N444" s="30" t="str">
        <f ca="1">IFERROR(__xludf.DUMMYFUNCTION("""COMPUTED_VALUE"""),"INGENIERO ADOLFO SOURDEAUX")</f>
        <v>INGENIERO ADOLFO SOURDEAUX</v>
      </c>
      <c r="O444" s="30" t="str">
        <f ca="1">IFERROR(__xludf.DUMMYFUNCTION("""COMPUTED_VALUE"""),"6515")</f>
        <v>6515</v>
      </c>
      <c r="P444" s="30" t="str">
        <f ca="1">IFERROR(__xludf.DUMMYFUNCTION("""COMPUTED_VALUE"""),"MALVINAS ARGENTINAS")</f>
        <v>MALVINAS ARGENTINAS</v>
      </c>
      <c r="Q444" s="30" t="str">
        <f ca="1">IFERROR(__xludf.DUMMYFUNCTION("""COMPUTED_VALUE"""),"-34.50531796")</f>
        <v>-34.50531796</v>
      </c>
      <c r="R444" s="30" t="str">
        <f ca="1">IFERROR(__xludf.DUMMYFUNCTION("""COMPUTED_VALUE"""),"-58.65980172")</f>
        <v>-58.65980172</v>
      </c>
      <c r="S444" s="30" t="str">
        <f ca="1">IFERROR(__xludf.DUMMYFUNCTION("""COMPUTED_VALUE"""),"Municipal")</f>
        <v>Municipal</v>
      </c>
      <c r="T444" s="30" t="str">
        <f ca="1">IFERROR(__xludf.DUMMYFUNCTION("""COMPUTED_VALUE"""),"MALVINAS ARGENTINAS")</f>
        <v>MALVINAS ARGENTINAS</v>
      </c>
    </row>
    <row r="445" spans="1:20" ht="15.75" customHeight="1" x14ac:dyDescent="0.25">
      <c r="A445" s="30" t="str">
        <f ca="1">IFERROR(__xludf.DUMMYFUNCTION("""COMPUTED_VALUE"""),"50065152202819")</f>
        <v>50065152202819</v>
      </c>
      <c r="B445" s="30" t="str">
        <f ca="1">IFERROR(__xludf.DUMMYFUNCTION("""COMPUTED_VALUE"""),"UNIDAD SANITARIA SANTA MARIA DE GRAND BOURG")</f>
        <v>UNIDAD SANITARIA SANTA MARIA DE GRAND BOURG</v>
      </c>
      <c r="C445" s="30" t="str">
        <f ca="1">IFERROR(__xludf.DUMMYFUNCTION("""COMPUTED_VALUE"""),"Buenos Aires")</f>
        <v>Buenos Aires</v>
      </c>
      <c r="D445" s="30" t="str">
        <f ca="1">IFERROR(__xludf.DUMMYFUNCTION("""COMPUTED_VALUE"""),"6")</f>
        <v>6</v>
      </c>
      <c r="E445" s="30" t="str">
        <f ca="1">IFERROR(__xludf.DUMMYFUNCTION("""COMPUTED_VALUE"""),"")</f>
        <v/>
      </c>
      <c r="F445" s="29"/>
      <c r="G445" s="29"/>
      <c r="H445" s="30" t="str">
        <f ca="1">IFERROR(__xludf.DUMMYFUNCTION("""COMPUTED_VALUE"""),"activo")</f>
        <v>activo</v>
      </c>
      <c r="I445" s="29"/>
      <c r="J445" s="29"/>
      <c r="K445" s="29"/>
      <c r="L445" s="30" t="str">
        <f ca="1">IFERROR(__xludf.DUMMYFUNCTION("""COMPUTED_VALUE"""),"No")</f>
        <v>No</v>
      </c>
      <c r="M445" s="30" t="str">
        <f ca="1">IFERROR(__xludf.DUMMYFUNCTION("""COMPUTED_VALUE"""),"6515010002")</f>
        <v>6515010002</v>
      </c>
      <c r="N445" s="30" t="str">
        <f ca="1">IFERROR(__xludf.DUMMYFUNCTION("""COMPUTED_VALUE"""),"GRAND BOURG")</f>
        <v>GRAND BOURG</v>
      </c>
      <c r="O445" s="30" t="str">
        <f ca="1">IFERROR(__xludf.DUMMYFUNCTION("""COMPUTED_VALUE"""),"6515")</f>
        <v>6515</v>
      </c>
      <c r="P445" s="30" t="str">
        <f ca="1">IFERROR(__xludf.DUMMYFUNCTION("""COMPUTED_VALUE"""),"MALVINAS ARGENTINAS")</f>
        <v>MALVINAS ARGENTINAS</v>
      </c>
      <c r="Q445" s="30" t="str">
        <f ca="1">IFERROR(__xludf.DUMMYFUNCTION("""COMPUTED_VALUE"""),"-34.50165756")</f>
        <v>-34.50165756</v>
      </c>
      <c r="R445" s="30" t="str">
        <f ca="1">IFERROR(__xludf.DUMMYFUNCTION("""COMPUTED_VALUE"""),"-58.73338008")</f>
        <v>-58.73338008</v>
      </c>
      <c r="S445" s="30" t="str">
        <f ca="1">IFERROR(__xludf.DUMMYFUNCTION("""COMPUTED_VALUE"""),"Municipal")</f>
        <v>Municipal</v>
      </c>
      <c r="T445" s="30" t="str">
        <f ca="1">IFERROR(__xludf.DUMMYFUNCTION("""COMPUTED_VALUE"""),"MALVINAS ARGENTINAS")</f>
        <v>MALVINAS ARGENTINAS</v>
      </c>
    </row>
    <row r="446" spans="1:20" ht="15.75" customHeight="1" x14ac:dyDescent="0.25">
      <c r="A446" s="30" t="str">
        <f ca="1">IFERROR(__xludf.DUMMYFUNCTION("""COMPUTED_VALUE"""),"50065152202844")</f>
        <v>50065152202844</v>
      </c>
      <c r="B446" s="30" t="str">
        <f ca="1">IFERROR(__xludf.DUMMYFUNCTION("""COMPUTED_VALUE"""),"UNIDAD FUNCIONAL SOLAR DEL NORTE")</f>
        <v>UNIDAD FUNCIONAL SOLAR DEL NORTE</v>
      </c>
      <c r="C446" s="30" t="str">
        <f ca="1">IFERROR(__xludf.DUMMYFUNCTION("""COMPUTED_VALUE"""),"Buenos Aires")</f>
        <v>Buenos Aires</v>
      </c>
      <c r="D446" s="30" t="str">
        <f ca="1">IFERROR(__xludf.DUMMYFUNCTION("""COMPUTED_VALUE"""),"6")</f>
        <v>6</v>
      </c>
      <c r="E446" s="30" t="str">
        <f ca="1">IFERROR(__xludf.DUMMYFUNCTION("""COMPUTED_VALUE"""),"")</f>
        <v/>
      </c>
      <c r="F446" s="29"/>
      <c r="G446" s="29"/>
      <c r="H446" s="30" t="str">
        <f ca="1">IFERROR(__xludf.DUMMYFUNCTION("""COMPUTED_VALUE"""),"inactivo")</f>
        <v>inactivo</v>
      </c>
      <c r="I446" s="29"/>
      <c r="J446" s="29"/>
      <c r="K446" s="29"/>
      <c r="L446" s="30" t="str">
        <f ca="1">IFERROR(__xludf.DUMMYFUNCTION("""COMPUTED_VALUE"""),"No")</f>
        <v>No</v>
      </c>
      <c r="M446" s="30" t="str">
        <f ca="1">IFERROR(__xludf.DUMMYFUNCTION("""COMPUTED_VALUE"""),"6515010008")</f>
        <v>6515010008</v>
      </c>
      <c r="N446" s="30" t="str">
        <f ca="1">IFERROR(__xludf.DUMMYFUNCTION("""COMPUTED_VALUE"""),"VILLA DE MAYO")</f>
        <v>VILLA DE MAYO</v>
      </c>
      <c r="O446" s="30" t="str">
        <f ca="1">IFERROR(__xludf.DUMMYFUNCTION("""COMPUTED_VALUE"""),"6515")</f>
        <v>6515</v>
      </c>
      <c r="P446" s="30" t="str">
        <f ca="1">IFERROR(__xludf.DUMMYFUNCTION("""COMPUTED_VALUE"""),"MALVINAS ARGENTINAS")</f>
        <v>MALVINAS ARGENTINAS</v>
      </c>
      <c r="Q446" s="30" t="str">
        <f ca="1">IFERROR(__xludf.DUMMYFUNCTION("""COMPUTED_VALUE"""),"-34.52232698")</f>
        <v>-34.52232698</v>
      </c>
      <c r="R446" s="30" t="str">
        <f ca="1">IFERROR(__xludf.DUMMYFUNCTION("""COMPUTED_VALUE"""),"-58.71089244")</f>
        <v>-58.71089244</v>
      </c>
      <c r="S446" s="30" t="str">
        <f ca="1">IFERROR(__xludf.DUMMYFUNCTION("""COMPUTED_VALUE"""),"Municipal")</f>
        <v>Municipal</v>
      </c>
      <c r="T446" s="30" t="str">
        <f ca="1">IFERROR(__xludf.DUMMYFUNCTION("""COMPUTED_VALUE"""),"MALVINAS ARGENTINAS")</f>
        <v>MALVINAS ARGENTINAS</v>
      </c>
    </row>
    <row r="447" spans="1:20" ht="15.75" customHeight="1" x14ac:dyDescent="0.25">
      <c r="A447" s="30" t="str">
        <f ca="1">IFERROR(__xludf.DUMMYFUNCTION("""COMPUTED_VALUE"""),"50065152202932")</f>
        <v>50065152202932</v>
      </c>
      <c r="B447" s="30" t="str">
        <f ca="1">IFERROR(__xludf.DUMMYFUNCTION("""COMPUTED_VALUE"""),"UNIDAD FUNCIONAL 25 DE MAYO  - ( GRAND BOURG)")</f>
        <v>UNIDAD FUNCIONAL 25 DE MAYO  - ( GRAND BOURG)</v>
      </c>
      <c r="C447" s="30" t="str">
        <f ca="1">IFERROR(__xludf.DUMMYFUNCTION("""COMPUTED_VALUE"""),"Buenos Aires")</f>
        <v>Buenos Aires</v>
      </c>
      <c r="D447" s="30" t="str">
        <f ca="1">IFERROR(__xludf.DUMMYFUNCTION("""COMPUTED_VALUE"""),"6")</f>
        <v>6</v>
      </c>
      <c r="E447" s="30" t="str">
        <f ca="1">IFERROR(__xludf.DUMMYFUNCTION("""COMPUTED_VALUE"""),"")</f>
        <v/>
      </c>
      <c r="F447" s="29"/>
      <c r="G447" s="29"/>
      <c r="H447" s="30" t="str">
        <f ca="1">IFERROR(__xludf.DUMMYFUNCTION("""COMPUTED_VALUE"""),"activo")</f>
        <v>activo</v>
      </c>
      <c r="I447" s="29"/>
      <c r="J447" s="29"/>
      <c r="K447" s="29"/>
      <c r="L447" s="30" t="str">
        <f ca="1">IFERROR(__xludf.DUMMYFUNCTION("""COMPUTED_VALUE"""),"No")</f>
        <v>No</v>
      </c>
      <c r="M447" s="30" t="str">
        <f ca="1">IFERROR(__xludf.DUMMYFUNCTION("""COMPUTED_VALUE"""),"6515010002")</f>
        <v>6515010002</v>
      </c>
      <c r="N447" s="30" t="str">
        <f ca="1">IFERROR(__xludf.DUMMYFUNCTION("""COMPUTED_VALUE"""),"GRAND BOURG")</f>
        <v>GRAND BOURG</v>
      </c>
      <c r="O447" s="30" t="str">
        <f ca="1">IFERROR(__xludf.DUMMYFUNCTION("""COMPUTED_VALUE"""),"6515")</f>
        <v>6515</v>
      </c>
      <c r="P447" s="30" t="str">
        <f ca="1">IFERROR(__xludf.DUMMYFUNCTION("""COMPUTED_VALUE"""),"MALVINAS ARGENTINAS")</f>
        <v>MALVINAS ARGENTINAS</v>
      </c>
      <c r="Q447" s="30" t="str">
        <f ca="1">IFERROR(__xludf.DUMMYFUNCTION("""COMPUTED_VALUE"""),"-34.4780165")</f>
        <v>-34.4780165</v>
      </c>
      <c r="R447" s="30" t="str">
        <f ca="1">IFERROR(__xludf.DUMMYFUNCTION("""COMPUTED_VALUE"""),"-58.73435154")</f>
        <v>-58.73435154</v>
      </c>
      <c r="S447" s="30" t="str">
        <f ca="1">IFERROR(__xludf.DUMMYFUNCTION("""COMPUTED_VALUE"""),"Municipal")</f>
        <v>Municipal</v>
      </c>
      <c r="T447" s="30" t="str">
        <f ca="1">IFERROR(__xludf.DUMMYFUNCTION("""COMPUTED_VALUE"""),"MALVINAS ARGENTINAS")</f>
        <v>MALVINAS ARGENTINAS</v>
      </c>
    </row>
    <row r="448" spans="1:20" ht="15.75" customHeight="1" x14ac:dyDescent="0.25">
      <c r="A448" s="30" t="str">
        <f ca="1">IFERROR(__xludf.DUMMYFUNCTION("""COMPUTED_VALUE"""),"50065152206842")</f>
        <v>50065152206842</v>
      </c>
      <c r="B448" s="30" t="str">
        <f ca="1">IFERROR(__xludf.DUMMYFUNCTION("""COMPUTED_VALUE"""),"UNIDAD FUNCIONAL PUEBLO CHICO DR. FERRUCCIO SABATO")</f>
        <v>UNIDAD FUNCIONAL PUEBLO CHICO DR. FERRUCCIO SABATO</v>
      </c>
      <c r="C448" s="30" t="str">
        <f ca="1">IFERROR(__xludf.DUMMYFUNCTION("""COMPUTED_VALUE"""),"Buenos Aires")</f>
        <v>Buenos Aires</v>
      </c>
      <c r="D448" s="30" t="str">
        <f ca="1">IFERROR(__xludf.DUMMYFUNCTION("""COMPUTED_VALUE"""),"6")</f>
        <v>6</v>
      </c>
      <c r="E448" s="30" t="str">
        <f ca="1">IFERROR(__xludf.DUMMYFUNCTION("""COMPUTED_VALUE"""),"")</f>
        <v/>
      </c>
      <c r="F448" s="29"/>
      <c r="G448" s="29"/>
      <c r="H448" s="30" t="str">
        <f ca="1">IFERROR(__xludf.DUMMYFUNCTION("""COMPUTED_VALUE"""),"inactivo")</f>
        <v>inactivo</v>
      </c>
      <c r="I448" s="30" t="str">
        <f ca="1">IFERROR(__xludf.DUMMYFUNCTION("""COMPUTED_VALUE"""),"- fuera circular 2")</f>
        <v>- fuera circular 2</v>
      </c>
      <c r="J448" s="29"/>
      <c r="K448" s="29"/>
      <c r="L448" s="30" t="str">
        <f ca="1">IFERROR(__xludf.DUMMYFUNCTION("""COMPUTED_VALUE"""),"No")</f>
        <v>No</v>
      </c>
      <c r="M448" s="30" t="str">
        <f ca="1">IFERROR(__xludf.DUMMYFUNCTION("""COMPUTED_VALUE"""),"6515010007")</f>
        <v>6515010007</v>
      </c>
      <c r="N448" s="30" t="str">
        <f ca="1">IFERROR(__xludf.DUMMYFUNCTION("""COMPUTED_VALUE"""),"TORTUGUITAS")</f>
        <v>TORTUGUITAS</v>
      </c>
      <c r="O448" s="30" t="str">
        <f ca="1">IFERROR(__xludf.DUMMYFUNCTION("""COMPUTED_VALUE"""),"6515")</f>
        <v>6515</v>
      </c>
      <c r="P448" s="30" t="str">
        <f ca="1">IFERROR(__xludf.DUMMYFUNCTION("""COMPUTED_VALUE"""),"MALVINAS ARGENTINAS")</f>
        <v>MALVINAS ARGENTINAS</v>
      </c>
      <c r="Q448" s="30" t="str">
        <f ca="1">IFERROR(__xludf.DUMMYFUNCTION("""COMPUTED_VALUE"""),"-34.46445295")</f>
        <v>-34.46445295</v>
      </c>
      <c r="R448" s="30" t="str">
        <f ca="1">IFERROR(__xludf.DUMMYFUNCTION("""COMPUTED_VALUE"""),"-58.73076439")</f>
        <v>-58.73076439</v>
      </c>
      <c r="S448" s="30" t="str">
        <f ca="1">IFERROR(__xludf.DUMMYFUNCTION("""COMPUTED_VALUE"""),"Municipal")</f>
        <v>Municipal</v>
      </c>
      <c r="T448" s="30" t="str">
        <f ca="1">IFERROR(__xludf.DUMMYFUNCTION("""COMPUTED_VALUE"""),"MALVINAS ARGENTINAS")</f>
        <v>MALVINAS ARGENTINAS</v>
      </c>
    </row>
    <row r="449" spans="1:20" ht="15.75" customHeight="1" x14ac:dyDescent="0.25">
      <c r="A449" s="30" t="str">
        <f ca="1">IFERROR(__xludf.DUMMYFUNCTION("""COMPUTED_VALUE"""),"50065152207014")</f>
        <v>50065152207014</v>
      </c>
      <c r="B449" s="30" t="str">
        <f ca="1">IFERROR(__xludf.DUMMYFUNCTION("""COMPUTED_VALUE"""),"UNIDAD FUNCIONAL PUEBLO CHICO HAITI")</f>
        <v>UNIDAD FUNCIONAL PUEBLO CHICO HAITI</v>
      </c>
      <c r="C449" s="30" t="str">
        <f ca="1">IFERROR(__xludf.DUMMYFUNCTION("""COMPUTED_VALUE"""),"Buenos Aires")</f>
        <v>Buenos Aires</v>
      </c>
      <c r="D449" s="30" t="str">
        <f ca="1">IFERROR(__xludf.DUMMYFUNCTION("""COMPUTED_VALUE"""),"6")</f>
        <v>6</v>
      </c>
      <c r="E449" s="30" t="str">
        <f ca="1">IFERROR(__xludf.DUMMYFUNCTION("""COMPUTED_VALUE"""),"")</f>
        <v/>
      </c>
      <c r="F449" s="29"/>
      <c r="G449" s="29"/>
      <c r="H449" s="30" t="str">
        <f ca="1">IFERROR(__xludf.DUMMYFUNCTION("""COMPUTED_VALUE"""),"activo")</f>
        <v>activo</v>
      </c>
      <c r="I449" s="29"/>
      <c r="J449" s="29"/>
      <c r="K449" s="29"/>
      <c r="L449" s="30" t="str">
        <f ca="1">IFERROR(__xludf.DUMMYFUNCTION("""COMPUTED_VALUE"""),"No")</f>
        <v>No</v>
      </c>
      <c r="M449" s="30" t="str">
        <f ca="1">IFERROR(__xludf.DUMMYFUNCTION("""COMPUTED_VALUE"""),"6515010")</f>
        <v>6515010</v>
      </c>
      <c r="N449" s="30" t="str">
        <f ca="1">IFERROR(__xludf.DUMMYFUNCTION("""COMPUTED_VALUE"""),"MALVINAS ARGENTINAS (MALVINAS ARGENTINAS)")</f>
        <v>MALVINAS ARGENTINAS (MALVINAS ARGENTINAS)</v>
      </c>
      <c r="O449" s="30" t="str">
        <f ca="1">IFERROR(__xludf.DUMMYFUNCTION("""COMPUTED_VALUE"""),"6515")</f>
        <v>6515</v>
      </c>
      <c r="P449" s="30" t="str">
        <f ca="1">IFERROR(__xludf.DUMMYFUNCTION("""COMPUTED_VALUE"""),"MALVINAS ARGENTINAS")</f>
        <v>MALVINAS ARGENTINAS</v>
      </c>
      <c r="Q449" s="30" t="str">
        <f ca="1">IFERROR(__xludf.DUMMYFUNCTION("""COMPUTED_VALUE"""),"-34.472989")</f>
        <v>-34.472989</v>
      </c>
      <c r="R449" s="30" t="str">
        <f ca="1">IFERROR(__xludf.DUMMYFUNCTION("""COMPUTED_VALUE"""),"-58.743603")</f>
        <v>-58.743603</v>
      </c>
      <c r="S449" s="30" t="str">
        <f ca="1">IFERROR(__xludf.DUMMYFUNCTION("""COMPUTED_VALUE"""),"Municipal")</f>
        <v>Municipal</v>
      </c>
      <c r="T449" s="30" t="str">
        <f ca="1">IFERROR(__xludf.DUMMYFUNCTION("""COMPUTED_VALUE"""),"MALVINAS ARGENTINAS")</f>
        <v>MALVINAS ARGENTINAS</v>
      </c>
    </row>
    <row r="450" spans="1:20" ht="15.75" customHeight="1" x14ac:dyDescent="0.25">
      <c r="A450" s="30" t="str">
        <f ca="1">IFERROR(__xludf.DUMMYFUNCTION("""COMPUTED_VALUE"""),"50065152207015")</f>
        <v>50065152207015</v>
      </c>
      <c r="B450" s="30" t="str">
        <f ca="1">IFERROR(__xludf.DUMMYFUNCTION("""COMPUTED_VALUE"""),"UNIDAD FUNCIONAL PUEBLO CHICO, CLUB SOCIAL Y POLIDEPORTIVO GRAND BOURG")</f>
        <v>UNIDAD FUNCIONAL PUEBLO CHICO, CLUB SOCIAL Y POLIDEPORTIVO GRAND BOURG</v>
      </c>
      <c r="C450" s="30" t="str">
        <f ca="1">IFERROR(__xludf.DUMMYFUNCTION("""COMPUTED_VALUE"""),"Buenos Aires")</f>
        <v>Buenos Aires</v>
      </c>
      <c r="D450" s="30" t="str">
        <f ca="1">IFERROR(__xludf.DUMMYFUNCTION("""COMPUTED_VALUE"""),"6")</f>
        <v>6</v>
      </c>
      <c r="E450" s="30" t="str">
        <f ca="1">IFERROR(__xludf.DUMMYFUNCTION("""COMPUTED_VALUE"""),"")</f>
        <v/>
      </c>
      <c r="F450" s="29"/>
      <c r="G450" s="29"/>
      <c r="H450" s="30" t="str">
        <f ca="1">IFERROR(__xludf.DUMMYFUNCTION("""COMPUTED_VALUE"""),"activo")</f>
        <v>activo</v>
      </c>
      <c r="I450" s="29"/>
      <c r="J450" s="29"/>
      <c r="K450" s="29"/>
      <c r="L450" s="30" t="str">
        <f ca="1">IFERROR(__xludf.DUMMYFUNCTION("""COMPUTED_VALUE"""),"No")</f>
        <v>No</v>
      </c>
      <c r="M450" s="30" t="str">
        <f ca="1">IFERROR(__xludf.DUMMYFUNCTION("""COMPUTED_VALUE"""),"6515010002")</f>
        <v>6515010002</v>
      </c>
      <c r="N450" s="30" t="str">
        <f ca="1">IFERROR(__xludf.DUMMYFUNCTION("""COMPUTED_VALUE"""),"GRAND BOURG")</f>
        <v>GRAND BOURG</v>
      </c>
      <c r="O450" s="30" t="str">
        <f ca="1">IFERROR(__xludf.DUMMYFUNCTION("""COMPUTED_VALUE"""),"6515")</f>
        <v>6515</v>
      </c>
      <c r="P450" s="30" t="str">
        <f ca="1">IFERROR(__xludf.DUMMYFUNCTION("""COMPUTED_VALUE"""),"MALVINAS ARGENTINAS")</f>
        <v>MALVINAS ARGENTINAS</v>
      </c>
      <c r="Q450" s="30" t="str">
        <f ca="1">IFERROR(__xludf.DUMMYFUNCTION("""COMPUTED_VALUE"""),"-34.4782879")</f>
        <v>-34.4782879</v>
      </c>
      <c r="R450" s="30" t="str">
        <f ca="1">IFERROR(__xludf.DUMMYFUNCTION("""COMPUTED_VALUE"""),"-58.7291218")</f>
        <v>-58.7291218</v>
      </c>
      <c r="S450" s="30" t="str">
        <f ca="1">IFERROR(__xludf.DUMMYFUNCTION("""COMPUTED_VALUE"""),"Municipal")</f>
        <v>Municipal</v>
      </c>
      <c r="T450" s="30" t="str">
        <f ca="1">IFERROR(__xludf.DUMMYFUNCTION("""COMPUTED_VALUE"""),"MALVINAS ARGENTINAS")</f>
        <v>MALVINAS ARGENTINAS</v>
      </c>
    </row>
    <row r="451" spans="1:20" ht="15.75" customHeight="1" x14ac:dyDescent="0.25">
      <c r="A451" s="30" t="str">
        <f ca="1">IFERROR(__xludf.DUMMYFUNCTION("""COMPUTED_VALUE"""),"50065182202230")</f>
        <v>50065182202230</v>
      </c>
      <c r="B451" s="30" t="str">
        <f ca="1">IFERROR(__xludf.DUMMYFUNCTION("""COMPUTED_VALUE"""),"UNIDAD SANITARIA DR. G. TELECHEA VIVORATA")</f>
        <v>UNIDAD SANITARIA DR. G. TELECHEA VIVORATA</v>
      </c>
      <c r="C451" s="30" t="str">
        <f ca="1">IFERROR(__xludf.DUMMYFUNCTION("""COMPUTED_VALUE"""),"Buenos Aires")</f>
        <v>Buenos Aires</v>
      </c>
      <c r="D451" s="30" t="str">
        <f ca="1">IFERROR(__xludf.DUMMYFUNCTION("""COMPUTED_VALUE"""),"6")</f>
        <v>6</v>
      </c>
      <c r="E451" s="30" t="str">
        <f ca="1">IFERROR(__xludf.DUMMYFUNCTION("""COMPUTED_VALUE"""),"")</f>
        <v/>
      </c>
      <c r="F451" s="29"/>
      <c r="G451" s="29"/>
      <c r="H451" s="30" t="str">
        <f ca="1">IFERROR(__xludf.DUMMYFUNCTION("""COMPUTED_VALUE"""),"activo")</f>
        <v>activo</v>
      </c>
      <c r="I451" s="29"/>
      <c r="J451" s="29"/>
      <c r="K451" s="29"/>
      <c r="L451" s="30" t="str">
        <f ca="1">IFERROR(__xludf.DUMMYFUNCTION("""COMPUTED_VALUE"""),"No")</f>
        <v>No</v>
      </c>
      <c r="M451" s="30" t="str">
        <f ca="1">IFERROR(__xludf.DUMMYFUNCTION("""COMPUTED_VALUE"""),"6518070000")</f>
        <v>6518070000</v>
      </c>
      <c r="N451" s="30" t="str">
        <f ca="1">IFERROR(__xludf.DUMMYFUNCTION("""COMPUTED_VALUE"""),"VIVORATA")</f>
        <v>VIVORATA</v>
      </c>
      <c r="O451" s="30" t="str">
        <f ca="1">IFERROR(__xludf.DUMMYFUNCTION("""COMPUTED_VALUE"""),"6518")</f>
        <v>6518</v>
      </c>
      <c r="P451" s="30" t="str">
        <f ca="1">IFERROR(__xludf.DUMMYFUNCTION("""COMPUTED_VALUE"""),"MAR CHIQUITA")</f>
        <v>MAR CHIQUITA</v>
      </c>
      <c r="Q451" s="30" t="str">
        <f ca="1">IFERROR(__xludf.DUMMYFUNCTION("""COMPUTED_VALUE"""),"-37.65550333")</f>
        <v>-37.65550333</v>
      </c>
      <c r="R451" s="30" t="str">
        <f ca="1">IFERROR(__xludf.DUMMYFUNCTION("""COMPUTED_VALUE"""),"-57.66847229")</f>
        <v>-57.66847229</v>
      </c>
      <c r="S451" s="30" t="str">
        <f ca="1">IFERROR(__xludf.DUMMYFUNCTION("""COMPUTED_VALUE"""),"Municipal")</f>
        <v>Municipal</v>
      </c>
      <c r="T451" s="30" t="str">
        <f ca="1">IFERROR(__xludf.DUMMYFUNCTION("""COMPUTED_VALUE"""),"MAR CHIQUITA")</f>
        <v>MAR CHIQUITA</v>
      </c>
    </row>
    <row r="452" spans="1:20" ht="15.75" customHeight="1" x14ac:dyDescent="0.25">
      <c r="A452" s="30" t="str">
        <f ca="1">IFERROR(__xludf.DUMMYFUNCTION("""COMPUTED_VALUE"""),"50065182202813")</f>
        <v>50065182202813</v>
      </c>
      <c r="B452" s="30" t="str">
        <f ca="1">IFERROR(__xludf.DUMMYFUNCTION("""COMPUTED_VALUE"""),"UNIDAD SANITARIA SANTA CLARA DEL MAR")</f>
        <v>UNIDAD SANITARIA SANTA CLARA DEL MAR</v>
      </c>
      <c r="C452" s="30" t="str">
        <f ca="1">IFERROR(__xludf.DUMMYFUNCTION("""COMPUTED_VALUE"""),"Buenos Aires")</f>
        <v>Buenos Aires</v>
      </c>
      <c r="D452" s="30" t="str">
        <f ca="1">IFERROR(__xludf.DUMMYFUNCTION("""COMPUTED_VALUE"""),"6")</f>
        <v>6</v>
      </c>
      <c r="E452" s="30" t="str">
        <f ca="1">IFERROR(__xludf.DUMMYFUNCTION("""COMPUTED_VALUE"""),"")</f>
        <v/>
      </c>
      <c r="F452" s="29"/>
      <c r="G452" s="29"/>
      <c r="H452" s="30" t="str">
        <f ca="1">IFERROR(__xludf.DUMMYFUNCTION("""COMPUTED_VALUE"""),"activo")</f>
        <v>activo</v>
      </c>
      <c r="I452" s="29"/>
      <c r="J452" s="29"/>
      <c r="K452" s="29"/>
      <c r="L452" s="30" t="str">
        <f ca="1">IFERROR(__xludf.DUMMYFUNCTION("""COMPUTED_VALUE"""),"No")</f>
        <v>No</v>
      </c>
      <c r="M452" s="30" t="str">
        <f ca="1">IFERROR(__xludf.DUMMYFUNCTION("""COMPUTED_VALUE"""),"6518060005")</f>
        <v>6518060005</v>
      </c>
      <c r="N452" s="30" t="str">
        <f ca="1">IFERROR(__xludf.DUMMYFUNCTION("""COMPUTED_VALUE"""),"SANTA CLARA DEL MAR")</f>
        <v>SANTA CLARA DEL MAR</v>
      </c>
      <c r="O452" s="30" t="str">
        <f ca="1">IFERROR(__xludf.DUMMYFUNCTION("""COMPUTED_VALUE"""),"6518")</f>
        <v>6518</v>
      </c>
      <c r="P452" s="30" t="str">
        <f ca="1">IFERROR(__xludf.DUMMYFUNCTION("""COMPUTED_VALUE"""),"MAR CHIQUITA")</f>
        <v>MAR CHIQUITA</v>
      </c>
      <c r="Q452" s="30" t="str">
        <f ca="1">IFERROR(__xludf.DUMMYFUNCTION("""COMPUTED_VALUE"""),"-37.8449828")</f>
        <v>-37.8449828</v>
      </c>
      <c r="R452" s="30" t="str">
        <f ca="1">IFERROR(__xludf.DUMMYFUNCTION("""COMPUTED_VALUE"""),"-57.50299072")</f>
        <v>-57.50299072</v>
      </c>
      <c r="S452" s="30" t="str">
        <f ca="1">IFERROR(__xludf.DUMMYFUNCTION("""COMPUTED_VALUE"""),"Municipal")</f>
        <v>Municipal</v>
      </c>
      <c r="T452" s="30" t="str">
        <f ca="1">IFERROR(__xludf.DUMMYFUNCTION("""COMPUTED_VALUE"""),"MAR CHIQUITA")</f>
        <v>MAR CHIQUITA</v>
      </c>
    </row>
    <row r="453" spans="1:20" ht="15.75" customHeight="1" x14ac:dyDescent="0.25">
      <c r="A453" s="30" t="str">
        <f ca="1">IFERROR(__xludf.DUMMYFUNCTION("""COMPUTED_VALUE"""),"50065252202086")</f>
        <v>50065252202086</v>
      </c>
      <c r="B453" s="30" t="str">
        <f ca="1">IFERROR(__xludf.DUMMYFUNCTION("""COMPUTED_VALUE"""),"UNIDAD SANITARIA BARRIO EL ZORZAL DE MARCOS PAZ")</f>
        <v>UNIDAD SANITARIA BARRIO EL ZORZAL DE MARCOS PAZ</v>
      </c>
      <c r="C453" s="30" t="str">
        <f ca="1">IFERROR(__xludf.DUMMYFUNCTION("""COMPUTED_VALUE"""),"Buenos Aires")</f>
        <v>Buenos Aires</v>
      </c>
      <c r="D453" s="30" t="str">
        <f ca="1">IFERROR(__xludf.DUMMYFUNCTION("""COMPUTED_VALUE"""),"6")</f>
        <v>6</v>
      </c>
      <c r="E453" s="30" t="str">
        <f ca="1">IFERROR(__xludf.DUMMYFUNCTION("""COMPUTED_VALUE"""),"")</f>
        <v/>
      </c>
      <c r="F453" s="29"/>
      <c r="G453" s="29"/>
      <c r="H453" s="30" t="str">
        <f ca="1">IFERROR(__xludf.DUMMYFUNCTION("""COMPUTED_VALUE"""),"activo")</f>
        <v>activo</v>
      </c>
      <c r="I453" s="29"/>
      <c r="J453" s="29"/>
      <c r="K453" s="29"/>
      <c r="L453" s="30" t="str">
        <f ca="1">IFERROR(__xludf.DUMMYFUNCTION("""COMPUTED_VALUE"""),"No")</f>
        <v>No</v>
      </c>
      <c r="M453" s="30" t="str">
        <f ca="1">IFERROR(__xludf.DUMMYFUNCTION("""COMPUTED_VALUE"""),"6525020002")</f>
        <v>6525020002</v>
      </c>
      <c r="N453" s="30" t="str">
        <f ca="1">IFERROR(__xludf.DUMMYFUNCTION("""COMPUTED_VALUE"""),"MARCOS PAZ")</f>
        <v>MARCOS PAZ</v>
      </c>
      <c r="O453" s="30" t="str">
        <f ca="1">IFERROR(__xludf.DUMMYFUNCTION("""COMPUTED_VALUE"""),"6525")</f>
        <v>6525</v>
      </c>
      <c r="P453" s="30" t="str">
        <f ca="1">IFERROR(__xludf.DUMMYFUNCTION("""COMPUTED_VALUE"""),"MARCOS PAZ")</f>
        <v>MARCOS PAZ</v>
      </c>
      <c r="Q453" s="30" t="str">
        <f ca="1">IFERROR(__xludf.DUMMYFUNCTION("""COMPUTED_VALUE"""),"-34.73930086")</f>
        <v>-34.73930086</v>
      </c>
      <c r="R453" s="30" t="str">
        <f ca="1">IFERROR(__xludf.DUMMYFUNCTION("""COMPUTED_VALUE"""),"-58.81071138")</f>
        <v>-58.81071138</v>
      </c>
      <c r="S453" s="30" t="str">
        <f ca="1">IFERROR(__xludf.DUMMYFUNCTION("""COMPUTED_VALUE"""),"Municipal")</f>
        <v>Municipal</v>
      </c>
      <c r="T453" s="30" t="str">
        <f ca="1">IFERROR(__xludf.DUMMYFUNCTION("""COMPUTED_VALUE"""),"MARCOS PAZ")</f>
        <v>MARCOS PAZ</v>
      </c>
    </row>
    <row r="454" spans="1:20" ht="15.75" customHeight="1" x14ac:dyDescent="0.25">
      <c r="A454" s="30" t="str">
        <f ca="1">IFERROR(__xludf.DUMMYFUNCTION("""COMPUTED_VALUE"""),"50065252202322")</f>
        <v>50065252202322</v>
      </c>
      <c r="B454" s="30" t="str">
        <f ca="1">IFERROR(__xludf.DUMMYFUNCTION("""COMPUTED_VALUE"""),"UNIDAD SANITARIA HEROES DE MALVINAS")</f>
        <v>UNIDAD SANITARIA HEROES DE MALVINAS</v>
      </c>
      <c r="C454" s="30" t="str">
        <f ca="1">IFERROR(__xludf.DUMMYFUNCTION("""COMPUTED_VALUE"""),"Buenos Aires")</f>
        <v>Buenos Aires</v>
      </c>
      <c r="D454" s="30" t="str">
        <f ca="1">IFERROR(__xludf.DUMMYFUNCTION("""COMPUTED_VALUE"""),"6")</f>
        <v>6</v>
      </c>
      <c r="E454" s="30" t="str">
        <f ca="1">IFERROR(__xludf.DUMMYFUNCTION("""COMPUTED_VALUE"""),"")</f>
        <v/>
      </c>
      <c r="F454" s="29"/>
      <c r="G454" s="29"/>
      <c r="H454" s="30" t="str">
        <f ca="1">IFERROR(__xludf.DUMMYFUNCTION("""COMPUTED_VALUE"""),"activo")</f>
        <v>activo</v>
      </c>
      <c r="I454" s="29"/>
      <c r="J454" s="29"/>
      <c r="K454" s="29"/>
      <c r="L454" s="30" t="str">
        <f ca="1">IFERROR(__xludf.DUMMYFUNCTION("""COMPUTED_VALUE"""),"No")</f>
        <v>No</v>
      </c>
      <c r="M454" s="30" t="str">
        <f ca="1">IFERROR(__xludf.DUMMYFUNCTION("""COMPUTED_VALUE"""),"6525020002")</f>
        <v>6525020002</v>
      </c>
      <c r="N454" s="30" t="str">
        <f ca="1">IFERROR(__xludf.DUMMYFUNCTION("""COMPUTED_VALUE"""),"MARCOS PAZ")</f>
        <v>MARCOS PAZ</v>
      </c>
      <c r="O454" s="30" t="str">
        <f ca="1">IFERROR(__xludf.DUMMYFUNCTION("""COMPUTED_VALUE"""),"6525")</f>
        <v>6525</v>
      </c>
      <c r="P454" s="30" t="str">
        <f ca="1">IFERROR(__xludf.DUMMYFUNCTION("""COMPUTED_VALUE"""),"MARCOS PAZ")</f>
        <v>MARCOS PAZ</v>
      </c>
      <c r="Q454" s="30" t="str">
        <f ca="1">IFERROR(__xludf.DUMMYFUNCTION("""COMPUTED_VALUE"""),"-34.761761")</f>
        <v>-34.761761</v>
      </c>
      <c r="R454" s="30" t="str">
        <f ca="1">IFERROR(__xludf.DUMMYFUNCTION("""COMPUTED_VALUE"""),"-58.815678")</f>
        <v>-58.815678</v>
      </c>
      <c r="S454" s="30" t="str">
        <f ca="1">IFERROR(__xludf.DUMMYFUNCTION("""COMPUTED_VALUE"""),"Municipal")</f>
        <v>Municipal</v>
      </c>
      <c r="T454" s="30" t="str">
        <f ca="1">IFERROR(__xludf.DUMMYFUNCTION("""COMPUTED_VALUE"""),"MARCOS PAZ")</f>
        <v>MARCOS PAZ</v>
      </c>
    </row>
    <row r="455" spans="1:20" ht="15.75" customHeight="1" x14ac:dyDescent="0.25">
      <c r="A455" s="30" t="str">
        <f ca="1">IFERROR(__xludf.DUMMYFUNCTION("""COMPUTED_VALUE"""),"50065322215029")</f>
        <v>50065322215029</v>
      </c>
      <c r="B455" s="30" t="str">
        <f ca="1">IFERROR(__xludf.DUMMYFUNCTION("""COMPUTED_VALUE"""),"CIC MERCEDES")</f>
        <v>CIC MERCEDES</v>
      </c>
      <c r="C455" s="30" t="str">
        <f ca="1">IFERROR(__xludf.DUMMYFUNCTION("""COMPUTED_VALUE"""),"Buenos Aires")</f>
        <v>Buenos Aires</v>
      </c>
      <c r="D455" s="30" t="str">
        <f ca="1">IFERROR(__xludf.DUMMYFUNCTION("""COMPUTED_VALUE"""),"6")</f>
        <v>6</v>
      </c>
      <c r="E455" s="30" t="str">
        <f ca="1">IFERROR(__xludf.DUMMYFUNCTION("""COMPUTED_VALUE"""),"")</f>
        <v/>
      </c>
      <c r="F455" s="29"/>
      <c r="G455" s="29"/>
      <c r="H455" s="30" t="str">
        <f ca="1">IFERROR(__xludf.DUMMYFUNCTION("""COMPUTED_VALUE"""),"activo")</f>
        <v>activo</v>
      </c>
      <c r="I455" s="29"/>
      <c r="J455" s="29"/>
      <c r="K455" s="29"/>
      <c r="L455" s="30" t="str">
        <f ca="1">IFERROR(__xludf.DUMMYFUNCTION("""COMPUTED_VALUE"""),"No")</f>
        <v>No</v>
      </c>
      <c r="M455" s="30" t="str">
        <f ca="1">IFERROR(__xludf.DUMMYFUNCTION("""COMPUTED_VALUE"""),"6532020000")</f>
        <v>6532020000</v>
      </c>
      <c r="N455" s="30" t="str">
        <f ca="1">IFERROR(__xludf.DUMMYFUNCTION("""COMPUTED_VALUE"""),"MERCEDES")</f>
        <v>MERCEDES</v>
      </c>
      <c r="O455" s="30" t="str">
        <f ca="1">IFERROR(__xludf.DUMMYFUNCTION("""COMPUTED_VALUE"""),"6532")</f>
        <v>6532</v>
      </c>
      <c r="P455" s="30" t="str">
        <f ca="1">IFERROR(__xludf.DUMMYFUNCTION("""COMPUTED_VALUE"""),"MERCEDES")</f>
        <v>MERCEDES</v>
      </c>
      <c r="Q455" s="30" t="str">
        <f ca="1">IFERROR(__xludf.DUMMYFUNCTION("""COMPUTED_VALUE"""),"-34.65588333")</f>
        <v>-34.65588333</v>
      </c>
      <c r="R455" s="30" t="str">
        <f ca="1">IFERROR(__xludf.DUMMYFUNCTION("""COMPUTED_VALUE"""),"-59.4542098")</f>
        <v>-59.4542098</v>
      </c>
      <c r="S455" s="30" t="str">
        <f ca="1">IFERROR(__xludf.DUMMYFUNCTION("""COMPUTED_VALUE"""),"Municipal")</f>
        <v>Municipal</v>
      </c>
      <c r="T455" s="30" t="str">
        <f ca="1">IFERROR(__xludf.DUMMYFUNCTION("""COMPUTED_VALUE"""),"MERCEDES")</f>
        <v>MERCEDES</v>
      </c>
    </row>
    <row r="456" spans="1:20" ht="15.75" customHeight="1" x14ac:dyDescent="0.25">
      <c r="A456" s="30" t="str">
        <f ca="1">IFERROR(__xludf.DUMMYFUNCTION("""COMPUTED_VALUE"""),"50065392202482")</f>
        <v>50065392202482</v>
      </c>
      <c r="B456" s="30" t="str">
        <f ca="1">IFERROR(__xludf.DUMMYFUNCTION("""COMPUTED_VALUE"""),"UNIDAD SANITARIA N° 11 DE MERLO")</f>
        <v>UNIDAD SANITARIA N° 11 DE MERLO</v>
      </c>
      <c r="C456" s="30" t="str">
        <f ca="1">IFERROR(__xludf.DUMMYFUNCTION("""COMPUTED_VALUE"""),"Buenos Aires")</f>
        <v>Buenos Aires</v>
      </c>
      <c r="D456" s="30" t="str">
        <f ca="1">IFERROR(__xludf.DUMMYFUNCTION("""COMPUTED_VALUE"""),"6")</f>
        <v>6</v>
      </c>
      <c r="E456" s="30" t="str">
        <f ca="1">IFERROR(__xludf.DUMMYFUNCTION("""COMPUTED_VALUE"""),"")</f>
        <v/>
      </c>
      <c r="F456" s="29"/>
      <c r="G456" s="29"/>
      <c r="H456" s="30" t="str">
        <f ca="1">IFERROR(__xludf.DUMMYFUNCTION("""COMPUTED_VALUE"""),"activo")</f>
        <v>activo</v>
      </c>
      <c r="I456" s="29"/>
      <c r="J456" s="29"/>
      <c r="K456" s="29"/>
      <c r="L456" s="30" t="str">
        <f ca="1">IFERROR(__xludf.DUMMYFUNCTION("""COMPUTED_VALUE"""),"No")</f>
        <v>No</v>
      </c>
      <c r="M456" s="30" t="str">
        <f ca="1">IFERROR(__xludf.DUMMYFUNCTION("""COMPUTED_VALUE"""),"6539010003")</f>
        <v>6539010003</v>
      </c>
      <c r="N456" s="30" t="str">
        <f ca="1">IFERROR(__xludf.DUMMYFUNCTION("""COMPUTED_VALUE"""),"MERLO")</f>
        <v>MERLO</v>
      </c>
      <c r="O456" s="30" t="str">
        <f ca="1">IFERROR(__xludf.DUMMYFUNCTION("""COMPUTED_VALUE"""),"6539")</f>
        <v>6539</v>
      </c>
      <c r="P456" s="30" t="str">
        <f ca="1">IFERROR(__xludf.DUMMYFUNCTION("""COMPUTED_VALUE"""),"MERLO")</f>
        <v>MERLO</v>
      </c>
      <c r="Q456" s="30" t="str">
        <f ca="1">IFERROR(__xludf.DUMMYFUNCTION("""COMPUTED_VALUE"""),"-34.69105283")</f>
        <v>-34.69105283</v>
      </c>
      <c r="R456" s="30" t="str">
        <f ca="1">IFERROR(__xludf.DUMMYFUNCTION("""COMPUTED_VALUE"""),"-58.73608375")</f>
        <v>-58.73608375</v>
      </c>
      <c r="S456" s="30" t="str">
        <f ca="1">IFERROR(__xludf.DUMMYFUNCTION("""COMPUTED_VALUE"""),"Municipal")</f>
        <v>Municipal</v>
      </c>
      <c r="T456" s="30" t="str">
        <f ca="1">IFERROR(__xludf.DUMMYFUNCTION("""COMPUTED_VALUE"""),"MERLO")</f>
        <v>MERLO</v>
      </c>
    </row>
    <row r="457" spans="1:20" ht="15.75" customHeight="1" x14ac:dyDescent="0.25">
      <c r="A457" s="30" t="str">
        <f ca="1">IFERROR(__xludf.DUMMYFUNCTION("""COMPUTED_VALUE"""),"50065392202511")</f>
        <v>50065392202511</v>
      </c>
      <c r="B457" s="30" t="str">
        <f ca="1">IFERROR(__xludf.DUMMYFUNCTION("""COMPUTED_VALUE"""),"UNIDAD SANITARIA N° 15 (CIC SANTA MARTA) DE MERLO")</f>
        <v>UNIDAD SANITARIA N° 15 (CIC SANTA MARTA) DE MERLO</v>
      </c>
      <c r="C457" s="30" t="str">
        <f ca="1">IFERROR(__xludf.DUMMYFUNCTION("""COMPUTED_VALUE"""),"Buenos Aires")</f>
        <v>Buenos Aires</v>
      </c>
      <c r="D457" s="30" t="str">
        <f ca="1">IFERROR(__xludf.DUMMYFUNCTION("""COMPUTED_VALUE"""),"6")</f>
        <v>6</v>
      </c>
      <c r="E457" s="30" t="str">
        <f ca="1">IFERROR(__xludf.DUMMYFUNCTION("""COMPUTED_VALUE"""),"")</f>
        <v/>
      </c>
      <c r="F457" s="29"/>
      <c r="G457" s="29"/>
      <c r="H457" s="30" t="str">
        <f ca="1">IFERROR(__xludf.DUMMYFUNCTION("""COMPUTED_VALUE"""),"activo")</f>
        <v>activo</v>
      </c>
      <c r="I457" s="29"/>
      <c r="J457" s="29"/>
      <c r="K457" s="29"/>
      <c r="L457" s="30" t="str">
        <f ca="1">IFERROR(__xludf.DUMMYFUNCTION("""COMPUTED_VALUE"""),"No")</f>
        <v>No</v>
      </c>
      <c r="M457" s="30" t="str">
        <f ca="1">IFERROR(__xludf.DUMMYFUNCTION("""COMPUTED_VALUE"""),"6539010001")</f>
        <v>6539010001</v>
      </c>
      <c r="N457" s="30" t="str">
        <f ca="1">IFERROR(__xludf.DUMMYFUNCTION("""COMPUTED_VALUE"""),"LIBERTAD")</f>
        <v>LIBERTAD</v>
      </c>
      <c r="O457" s="30" t="str">
        <f ca="1">IFERROR(__xludf.DUMMYFUNCTION("""COMPUTED_VALUE"""),"6539")</f>
        <v>6539</v>
      </c>
      <c r="P457" s="30" t="str">
        <f ca="1">IFERROR(__xludf.DUMMYFUNCTION("""COMPUTED_VALUE"""),"MERLO")</f>
        <v>MERLO</v>
      </c>
      <c r="Q457" s="30" t="str">
        <f ca="1">IFERROR(__xludf.DUMMYFUNCTION("""COMPUTED_VALUE"""),"-34.69668699")</f>
        <v>-34.69668699</v>
      </c>
      <c r="R457" s="30" t="str">
        <f ca="1">IFERROR(__xludf.DUMMYFUNCTION("""COMPUTED_VALUE"""),"-58.66506958")</f>
        <v>-58.66506958</v>
      </c>
      <c r="S457" s="30" t="str">
        <f ca="1">IFERROR(__xludf.DUMMYFUNCTION("""COMPUTED_VALUE"""),"Municipal")</f>
        <v>Municipal</v>
      </c>
      <c r="T457" s="30" t="str">
        <f ca="1">IFERROR(__xludf.DUMMYFUNCTION("""COMPUTED_VALUE"""),"MERLO")</f>
        <v>MERLO</v>
      </c>
    </row>
    <row r="458" spans="1:20" ht="15.75" customHeight="1" x14ac:dyDescent="0.25">
      <c r="A458" s="30" t="str">
        <f ca="1">IFERROR(__xludf.DUMMYFUNCTION("""COMPUTED_VALUE"""),"50065392202611")</f>
        <v>50065392202611</v>
      </c>
      <c r="B458" s="30" t="str">
        <f ca="1">IFERROR(__xludf.DUMMYFUNCTION("""COMPUTED_VALUE"""),"UNIDAD SANITARIA N° 38 DE MERLO")</f>
        <v>UNIDAD SANITARIA N° 38 DE MERLO</v>
      </c>
      <c r="C458" s="30" t="str">
        <f ca="1">IFERROR(__xludf.DUMMYFUNCTION("""COMPUTED_VALUE"""),"Buenos Aires")</f>
        <v>Buenos Aires</v>
      </c>
      <c r="D458" s="30" t="str">
        <f ca="1">IFERROR(__xludf.DUMMYFUNCTION("""COMPUTED_VALUE"""),"6")</f>
        <v>6</v>
      </c>
      <c r="E458" s="30" t="str">
        <f ca="1">IFERROR(__xludf.DUMMYFUNCTION("""COMPUTED_VALUE"""),"")</f>
        <v/>
      </c>
      <c r="F458" s="29"/>
      <c r="G458" s="29"/>
      <c r="H458" s="30" t="str">
        <f ca="1">IFERROR(__xludf.DUMMYFUNCTION("""COMPUTED_VALUE"""),"activo")</f>
        <v>activo</v>
      </c>
      <c r="I458" s="29"/>
      <c r="J458" s="29"/>
      <c r="K458" s="29"/>
      <c r="L458" s="30" t="str">
        <f ca="1">IFERROR(__xludf.DUMMYFUNCTION("""COMPUTED_VALUE"""),"No")</f>
        <v>No</v>
      </c>
      <c r="M458" s="30" t="str">
        <f ca="1">IFERROR(__xludf.DUMMYFUNCTION("""COMPUTED_VALUE"""),"6539010002")</f>
        <v>6539010002</v>
      </c>
      <c r="N458" s="30" t="str">
        <f ca="1">IFERROR(__xludf.DUMMYFUNCTION("""COMPUTED_VALUE"""),"MARIANO ACOSTA")</f>
        <v>MARIANO ACOSTA</v>
      </c>
      <c r="O458" s="30" t="str">
        <f ca="1">IFERROR(__xludf.DUMMYFUNCTION("""COMPUTED_VALUE"""),"6539")</f>
        <v>6539</v>
      </c>
      <c r="P458" s="30" t="str">
        <f ca="1">IFERROR(__xludf.DUMMYFUNCTION("""COMPUTED_VALUE"""),"MERLO")</f>
        <v>MERLO</v>
      </c>
      <c r="Q458" s="30" t="str">
        <f ca="1">IFERROR(__xludf.DUMMYFUNCTION("""COMPUTED_VALUE"""),"-34.717271")</f>
        <v>-34.717271</v>
      </c>
      <c r="R458" s="30" t="str">
        <f ca="1">IFERROR(__xludf.DUMMYFUNCTION("""COMPUTED_VALUE"""),"-58.787524")</f>
        <v>-58.787524</v>
      </c>
      <c r="S458" s="30" t="str">
        <f ca="1">IFERROR(__xludf.DUMMYFUNCTION("""COMPUTED_VALUE"""),"Municipal")</f>
        <v>Municipal</v>
      </c>
      <c r="T458" s="30" t="str">
        <f ca="1">IFERROR(__xludf.DUMMYFUNCTION("""COMPUTED_VALUE"""),"MERLO")</f>
        <v>MERLO</v>
      </c>
    </row>
    <row r="459" spans="1:20" ht="15.75" customHeight="1" x14ac:dyDescent="0.25">
      <c r="A459" s="30" t="str">
        <f ca="1">IFERROR(__xludf.DUMMYFUNCTION("""COMPUTED_VALUE"""),"50065392202937")</f>
        <v>50065392202937</v>
      </c>
      <c r="B459" s="30" t="str">
        <f ca="1">IFERROR(__xludf.DUMMYFUNCTION("""COMPUTED_VALUE"""),"UNIDAD SANITARIA N° 32 LA CASTELLANA")</f>
        <v>UNIDAD SANITARIA N° 32 LA CASTELLANA</v>
      </c>
      <c r="C459" s="30" t="str">
        <f ca="1">IFERROR(__xludf.DUMMYFUNCTION("""COMPUTED_VALUE"""),"Buenos Aires")</f>
        <v>Buenos Aires</v>
      </c>
      <c r="D459" s="30" t="str">
        <f ca="1">IFERROR(__xludf.DUMMYFUNCTION("""COMPUTED_VALUE"""),"6")</f>
        <v>6</v>
      </c>
      <c r="E459" s="30" t="str">
        <f ca="1">IFERROR(__xludf.DUMMYFUNCTION("""COMPUTED_VALUE"""),"")</f>
        <v/>
      </c>
      <c r="F459" s="29"/>
      <c r="G459" s="29"/>
      <c r="H459" s="30" t="str">
        <f ca="1">IFERROR(__xludf.DUMMYFUNCTION("""COMPUTED_VALUE"""),"activo")</f>
        <v>activo</v>
      </c>
      <c r="I459" s="29"/>
      <c r="J459" s="29"/>
      <c r="K459" s="29"/>
      <c r="L459" s="30" t="str">
        <f ca="1">IFERROR(__xludf.DUMMYFUNCTION("""COMPUTED_VALUE"""),"No")</f>
        <v>No</v>
      </c>
      <c r="M459" s="30" t="str">
        <f ca="1">IFERROR(__xludf.DUMMYFUNCTION("""COMPUTED_VALUE"""),"6539010002")</f>
        <v>6539010002</v>
      </c>
      <c r="N459" s="30" t="str">
        <f ca="1">IFERROR(__xludf.DUMMYFUNCTION("""COMPUTED_VALUE"""),"MARIANO ACOSTA")</f>
        <v>MARIANO ACOSTA</v>
      </c>
      <c r="O459" s="30" t="str">
        <f ca="1">IFERROR(__xludf.DUMMYFUNCTION("""COMPUTED_VALUE"""),"6539")</f>
        <v>6539</v>
      </c>
      <c r="P459" s="30" t="str">
        <f ca="1">IFERROR(__xludf.DUMMYFUNCTION("""COMPUTED_VALUE"""),"MERLO")</f>
        <v>MERLO</v>
      </c>
      <c r="Q459" s="30" t="str">
        <f ca="1">IFERROR(__xludf.DUMMYFUNCTION("""COMPUTED_VALUE"""),"-34.72783073")</f>
        <v>-34.72783073</v>
      </c>
      <c r="R459" s="30" t="str">
        <f ca="1">IFERROR(__xludf.DUMMYFUNCTION("""COMPUTED_VALUE"""),"-58.80206609")</f>
        <v>-58.80206609</v>
      </c>
      <c r="S459" s="30" t="str">
        <f ca="1">IFERROR(__xludf.DUMMYFUNCTION("""COMPUTED_VALUE"""),"Municipal")</f>
        <v>Municipal</v>
      </c>
      <c r="T459" s="30" t="str">
        <f ca="1">IFERROR(__xludf.DUMMYFUNCTION("""COMPUTED_VALUE"""),"MERLO")</f>
        <v>MERLO</v>
      </c>
    </row>
    <row r="460" spans="1:20" ht="15.75" customHeight="1" x14ac:dyDescent="0.25">
      <c r="A460" s="30" t="str">
        <f ca="1">IFERROR(__xludf.DUMMYFUNCTION("""COMPUTED_VALUE"""),"50065602202057")</f>
        <v>50065602202057</v>
      </c>
      <c r="B460" s="30" t="str">
        <f ca="1">IFERROR(__xludf.DUMMYFUNCTION("""COMPUTED_VALUE"""),"UNIDAD SANITARIA ANDERSON")</f>
        <v>UNIDAD SANITARIA ANDERSON</v>
      </c>
      <c r="C460" s="30" t="str">
        <f ca="1">IFERROR(__xludf.DUMMYFUNCTION("""COMPUTED_VALUE"""),"Buenos Aires")</f>
        <v>Buenos Aires</v>
      </c>
      <c r="D460" s="30" t="str">
        <f ca="1">IFERROR(__xludf.DUMMYFUNCTION("""COMPUTED_VALUE"""),"6")</f>
        <v>6</v>
      </c>
      <c r="E460" s="30" t="str">
        <f ca="1">IFERROR(__xludf.DUMMYFUNCTION("""COMPUTED_VALUE"""),"")</f>
        <v/>
      </c>
      <c r="F460" s="29"/>
      <c r="G460" s="29"/>
      <c r="H460" s="30" t="str">
        <f ca="1">IFERROR(__xludf.DUMMYFUNCTION("""COMPUTED_VALUE"""),"activo")</f>
        <v>activo</v>
      </c>
      <c r="I460" s="29"/>
      <c r="J460" s="29"/>
      <c r="K460" s="29"/>
      <c r="L460" s="30" t="str">
        <f ca="1">IFERROR(__xludf.DUMMYFUNCTION("""COMPUTED_VALUE"""),"No")</f>
        <v>No</v>
      </c>
      <c r="M460" s="30" t="str">
        <f ca="1">IFERROR(__xludf.DUMMYFUNCTION("""COMPUTED_VALUE"""),"6560010001")</f>
        <v>6560010001</v>
      </c>
      <c r="N460" s="30" t="str">
        <f ca="1">IFERROR(__xludf.DUMMYFUNCTION("""COMPUTED_VALUE"""),"CUARTEL V")</f>
        <v>CUARTEL V</v>
      </c>
      <c r="O460" s="30" t="str">
        <f ca="1">IFERROR(__xludf.DUMMYFUNCTION("""COMPUTED_VALUE"""),"6560")</f>
        <v>6560</v>
      </c>
      <c r="P460" s="30" t="str">
        <f ca="1">IFERROR(__xludf.DUMMYFUNCTION("""COMPUTED_VALUE"""),"MORENO")</f>
        <v>MORENO</v>
      </c>
      <c r="Q460" s="30" t="str">
        <f ca="1">IFERROR(__xludf.DUMMYFUNCTION("""COMPUTED_VALUE"""),"-34.528039")</f>
        <v>-34.528039</v>
      </c>
      <c r="R460" s="30" t="str">
        <f ca="1">IFERROR(__xludf.DUMMYFUNCTION("""COMPUTED_VALUE"""),"-58.811824")</f>
        <v>-58.811824</v>
      </c>
      <c r="S460" s="30" t="str">
        <f ca="1">IFERROR(__xludf.DUMMYFUNCTION("""COMPUTED_VALUE"""),"Municipal")</f>
        <v>Municipal</v>
      </c>
      <c r="T460" s="30" t="str">
        <f ca="1">IFERROR(__xludf.DUMMYFUNCTION("""COMPUTED_VALUE"""),"MORENO")</f>
        <v>MORENO</v>
      </c>
    </row>
    <row r="461" spans="1:20" ht="15.75" customHeight="1" x14ac:dyDescent="0.25">
      <c r="A461" s="30" t="str">
        <f ca="1">IFERROR(__xludf.DUMMYFUNCTION("""COMPUTED_VALUE"""),"50065602202091")</f>
        <v>50065602202091</v>
      </c>
      <c r="B461" s="30" t="str">
        <f ca="1">IFERROR(__xludf.DUMMYFUNCTION("""COMPUTED_VALUE"""),"UNIDAD SANITARIA BARRIO INDANBURU")</f>
        <v>UNIDAD SANITARIA BARRIO INDANBURU</v>
      </c>
      <c r="C461" s="30" t="str">
        <f ca="1">IFERROR(__xludf.DUMMYFUNCTION("""COMPUTED_VALUE"""),"Buenos Aires")</f>
        <v>Buenos Aires</v>
      </c>
      <c r="D461" s="30" t="str">
        <f ca="1">IFERROR(__xludf.DUMMYFUNCTION("""COMPUTED_VALUE"""),"6")</f>
        <v>6</v>
      </c>
      <c r="E461" s="30" t="str">
        <f ca="1">IFERROR(__xludf.DUMMYFUNCTION("""COMPUTED_VALUE"""),"")</f>
        <v/>
      </c>
      <c r="F461" s="29"/>
      <c r="G461" s="29"/>
      <c r="H461" s="30" t="str">
        <f ca="1">IFERROR(__xludf.DUMMYFUNCTION("""COMPUTED_VALUE"""),"activo")</f>
        <v>activo</v>
      </c>
      <c r="I461" s="29"/>
      <c r="J461" s="29"/>
      <c r="K461" s="29"/>
      <c r="L461" s="30" t="str">
        <f ca="1">IFERROR(__xludf.DUMMYFUNCTION("""COMPUTED_VALUE"""),"No")</f>
        <v>No</v>
      </c>
      <c r="M461" s="30" t="str">
        <f ca="1">IFERROR(__xludf.DUMMYFUNCTION("""COMPUTED_VALUE"""),"6560010004")</f>
        <v>6560010004</v>
      </c>
      <c r="N461" s="30" t="str">
        <f ca="1">IFERROR(__xludf.DUMMYFUNCTION("""COMPUTED_VALUE"""),"MORENO")</f>
        <v>MORENO</v>
      </c>
      <c r="O461" s="30" t="str">
        <f ca="1">IFERROR(__xludf.DUMMYFUNCTION("""COMPUTED_VALUE"""),"6560")</f>
        <v>6560</v>
      </c>
      <c r="P461" s="30" t="str">
        <f ca="1">IFERROR(__xludf.DUMMYFUNCTION("""COMPUTED_VALUE"""),"MORENO")</f>
        <v>MORENO</v>
      </c>
      <c r="Q461" s="30" t="str">
        <f ca="1">IFERROR(__xludf.DUMMYFUNCTION("""COMPUTED_VALUE"""),"-34.6102013")</f>
        <v>-34.6102013</v>
      </c>
      <c r="R461" s="30" t="str">
        <f ca="1">IFERROR(__xludf.DUMMYFUNCTION("""COMPUTED_VALUE"""),"-58.7857971")</f>
        <v>-58.7857971</v>
      </c>
      <c r="S461" s="30" t="str">
        <f ca="1">IFERROR(__xludf.DUMMYFUNCTION("""COMPUTED_VALUE"""),"Municipal")</f>
        <v>Municipal</v>
      </c>
      <c r="T461" s="30" t="str">
        <f ca="1">IFERROR(__xludf.DUMMYFUNCTION("""COMPUTED_VALUE"""),"MORENO")</f>
        <v>MORENO</v>
      </c>
    </row>
    <row r="462" spans="1:20" ht="15.75" customHeight="1" x14ac:dyDescent="0.25">
      <c r="A462" s="30" t="str">
        <f ca="1">IFERROR(__xludf.DUMMYFUNCTION("""COMPUTED_VALUE"""),"50065602202299")</f>
        <v>50065602202299</v>
      </c>
      <c r="B462" s="30" t="str">
        <f ca="1">IFERROR(__xludf.DUMMYFUNCTION("""COMPUTED_VALUE"""),"UNIDAD SANITARIA FRANCISCO ALVAREZ")</f>
        <v>UNIDAD SANITARIA FRANCISCO ALVAREZ</v>
      </c>
      <c r="C462" s="30" t="str">
        <f ca="1">IFERROR(__xludf.DUMMYFUNCTION("""COMPUTED_VALUE"""),"Buenos Aires")</f>
        <v>Buenos Aires</v>
      </c>
      <c r="D462" s="30" t="str">
        <f ca="1">IFERROR(__xludf.DUMMYFUNCTION("""COMPUTED_VALUE"""),"6")</f>
        <v>6</v>
      </c>
      <c r="E462" s="30" t="str">
        <f ca="1">IFERROR(__xludf.DUMMYFUNCTION("""COMPUTED_VALUE"""),"")</f>
        <v/>
      </c>
      <c r="F462" s="29"/>
      <c r="G462" s="29"/>
      <c r="H462" s="30" t="str">
        <f ca="1">IFERROR(__xludf.DUMMYFUNCTION("""COMPUTED_VALUE"""),"inactivo")</f>
        <v>inactivo</v>
      </c>
      <c r="I462" s="30" t="str">
        <f ca="1">IFERROR(__xludf.DUMMYFUNCTION("""COMPUTED_VALUE"""),"No se encuentra sisa ni por nombre UNIDAD SANITARIA FRANCISCO ALVAREZ - fuera circular 2")</f>
        <v>No se encuentra sisa ni por nombre UNIDAD SANITARIA FRANCISCO ALVAREZ - fuera circular 2</v>
      </c>
      <c r="J462" s="29"/>
      <c r="K462" s="29"/>
      <c r="L462" s="30" t="str">
        <f ca="1">IFERROR(__xludf.DUMMYFUNCTION("""COMPUTED_VALUE"""),"No")</f>
        <v>No</v>
      </c>
      <c r="M462" s="30" t="str">
        <f ca="1">IFERROR(__xludf.DUMMYFUNCTION("""COMPUTED_VALUE"""),"#N/A")</f>
        <v>#N/A</v>
      </c>
      <c r="N462" s="30" t="str">
        <f ca="1">IFERROR(__xludf.DUMMYFUNCTION("""COMPUTED_VALUE"""),"#N/A")</f>
        <v>#N/A</v>
      </c>
      <c r="O462" s="30" t="str">
        <f ca="1">IFERROR(__xludf.DUMMYFUNCTION("""COMPUTED_VALUE"""),"#N/A")</f>
        <v>#N/A</v>
      </c>
      <c r="P462" s="30" t="str">
        <f ca="1">IFERROR(__xludf.DUMMYFUNCTION("""COMPUTED_VALUE"""),"MORENO")</f>
        <v>MORENO</v>
      </c>
      <c r="Q462" s="30" t="str">
        <f ca="1">IFERROR(__xludf.DUMMYFUNCTION("""COMPUTED_VALUE"""),"#N/A")</f>
        <v>#N/A</v>
      </c>
      <c r="R462" s="30" t="str">
        <f ca="1">IFERROR(__xludf.DUMMYFUNCTION("""COMPUTED_VALUE"""),"#N/A")</f>
        <v>#N/A</v>
      </c>
      <c r="S462" s="30" t="str">
        <f ca="1">IFERROR(__xludf.DUMMYFUNCTION("""COMPUTED_VALUE"""),"#N/A")</f>
        <v>#N/A</v>
      </c>
      <c r="T462" s="30" t="str">
        <f ca="1">IFERROR(__xludf.DUMMYFUNCTION("""COMPUTED_VALUE"""),"MORENO")</f>
        <v>MORENO</v>
      </c>
    </row>
    <row r="463" spans="1:20" ht="15.75" customHeight="1" x14ac:dyDescent="0.25">
      <c r="A463" s="30" t="str">
        <f ca="1">IFERROR(__xludf.DUMMYFUNCTION("""COMPUTED_VALUE"""),"50065602202395")</f>
        <v>50065602202395</v>
      </c>
      <c r="B463" s="30" t="str">
        <f ca="1">IFERROR(__xludf.DUMMYFUNCTION("""COMPUTED_VALUE"""),"UNIDAD SANITARIA LAS CATONAS")</f>
        <v>UNIDAD SANITARIA LAS CATONAS</v>
      </c>
      <c r="C463" s="30" t="str">
        <f ca="1">IFERROR(__xludf.DUMMYFUNCTION("""COMPUTED_VALUE"""),"Buenos Aires")</f>
        <v>Buenos Aires</v>
      </c>
      <c r="D463" s="30" t="str">
        <f ca="1">IFERROR(__xludf.DUMMYFUNCTION("""COMPUTED_VALUE"""),"6")</f>
        <v>6</v>
      </c>
      <c r="E463" s="30" t="str">
        <f ca="1">IFERROR(__xludf.DUMMYFUNCTION("""COMPUTED_VALUE"""),"")</f>
        <v/>
      </c>
      <c r="F463" s="29"/>
      <c r="G463" s="29"/>
      <c r="H463" s="30" t="str">
        <f ca="1">IFERROR(__xludf.DUMMYFUNCTION("""COMPUTED_VALUE"""),"inactivo")</f>
        <v>inactivo</v>
      </c>
      <c r="I463" s="30" t="str">
        <f ca="1">IFERROR(__xludf.DUMMYFUNCTION("""COMPUTED_VALUE"""),"se dio de baja durante la adenda al CAI 2020. fue remplazado por otro efector con REFES 50065602202347")</f>
        <v>se dio de baja durante la adenda al CAI 2020. fue remplazado por otro efector con REFES 50065602202347</v>
      </c>
      <c r="J463" s="29"/>
      <c r="K463" s="29"/>
      <c r="L463" s="30" t="str">
        <f ca="1">IFERROR(__xludf.DUMMYFUNCTION("""COMPUTED_VALUE"""),"No")</f>
        <v>No</v>
      </c>
      <c r="M463" s="30" t="str">
        <f ca="1">IFERROR(__xludf.DUMMYFUNCTION("""COMPUTED_VALUE"""),"6560010006")</f>
        <v>6560010006</v>
      </c>
      <c r="N463" s="30" t="str">
        <f ca="1">IFERROR(__xludf.DUMMYFUNCTION("""COMPUTED_VALUE"""),"TRUJUI")</f>
        <v>TRUJUI</v>
      </c>
      <c r="O463" s="30" t="str">
        <f ca="1">IFERROR(__xludf.DUMMYFUNCTION("""COMPUTED_VALUE"""),"6560")</f>
        <v>6560</v>
      </c>
      <c r="P463" s="30" t="str">
        <f ca="1">IFERROR(__xludf.DUMMYFUNCTION("""COMPUTED_VALUE"""),"MORENO")</f>
        <v>MORENO</v>
      </c>
      <c r="Q463" s="30" t="str">
        <f ca="1">IFERROR(__xludf.DUMMYFUNCTION("""COMPUTED_VALUE"""),"-34.6130327")</f>
        <v>-34.6130327</v>
      </c>
      <c r="R463" s="30" t="str">
        <f ca="1">IFERROR(__xludf.DUMMYFUNCTION("""COMPUTED_VALUE"""),"-58.7591875")</f>
        <v>-58.7591875</v>
      </c>
      <c r="S463" s="30" t="str">
        <f ca="1">IFERROR(__xludf.DUMMYFUNCTION("""COMPUTED_VALUE"""),"Municipal")</f>
        <v>Municipal</v>
      </c>
      <c r="T463" s="30" t="str">
        <f ca="1">IFERROR(__xludf.DUMMYFUNCTION("""COMPUTED_VALUE"""),"MORENO")</f>
        <v>MORENO</v>
      </c>
    </row>
    <row r="464" spans="1:20" ht="15.75" customHeight="1" x14ac:dyDescent="0.25">
      <c r="A464" s="30" t="str">
        <f ca="1">IFERROR(__xludf.DUMMYFUNCTION("""COMPUTED_VALUE"""),"50065602202777")</f>
        <v>50065602202777</v>
      </c>
      <c r="B464" s="30" t="str">
        <f ca="1">IFERROR(__xludf.DUMMYFUNCTION("""COMPUTED_VALUE"""),"UNIDAD SANITARIA SAN CARLOS DE MORENO")</f>
        <v>UNIDAD SANITARIA SAN CARLOS DE MORENO</v>
      </c>
      <c r="C464" s="30" t="str">
        <f ca="1">IFERROR(__xludf.DUMMYFUNCTION("""COMPUTED_VALUE"""),"Buenos Aires")</f>
        <v>Buenos Aires</v>
      </c>
      <c r="D464" s="30" t="str">
        <f ca="1">IFERROR(__xludf.DUMMYFUNCTION("""COMPUTED_VALUE"""),"6")</f>
        <v>6</v>
      </c>
      <c r="E464" s="30" t="str">
        <f ca="1">IFERROR(__xludf.DUMMYFUNCTION("""COMPUTED_VALUE"""),"")</f>
        <v/>
      </c>
      <c r="F464" s="29"/>
      <c r="G464" s="29"/>
      <c r="H464" s="30" t="str">
        <f ca="1">IFERROR(__xludf.DUMMYFUNCTION("""COMPUTED_VALUE"""),"inactivo")</f>
        <v>inactivo</v>
      </c>
      <c r="I464" s="29"/>
      <c r="J464" s="29"/>
      <c r="K464" s="29"/>
      <c r="L464" s="30" t="str">
        <f ca="1">IFERROR(__xludf.DUMMYFUNCTION("""COMPUTED_VALUE"""),"No")</f>
        <v>No</v>
      </c>
      <c r="M464" s="30" t="str">
        <f ca="1">IFERROR(__xludf.DUMMYFUNCTION("""COMPUTED_VALUE"""),"6560010006")</f>
        <v>6560010006</v>
      </c>
      <c r="N464" s="30" t="str">
        <f ca="1">IFERROR(__xludf.DUMMYFUNCTION("""COMPUTED_VALUE"""),"TRUJUI")</f>
        <v>TRUJUI</v>
      </c>
      <c r="O464" s="30" t="str">
        <f ca="1">IFERROR(__xludf.DUMMYFUNCTION("""COMPUTED_VALUE"""),"6560")</f>
        <v>6560</v>
      </c>
      <c r="P464" s="30" t="str">
        <f ca="1">IFERROR(__xludf.DUMMYFUNCTION("""COMPUTED_VALUE"""),"MORENO")</f>
        <v>MORENO</v>
      </c>
      <c r="Q464" s="30" t="str">
        <f ca="1">IFERROR(__xludf.DUMMYFUNCTION("""COMPUTED_VALUE"""),"-34.608534")</f>
        <v>-34.608534</v>
      </c>
      <c r="R464" s="30" t="str">
        <f ca="1">IFERROR(__xludf.DUMMYFUNCTION("""COMPUTED_VALUE"""),"-58.771473")</f>
        <v>-58.771473</v>
      </c>
      <c r="S464" s="30" t="str">
        <f ca="1">IFERROR(__xludf.DUMMYFUNCTION("""COMPUTED_VALUE"""),"Municipal")</f>
        <v>Municipal</v>
      </c>
      <c r="T464" s="30" t="str">
        <f ca="1">IFERROR(__xludf.DUMMYFUNCTION("""COMPUTED_VALUE"""),"MORENO")</f>
        <v>MORENO</v>
      </c>
    </row>
    <row r="465" spans="1:20" ht="15.75" customHeight="1" x14ac:dyDescent="0.25">
      <c r="A465" s="30" t="str">
        <f ca="1">IFERROR(__xludf.DUMMYFUNCTION("""COMPUTED_VALUE"""),"50065602202809")</f>
        <v>50065602202809</v>
      </c>
      <c r="B465" s="30" t="str">
        <f ca="1">IFERROR(__xludf.DUMMYFUNCTION("""COMPUTED_VALUE"""),"UNIDAD SANITARIA SANTA BRIGIDA 17 DE AGOSTO")</f>
        <v>UNIDAD SANITARIA SANTA BRIGIDA 17 DE AGOSTO</v>
      </c>
      <c r="C465" s="30" t="str">
        <f ca="1">IFERROR(__xludf.DUMMYFUNCTION("""COMPUTED_VALUE"""),"Buenos Aires")</f>
        <v>Buenos Aires</v>
      </c>
      <c r="D465" s="30" t="str">
        <f ca="1">IFERROR(__xludf.DUMMYFUNCTION("""COMPUTED_VALUE"""),"6")</f>
        <v>6</v>
      </c>
      <c r="E465" s="30" t="str">
        <f ca="1">IFERROR(__xludf.DUMMYFUNCTION("""COMPUTED_VALUE"""),"")</f>
        <v/>
      </c>
      <c r="F465" s="29"/>
      <c r="G465" s="29"/>
      <c r="H465" s="30" t="str">
        <f ca="1">IFERROR(__xludf.DUMMYFUNCTION("""COMPUTED_VALUE"""),"activo")</f>
        <v>activo</v>
      </c>
      <c r="I465" s="30" t="str">
        <f ca="1">IFERROR(__xludf.DUMMYFUNCTION("""COMPUTED_VALUE"""),"se reincorporó en la adenda al CAI 2020")</f>
        <v>se reincorporó en la adenda al CAI 2020</v>
      </c>
      <c r="J465" s="29"/>
      <c r="K465" s="29"/>
      <c r="L465" s="30" t="str">
        <f ca="1">IFERROR(__xludf.DUMMYFUNCTION("""COMPUTED_VALUE"""),"No")</f>
        <v>No</v>
      </c>
      <c r="M465" s="30" t="str">
        <f ca="1">IFERROR(__xludf.DUMMYFUNCTION("""COMPUTED_VALUE"""),"6560010006")</f>
        <v>6560010006</v>
      </c>
      <c r="N465" s="30" t="str">
        <f ca="1">IFERROR(__xludf.DUMMYFUNCTION("""COMPUTED_VALUE"""),"TRUJUI")</f>
        <v>TRUJUI</v>
      </c>
      <c r="O465" s="30" t="str">
        <f ca="1">IFERROR(__xludf.DUMMYFUNCTION("""COMPUTED_VALUE"""),"6560")</f>
        <v>6560</v>
      </c>
      <c r="P465" s="30" t="str">
        <f ca="1">IFERROR(__xludf.DUMMYFUNCTION("""COMPUTED_VALUE"""),"MORENO")</f>
        <v>MORENO</v>
      </c>
      <c r="Q465" s="30" t="str">
        <f ca="1">IFERROR(__xludf.DUMMYFUNCTION("""COMPUTED_VALUE"""),"-34.567256")</f>
        <v>-34.567256</v>
      </c>
      <c r="R465" s="30" t="str">
        <f ca="1">IFERROR(__xludf.DUMMYFUNCTION("""COMPUTED_VALUE"""),"-58.7683725")</f>
        <v>-58.7683725</v>
      </c>
      <c r="S465" s="30" t="str">
        <f ca="1">IFERROR(__xludf.DUMMYFUNCTION("""COMPUTED_VALUE"""),"Municipal")</f>
        <v>Municipal</v>
      </c>
      <c r="T465" s="30" t="str">
        <f ca="1">IFERROR(__xludf.DUMMYFUNCTION("""COMPUTED_VALUE"""),"MORENO")</f>
        <v>MORENO</v>
      </c>
    </row>
    <row r="466" spans="1:20" ht="15.75" customHeight="1" x14ac:dyDescent="0.25">
      <c r="A466" s="30" t="str">
        <f ca="1">IFERROR(__xludf.DUMMYFUNCTION("""COMPUTED_VALUE"""),"50065602202934")</f>
        <v>50065602202934</v>
      </c>
      <c r="B466" s="30" t="str">
        <f ca="1">IFERROR(__xludf.DUMMYFUNCTION("""COMPUTED_VALUE"""),"UNIDAD SANITARIA 25 DE MAYO DE MORENO")</f>
        <v>UNIDAD SANITARIA 25 DE MAYO DE MORENO</v>
      </c>
      <c r="C466" s="30" t="str">
        <f ca="1">IFERROR(__xludf.DUMMYFUNCTION("""COMPUTED_VALUE"""),"Buenos Aires")</f>
        <v>Buenos Aires</v>
      </c>
      <c r="D466" s="30" t="str">
        <f ca="1">IFERROR(__xludf.DUMMYFUNCTION("""COMPUTED_VALUE"""),"6")</f>
        <v>6</v>
      </c>
      <c r="E466" s="30" t="str">
        <f ca="1">IFERROR(__xludf.DUMMYFUNCTION("""COMPUTED_VALUE"""),"")</f>
        <v/>
      </c>
      <c r="F466" s="29"/>
      <c r="G466" s="29"/>
      <c r="H466" s="30" t="str">
        <f ca="1">IFERROR(__xludf.DUMMYFUNCTION("""COMPUTED_VALUE"""),"inactivo")</f>
        <v>inactivo</v>
      </c>
      <c r="I466" s="30" t="str">
        <f ca="1">IFERROR(__xludf.DUMMYFUNCTION("""COMPUTED_VALUE"""),"se dio de baja durante la adenda al CAI 2020. fue remplazado por otro efector con REFES 50065602202415")</f>
        <v>se dio de baja durante la adenda al CAI 2020. fue remplazado por otro efector con REFES 50065602202415</v>
      </c>
      <c r="J466" s="29"/>
      <c r="K466" s="29"/>
      <c r="L466" s="30" t="str">
        <f ca="1">IFERROR(__xludf.DUMMYFUNCTION("""COMPUTED_VALUE"""),"No")</f>
        <v>No</v>
      </c>
      <c r="M466" s="30" t="str">
        <f ca="1">IFERROR(__xludf.DUMMYFUNCTION("""COMPUTED_VALUE"""),"6560010004")</f>
        <v>6560010004</v>
      </c>
      <c r="N466" s="30" t="str">
        <f ca="1">IFERROR(__xludf.DUMMYFUNCTION("""COMPUTED_VALUE"""),"MORENO")</f>
        <v>MORENO</v>
      </c>
      <c r="O466" s="30" t="str">
        <f ca="1">IFERROR(__xludf.DUMMYFUNCTION("""COMPUTED_VALUE"""),"6560")</f>
        <v>6560</v>
      </c>
      <c r="P466" s="30" t="str">
        <f ca="1">IFERROR(__xludf.DUMMYFUNCTION("""COMPUTED_VALUE"""),"MORENO")</f>
        <v>MORENO</v>
      </c>
      <c r="Q466" s="30" t="str">
        <f ca="1">IFERROR(__xludf.DUMMYFUNCTION("""COMPUTED_VALUE"""),"-34.6011615")</f>
        <v>-34.6011615</v>
      </c>
      <c r="R466" s="30" t="str">
        <f ca="1">IFERROR(__xludf.DUMMYFUNCTION("""COMPUTED_VALUE"""),"-58.8043987")</f>
        <v>-58.8043987</v>
      </c>
      <c r="S466" s="30" t="str">
        <f ca="1">IFERROR(__xludf.DUMMYFUNCTION("""COMPUTED_VALUE"""),"Municipal")</f>
        <v>Municipal</v>
      </c>
      <c r="T466" s="30" t="str">
        <f ca="1">IFERROR(__xludf.DUMMYFUNCTION("""COMPUTED_VALUE"""),"MORENO")</f>
        <v>MORENO</v>
      </c>
    </row>
    <row r="467" spans="1:20" ht="15.75" customHeight="1" x14ac:dyDescent="0.25">
      <c r="A467" s="30" t="str">
        <f ca="1">IFERROR(__xludf.DUMMYFUNCTION("""COMPUTED_VALUE"""),"50065682202693")</f>
        <v>50065682202693</v>
      </c>
      <c r="B467" s="30" t="str">
        <f ca="1">IFERROR(__xludf.DUMMYFUNCTION("""COMPUTED_VALUE"""),"UNIDAD SANITARIA NUESTRA SEÑORA DEL VALLE")</f>
        <v>UNIDAD SANITARIA NUESTRA SEÑORA DEL VALLE</v>
      </c>
      <c r="C467" s="30" t="str">
        <f ca="1">IFERROR(__xludf.DUMMYFUNCTION("""COMPUTED_VALUE"""),"Buenos Aires")</f>
        <v>Buenos Aires</v>
      </c>
      <c r="D467" s="30" t="str">
        <f ca="1">IFERROR(__xludf.DUMMYFUNCTION("""COMPUTED_VALUE"""),"6")</f>
        <v>6</v>
      </c>
      <c r="E467" s="30" t="str">
        <f ca="1">IFERROR(__xludf.DUMMYFUNCTION("""COMPUTED_VALUE"""),"")</f>
        <v/>
      </c>
      <c r="F467" s="29"/>
      <c r="G467" s="29"/>
      <c r="H467" s="30" t="str">
        <f ca="1">IFERROR(__xludf.DUMMYFUNCTION("""COMPUTED_VALUE"""),"activo")</f>
        <v>activo</v>
      </c>
      <c r="I467" s="29"/>
      <c r="J467" s="29"/>
      <c r="K467" s="29"/>
      <c r="L467" s="30" t="str">
        <f ca="1">IFERROR(__xludf.DUMMYFUNCTION("""COMPUTED_VALUE"""),"No")</f>
        <v>No</v>
      </c>
      <c r="M467" s="30" t="str">
        <f ca="1">IFERROR(__xludf.DUMMYFUNCTION("""COMPUTED_VALUE"""),"6568010002")</f>
        <v>6568010002</v>
      </c>
      <c r="N467" s="30" t="str">
        <f ca="1">IFERROR(__xludf.DUMMYFUNCTION("""COMPUTED_VALUE"""),"EL PALOMAR")</f>
        <v>EL PALOMAR</v>
      </c>
      <c r="O467" s="30" t="str">
        <f ca="1">IFERROR(__xludf.DUMMYFUNCTION("""COMPUTED_VALUE"""),"6568")</f>
        <v>6568</v>
      </c>
      <c r="P467" s="30" t="str">
        <f ca="1">IFERROR(__xludf.DUMMYFUNCTION("""COMPUTED_VALUE"""),"MORÓN")</f>
        <v>MORÓN</v>
      </c>
      <c r="Q467" s="30" t="str">
        <f ca="1">IFERROR(__xludf.DUMMYFUNCTION("""COMPUTED_VALUE"""),"-34.6299138")</f>
        <v>-34.6299138</v>
      </c>
      <c r="R467" s="30" t="str">
        <f ca="1">IFERROR(__xludf.DUMMYFUNCTION("""COMPUTED_VALUE"""),"-58.6180772")</f>
        <v>-58.6180772</v>
      </c>
      <c r="S467" s="30" t="str">
        <f ca="1">IFERROR(__xludf.DUMMYFUNCTION("""COMPUTED_VALUE"""),"Municipal")</f>
        <v>Municipal</v>
      </c>
      <c r="T467" s="30" t="str">
        <f ca="1">IFERROR(__xludf.DUMMYFUNCTION("""COMPUTED_VALUE"""),"MORÓN")</f>
        <v>MORÓN</v>
      </c>
    </row>
    <row r="468" spans="1:20" ht="15.75" customHeight="1" x14ac:dyDescent="0.25">
      <c r="A468" s="30" t="str">
        <f ca="1">IFERROR(__xludf.DUMMYFUNCTION("""COMPUTED_VALUE"""),"50065682202738")</f>
        <v>50065682202738</v>
      </c>
      <c r="B468" s="30" t="str">
        <f ca="1">IFERROR(__xludf.DUMMYFUNCTION("""COMPUTED_VALUE"""),"UNIDAD SANITARIA PRESIDENTE IBAÑEZ")</f>
        <v>UNIDAD SANITARIA PRESIDENTE IBAÑEZ</v>
      </c>
      <c r="C468" s="30" t="str">
        <f ca="1">IFERROR(__xludf.DUMMYFUNCTION("""COMPUTED_VALUE"""),"Buenos Aires")</f>
        <v>Buenos Aires</v>
      </c>
      <c r="D468" s="30" t="str">
        <f ca="1">IFERROR(__xludf.DUMMYFUNCTION("""COMPUTED_VALUE"""),"6")</f>
        <v>6</v>
      </c>
      <c r="E468" s="30" t="str">
        <f ca="1">IFERROR(__xludf.DUMMYFUNCTION("""COMPUTED_VALUE"""),"")</f>
        <v/>
      </c>
      <c r="F468" s="29"/>
      <c r="G468" s="29"/>
      <c r="H468" s="30" t="str">
        <f ca="1">IFERROR(__xludf.DUMMYFUNCTION("""COMPUTED_VALUE"""),"activo")</f>
        <v>activo</v>
      </c>
      <c r="I468" s="29"/>
      <c r="J468" s="29"/>
      <c r="K468" s="29"/>
      <c r="L468" s="30" t="str">
        <f ca="1">IFERROR(__xludf.DUMMYFUNCTION("""COMPUTED_VALUE"""),"No")</f>
        <v>No</v>
      </c>
      <c r="M468" s="30" t="str">
        <f ca="1">IFERROR(__xludf.DUMMYFUNCTION("""COMPUTED_VALUE"""),"6568010004")</f>
        <v>6568010004</v>
      </c>
      <c r="N468" s="30" t="str">
        <f ca="1">IFERROR(__xludf.DUMMYFUNCTION("""COMPUTED_VALUE"""),"MORON")</f>
        <v>MORON</v>
      </c>
      <c r="O468" s="30" t="str">
        <f ca="1">IFERROR(__xludf.DUMMYFUNCTION("""COMPUTED_VALUE"""),"6568")</f>
        <v>6568</v>
      </c>
      <c r="P468" s="30" t="str">
        <f ca="1">IFERROR(__xludf.DUMMYFUNCTION("""COMPUTED_VALUE"""),"MORÓN")</f>
        <v>MORÓN</v>
      </c>
      <c r="Q468" s="30" t="str">
        <f ca="1">IFERROR(__xludf.DUMMYFUNCTION("""COMPUTED_VALUE"""),"-34.67910751")</f>
        <v>-34.67910751</v>
      </c>
      <c r="R468" s="30" t="str">
        <f ca="1">IFERROR(__xludf.DUMMYFUNCTION("""COMPUTED_VALUE"""),"-58.61623192")</f>
        <v>-58.61623192</v>
      </c>
      <c r="S468" s="30" t="str">
        <f ca="1">IFERROR(__xludf.DUMMYFUNCTION("""COMPUTED_VALUE"""),"Municipal")</f>
        <v>Municipal</v>
      </c>
      <c r="T468" s="30" t="str">
        <f ca="1">IFERROR(__xludf.DUMMYFUNCTION("""COMPUTED_VALUE"""),"MORÓN")</f>
        <v>MORÓN</v>
      </c>
    </row>
    <row r="469" spans="1:20" ht="15.75" customHeight="1" x14ac:dyDescent="0.25">
      <c r="A469" s="30" t="str">
        <f ca="1">IFERROR(__xludf.DUMMYFUNCTION("""COMPUTED_VALUE"""),"50065882202105")</f>
        <v>50065882202105</v>
      </c>
      <c r="B469" s="30" t="str">
        <f ca="1">IFERROR(__xludf.DUMMYFUNCTION("""COMPUTED_VALUE"""),"UNIDAD SANITARIA BARRIO LUJAN DE 9 DE JULIO")</f>
        <v>UNIDAD SANITARIA BARRIO LUJAN DE 9 DE JULIO</v>
      </c>
      <c r="C469" s="30" t="str">
        <f ca="1">IFERROR(__xludf.DUMMYFUNCTION("""COMPUTED_VALUE"""),"Buenos Aires")</f>
        <v>Buenos Aires</v>
      </c>
      <c r="D469" s="30" t="str">
        <f ca="1">IFERROR(__xludf.DUMMYFUNCTION("""COMPUTED_VALUE"""),"6")</f>
        <v>6</v>
      </c>
      <c r="E469" s="30" t="str">
        <f ca="1">IFERROR(__xludf.DUMMYFUNCTION("""COMPUTED_VALUE"""),"")</f>
        <v/>
      </c>
      <c r="F469" s="29"/>
      <c r="G469" s="29"/>
      <c r="H469" s="30" t="str">
        <f ca="1">IFERROR(__xludf.DUMMYFUNCTION("""COMPUTED_VALUE"""),"activo")</f>
        <v>activo</v>
      </c>
      <c r="I469" s="29"/>
      <c r="J469" s="29"/>
      <c r="K469" s="29"/>
      <c r="L469" s="30" t="str">
        <f ca="1">IFERROR(__xludf.DUMMYFUNCTION("""COMPUTED_VALUE"""),"No")</f>
        <v>No</v>
      </c>
      <c r="M469" s="30" t="str">
        <f ca="1">IFERROR(__xludf.DUMMYFUNCTION("""COMPUTED_VALUE"""),"6588100000")</f>
        <v>6588100000</v>
      </c>
      <c r="N469" s="30" t="str">
        <f ca="1">IFERROR(__xludf.DUMMYFUNCTION("""COMPUTED_VALUE"""),"9 DE JULIO")</f>
        <v>9 DE JULIO</v>
      </c>
      <c r="O469" s="30" t="str">
        <f ca="1">IFERROR(__xludf.DUMMYFUNCTION("""COMPUTED_VALUE"""),"6588")</f>
        <v>6588</v>
      </c>
      <c r="P469" s="30" t="str">
        <f ca="1">IFERROR(__xludf.DUMMYFUNCTION("""COMPUTED_VALUE"""),"9 DE JULIO")</f>
        <v>9 DE JULIO</v>
      </c>
      <c r="Q469" s="30" t="str">
        <f ca="1">IFERROR(__xludf.DUMMYFUNCTION("""COMPUTED_VALUE"""),"-35.44663074")</f>
        <v>-35.44663074</v>
      </c>
      <c r="R469" s="30" t="str">
        <f ca="1">IFERROR(__xludf.DUMMYFUNCTION("""COMPUTED_VALUE"""),"-60.88265991")</f>
        <v>-60.88265991</v>
      </c>
      <c r="S469" s="30" t="str">
        <f ca="1">IFERROR(__xludf.DUMMYFUNCTION("""COMPUTED_VALUE"""),"Municipal")</f>
        <v>Municipal</v>
      </c>
      <c r="T469" s="30" t="str">
        <f ca="1">IFERROR(__xludf.DUMMYFUNCTION("""COMPUTED_VALUE"""),"9 DE JULIO")</f>
        <v>9 DE JULIO</v>
      </c>
    </row>
    <row r="470" spans="1:20" ht="15.75" customHeight="1" x14ac:dyDescent="0.25">
      <c r="A470" s="30" t="str">
        <f ca="1">IFERROR(__xludf.DUMMYFUNCTION("""COMPUTED_VALUE"""),"50065882202241")</f>
        <v>50065882202241</v>
      </c>
      <c r="B470" s="30" t="str">
        <f ca="1">IFERROR(__xludf.DUMMYFUNCTION("""COMPUTED_VALUE"""),"UNIDAD SANITARIA DR. NORMAN MOSCATO")</f>
        <v>UNIDAD SANITARIA DR. NORMAN MOSCATO</v>
      </c>
      <c r="C470" s="30" t="str">
        <f ca="1">IFERROR(__xludf.DUMMYFUNCTION("""COMPUTED_VALUE"""),"Buenos Aires")</f>
        <v>Buenos Aires</v>
      </c>
      <c r="D470" s="30" t="str">
        <f ca="1">IFERROR(__xludf.DUMMYFUNCTION("""COMPUTED_VALUE"""),"6")</f>
        <v>6</v>
      </c>
      <c r="E470" s="30" t="str">
        <f ca="1">IFERROR(__xludf.DUMMYFUNCTION("""COMPUTED_VALUE"""),"")</f>
        <v/>
      </c>
      <c r="F470" s="29"/>
      <c r="G470" s="29"/>
      <c r="H470" s="30" t="str">
        <f ca="1">IFERROR(__xludf.DUMMYFUNCTION("""COMPUTED_VALUE"""),"activo")</f>
        <v>activo</v>
      </c>
      <c r="I470" s="29"/>
      <c r="J470" s="29"/>
      <c r="K470" s="29"/>
      <c r="L470" s="30" t="str">
        <f ca="1">IFERROR(__xludf.DUMMYFUNCTION("""COMPUTED_VALUE"""),"No")</f>
        <v>No</v>
      </c>
      <c r="M470" s="30" t="str">
        <f ca="1">IFERROR(__xludf.DUMMYFUNCTION("""COMPUTED_VALUE"""),"6588100000")</f>
        <v>6588100000</v>
      </c>
      <c r="N470" s="30" t="str">
        <f ca="1">IFERROR(__xludf.DUMMYFUNCTION("""COMPUTED_VALUE"""),"9 DE JULIO")</f>
        <v>9 DE JULIO</v>
      </c>
      <c r="O470" s="30" t="str">
        <f ca="1">IFERROR(__xludf.DUMMYFUNCTION("""COMPUTED_VALUE"""),"6588")</f>
        <v>6588</v>
      </c>
      <c r="P470" s="30" t="str">
        <f ca="1">IFERROR(__xludf.DUMMYFUNCTION("""COMPUTED_VALUE"""),"9 DE JULIO")</f>
        <v>9 DE JULIO</v>
      </c>
      <c r="Q470" s="30" t="str">
        <f ca="1">IFERROR(__xludf.DUMMYFUNCTION("""COMPUTED_VALUE"""),"-35.44830886")</f>
        <v>-35.44830886</v>
      </c>
      <c r="R470" s="30" t="str">
        <f ca="1">IFERROR(__xludf.DUMMYFUNCTION("""COMPUTED_VALUE"""),"-60.88334656")</f>
        <v>-60.88334656</v>
      </c>
      <c r="S470" s="30" t="str">
        <f ca="1">IFERROR(__xludf.DUMMYFUNCTION("""COMPUTED_VALUE"""),"Municipal")</f>
        <v>Municipal</v>
      </c>
      <c r="T470" s="30" t="str">
        <f ca="1">IFERROR(__xludf.DUMMYFUNCTION("""COMPUTED_VALUE"""),"9 DE JULIO")</f>
        <v>9 DE JULIO</v>
      </c>
    </row>
    <row r="471" spans="1:20" ht="15.75" customHeight="1" x14ac:dyDescent="0.25">
      <c r="A471" s="30" t="str">
        <f ca="1">IFERROR(__xludf.DUMMYFUNCTION("""COMPUTED_VALUE"""),"50066022202875")</f>
        <v>50066022202875</v>
      </c>
      <c r="B471" s="30" t="str">
        <f ca="1">IFERROR(__xludf.DUMMYFUNCTION("""COMPUTED_VALUE"""),"UNIDAD SANITARIA VILLA DEL CARMEN")</f>
        <v>UNIDAD SANITARIA VILLA DEL CARMEN</v>
      </c>
      <c r="C471" s="30" t="str">
        <f ca="1">IFERROR(__xludf.DUMMYFUNCTION("""COMPUTED_VALUE"""),"Buenos Aires")</f>
        <v>Buenos Aires</v>
      </c>
      <c r="D471" s="30" t="str">
        <f ca="1">IFERROR(__xludf.DUMMYFUNCTION("""COMPUTED_VALUE"""),"6")</f>
        <v>6</v>
      </c>
      <c r="E471" s="30" t="str">
        <f ca="1">IFERROR(__xludf.DUMMYFUNCTION("""COMPUTED_VALUE"""),"")</f>
        <v/>
      </c>
      <c r="F471" s="29"/>
      <c r="G471" s="29"/>
      <c r="H471" s="30" t="str">
        <f ca="1">IFERROR(__xludf.DUMMYFUNCTION("""COMPUTED_VALUE"""),"inactivo")</f>
        <v>inactivo</v>
      </c>
      <c r="I471" s="30" t="str">
        <f ca="1">IFERROR(__xludf.DUMMYFUNCTION("""COMPUTED_VALUE"""),"Se dio de baja a partir de nota enviada el 31-3-2022")</f>
        <v>Se dio de baja a partir de nota enviada el 31-3-2022</v>
      </c>
      <c r="J471" s="29"/>
      <c r="K471" s="29"/>
      <c r="L471" s="30" t="str">
        <f ca="1">IFERROR(__xludf.DUMMYFUNCTION("""COMPUTED_VALUE"""),"No")</f>
        <v>No</v>
      </c>
      <c r="M471" s="30" t="str">
        <f ca="1">IFERROR(__xludf.DUMMYFUNCTION("""COMPUTED_VALUE"""),"6602030000")</f>
        <v>6602030000</v>
      </c>
      <c r="N471" s="30" t="str">
        <f ca="1">IFERROR(__xludf.DUMMYFUNCTION("""COMPUTED_VALUE"""),"CARMEN DE PATAGONES")</f>
        <v>CARMEN DE PATAGONES</v>
      </c>
      <c r="O471" s="30" t="str">
        <f ca="1">IFERROR(__xludf.DUMMYFUNCTION("""COMPUTED_VALUE"""),"6602")</f>
        <v>6602</v>
      </c>
      <c r="P471" s="30" t="str">
        <f ca="1">IFERROR(__xludf.DUMMYFUNCTION("""COMPUTED_VALUE"""),"PATAGONES")</f>
        <v>PATAGONES</v>
      </c>
      <c r="Q471" s="30" t="str">
        <f ca="1">IFERROR(__xludf.DUMMYFUNCTION("""COMPUTED_VALUE"""),"-40.79428835")</f>
        <v>-40.79428835</v>
      </c>
      <c r="R471" s="30" t="str">
        <f ca="1">IFERROR(__xludf.DUMMYFUNCTION("""COMPUTED_VALUE"""),"-62.99690151")</f>
        <v>-62.99690151</v>
      </c>
      <c r="S471" s="30" t="str">
        <f ca="1">IFERROR(__xludf.DUMMYFUNCTION("""COMPUTED_VALUE"""),"Municipal")</f>
        <v>Municipal</v>
      </c>
      <c r="T471" s="30" t="str">
        <f ca="1">IFERROR(__xludf.DUMMYFUNCTION("""COMPUTED_VALUE"""),"PATAGONES")</f>
        <v>PATAGONES</v>
      </c>
    </row>
    <row r="472" spans="1:20" ht="15.75" customHeight="1" x14ac:dyDescent="0.25">
      <c r="A472" s="30" t="str">
        <f ca="1">IFERROR(__xludf.DUMMYFUNCTION("""COMPUTED_VALUE"""),"50066232201151")</f>
        <v>50066232201151</v>
      </c>
      <c r="B472" s="30" t="str">
        <f ca="1">IFERROR(__xludf.DUMMYFUNCTION("""COMPUTED_VALUE"""),"CENTRO DE ATENCION PRIMARIA DR. OSCAR BUSTOS")</f>
        <v>CENTRO DE ATENCION PRIMARIA DR. OSCAR BUSTOS</v>
      </c>
      <c r="C472" s="30" t="str">
        <f ca="1">IFERROR(__xludf.DUMMYFUNCTION("""COMPUTED_VALUE"""),"Buenos Aires")</f>
        <v>Buenos Aires</v>
      </c>
      <c r="D472" s="30" t="str">
        <f ca="1">IFERROR(__xludf.DUMMYFUNCTION("""COMPUTED_VALUE"""),"6")</f>
        <v>6</v>
      </c>
      <c r="E472" s="30" t="str">
        <f ca="1">IFERROR(__xludf.DUMMYFUNCTION("""COMPUTED_VALUE"""),"")</f>
        <v/>
      </c>
      <c r="F472" s="29"/>
      <c r="G472" s="29"/>
      <c r="H472" s="30" t="str">
        <f ca="1">IFERROR(__xludf.DUMMYFUNCTION("""COMPUTED_VALUE"""),"activo")</f>
        <v>activo</v>
      </c>
      <c r="I472" s="29"/>
      <c r="J472" s="29"/>
      <c r="K472" s="29"/>
      <c r="L472" s="30" t="str">
        <f ca="1">IFERROR(__xludf.DUMMYFUNCTION("""COMPUTED_VALUE"""),"No")</f>
        <v>No</v>
      </c>
      <c r="M472" s="30" t="str">
        <f ca="1">IFERROR(__xludf.DUMMYFUNCTION("""COMPUTED_VALUE"""),"6623100000")</f>
        <v>6623100000</v>
      </c>
      <c r="N472" s="30" t="str">
        <f ca="1">IFERROR(__xludf.DUMMYFUNCTION("""COMPUTED_VALUE"""),"PERGAMINO")</f>
        <v>PERGAMINO</v>
      </c>
      <c r="O472" s="30" t="str">
        <f ca="1">IFERROR(__xludf.DUMMYFUNCTION("""COMPUTED_VALUE"""),"6623")</f>
        <v>6623</v>
      </c>
      <c r="P472" s="30" t="str">
        <f ca="1">IFERROR(__xludf.DUMMYFUNCTION("""COMPUTED_VALUE"""),"PERGAMINO")</f>
        <v>PERGAMINO</v>
      </c>
      <c r="Q472" s="30" t="str">
        <f ca="1">IFERROR(__xludf.DUMMYFUNCTION("""COMPUTED_VALUE"""),"-33.9146406")</f>
        <v>-33.9146406</v>
      </c>
      <c r="R472" s="30" t="str">
        <f ca="1">IFERROR(__xludf.DUMMYFUNCTION("""COMPUTED_VALUE"""),"-60.5611064")</f>
        <v>-60.5611064</v>
      </c>
      <c r="S472" s="30" t="str">
        <f ca="1">IFERROR(__xludf.DUMMYFUNCTION("""COMPUTED_VALUE"""),"Municipal")</f>
        <v>Municipal</v>
      </c>
      <c r="T472" s="30" t="str">
        <f ca="1">IFERROR(__xludf.DUMMYFUNCTION("""COMPUTED_VALUE"""),"PERGAMINO")</f>
        <v>PERGAMINO</v>
      </c>
    </row>
    <row r="473" spans="1:20" ht="15.75" customHeight="1" x14ac:dyDescent="0.25">
      <c r="A473" s="30" t="str">
        <f ca="1">IFERROR(__xludf.DUMMYFUNCTION("""COMPUTED_VALUE"""),"50066232201975")</f>
        <v>50066232201975</v>
      </c>
      <c r="B473" s="30" t="str">
        <f ca="1">IFERROR(__xludf.DUMMYFUNCTION("""COMPUTED_VALUE"""),"SALVADOR MAZZA")</f>
        <v>SALVADOR MAZZA</v>
      </c>
      <c r="C473" s="30" t="str">
        <f ca="1">IFERROR(__xludf.DUMMYFUNCTION("""COMPUTED_VALUE"""),"Buenos Aires")</f>
        <v>Buenos Aires</v>
      </c>
      <c r="D473" s="30" t="str">
        <f ca="1">IFERROR(__xludf.DUMMYFUNCTION("""COMPUTED_VALUE"""),"6")</f>
        <v>6</v>
      </c>
      <c r="E473" s="30" t="str">
        <f ca="1">IFERROR(__xludf.DUMMYFUNCTION("""COMPUTED_VALUE"""),"")</f>
        <v/>
      </c>
      <c r="F473" s="29"/>
      <c r="G473" s="29"/>
      <c r="H473" s="30" t="str">
        <f ca="1">IFERROR(__xludf.DUMMYFUNCTION("""COMPUTED_VALUE"""),"activo")</f>
        <v>activo</v>
      </c>
      <c r="I473" s="29"/>
      <c r="J473" s="29"/>
      <c r="K473" s="29"/>
      <c r="L473" s="30" t="str">
        <f ca="1">IFERROR(__xludf.DUMMYFUNCTION("""COMPUTED_VALUE"""),"No")</f>
        <v>No</v>
      </c>
      <c r="M473" s="30" t="str">
        <f ca="1">IFERROR(__xludf.DUMMYFUNCTION("""COMPUTED_VALUE"""),"6623100000")</f>
        <v>6623100000</v>
      </c>
      <c r="N473" s="30" t="str">
        <f ca="1">IFERROR(__xludf.DUMMYFUNCTION("""COMPUTED_VALUE"""),"PERGAMINO")</f>
        <v>PERGAMINO</v>
      </c>
      <c r="O473" s="30" t="str">
        <f ca="1">IFERROR(__xludf.DUMMYFUNCTION("""COMPUTED_VALUE"""),"6623")</f>
        <v>6623</v>
      </c>
      <c r="P473" s="30" t="str">
        <f ca="1">IFERROR(__xludf.DUMMYFUNCTION("""COMPUTED_VALUE"""),"PERGAMINO")</f>
        <v>PERGAMINO</v>
      </c>
      <c r="Q473" s="30" t="str">
        <f ca="1">IFERROR(__xludf.DUMMYFUNCTION("""COMPUTED_VALUE"""),"-33.900655")</f>
        <v>-33.900655</v>
      </c>
      <c r="R473" s="30" t="str">
        <f ca="1">IFERROR(__xludf.DUMMYFUNCTION("""COMPUTED_VALUE"""),"-60.5894169")</f>
        <v>-60.5894169</v>
      </c>
      <c r="S473" s="30" t="str">
        <f ca="1">IFERROR(__xludf.DUMMYFUNCTION("""COMPUTED_VALUE"""),"Municipal")</f>
        <v>Municipal</v>
      </c>
      <c r="T473" s="30" t="str">
        <f ca="1">IFERROR(__xludf.DUMMYFUNCTION("""COMPUTED_VALUE"""),"PERGAMINO")</f>
        <v>PERGAMINO</v>
      </c>
    </row>
    <row r="474" spans="1:20" ht="15.75" customHeight="1" x14ac:dyDescent="0.25">
      <c r="A474" s="30" t="str">
        <f ca="1">IFERROR(__xludf.DUMMYFUNCTION("""COMPUTED_VALUE"""),"50066232202749")</f>
        <v>50066232202749</v>
      </c>
      <c r="B474" s="30" t="str">
        <f ca="1">IFERROR(__xludf.DUMMYFUNCTION("""COMPUTED_VALUE"""),"UNIDAD SANITARIA RAUL ARBALLO")</f>
        <v>UNIDAD SANITARIA RAUL ARBALLO</v>
      </c>
      <c r="C474" s="30" t="str">
        <f ca="1">IFERROR(__xludf.DUMMYFUNCTION("""COMPUTED_VALUE"""),"Buenos Aires")</f>
        <v>Buenos Aires</v>
      </c>
      <c r="D474" s="30" t="str">
        <f ca="1">IFERROR(__xludf.DUMMYFUNCTION("""COMPUTED_VALUE"""),"6")</f>
        <v>6</v>
      </c>
      <c r="E474" s="30" t="str">
        <f ca="1">IFERROR(__xludf.DUMMYFUNCTION("""COMPUTED_VALUE"""),"")</f>
        <v/>
      </c>
      <c r="F474" s="29"/>
      <c r="G474" s="29"/>
      <c r="H474" s="30" t="str">
        <f ca="1">IFERROR(__xludf.DUMMYFUNCTION("""COMPUTED_VALUE"""),"activo")</f>
        <v>activo</v>
      </c>
      <c r="I474" s="29"/>
      <c r="J474" s="29"/>
      <c r="K474" s="29"/>
      <c r="L474" s="30" t="str">
        <f ca="1">IFERROR(__xludf.DUMMYFUNCTION("""COMPUTED_VALUE"""),"No")</f>
        <v>No</v>
      </c>
      <c r="M474" s="30" t="str">
        <f ca="1">IFERROR(__xludf.DUMMYFUNCTION("""COMPUTED_VALUE"""),"6623100000")</f>
        <v>6623100000</v>
      </c>
      <c r="N474" s="30" t="str">
        <f ca="1">IFERROR(__xludf.DUMMYFUNCTION("""COMPUTED_VALUE"""),"PERGAMINO")</f>
        <v>PERGAMINO</v>
      </c>
      <c r="O474" s="30" t="str">
        <f ca="1">IFERROR(__xludf.DUMMYFUNCTION("""COMPUTED_VALUE"""),"6623")</f>
        <v>6623</v>
      </c>
      <c r="P474" s="30" t="str">
        <f ca="1">IFERROR(__xludf.DUMMYFUNCTION("""COMPUTED_VALUE"""),"PERGAMINO")</f>
        <v>PERGAMINO</v>
      </c>
      <c r="Q474" s="30" t="str">
        <f ca="1">IFERROR(__xludf.DUMMYFUNCTION("""COMPUTED_VALUE"""),"-33.88523743")</f>
        <v>-33.88523743</v>
      </c>
      <c r="R474" s="30" t="str">
        <f ca="1">IFERROR(__xludf.DUMMYFUNCTION("""COMPUTED_VALUE"""),"-60.57929993")</f>
        <v>-60.57929993</v>
      </c>
      <c r="S474" s="30" t="str">
        <f ca="1">IFERROR(__xludf.DUMMYFUNCTION("""COMPUTED_VALUE"""),"Municipal")</f>
        <v>Municipal</v>
      </c>
      <c r="T474" s="30" t="str">
        <f ca="1">IFERROR(__xludf.DUMMYFUNCTION("""COMPUTED_VALUE"""),"PERGAMINO")</f>
        <v>PERGAMINO</v>
      </c>
    </row>
    <row r="475" spans="1:20" ht="15.75" customHeight="1" x14ac:dyDescent="0.25">
      <c r="A475" s="30" t="str">
        <f ca="1">IFERROR(__xludf.DUMMYFUNCTION("""COMPUTED_VALUE"""),"50066232202947")</f>
        <v>50066232202947</v>
      </c>
      <c r="B475" s="30" t="str">
        <f ca="1">IFERROR(__xludf.DUMMYFUNCTION("""COMPUTED_VALUE"""),"2 DE ABRIL")</f>
        <v>2 DE ABRIL</v>
      </c>
      <c r="C475" s="30" t="str">
        <f ca="1">IFERROR(__xludf.DUMMYFUNCTION("""COMPUTED_VALUE"""),"Buenos Aires")</f>
        <v>Buenos Aires</v>
      </c>
      <c r="D475" s="30" t="str">
        <f ca="1">IFERROR(__xludf.DUMMYFUNCTION("""COMPUTED_VALUE"""),"6")</f>
        <v>6</v>
      </c>
      <c r="E475" s="30" t="str">
        <f ca="1">IFERROR(__xludf.DUMMYFUNCTION("""COMPUTED_VALUE"""),"")</f>
        <v/>
      </c>
      <c r="F475" s="29"/>
      <c r="G475" s="29"/>
      <c r="H475" s="30" t="str">
        <f ca="1">IFERROR(__xludf.DUMMYFUNCTION("""COMPUTED_VALUE"""),"inactivo")</f>
        <v>inactivo</v>
      </c>
      <c r="I475" s="29"/>
      <c r="J475" s="29"/>
      <c r="K475" s="29"/>
      <c r="L475" s="30" t="str">
        <f ca="1">IFERROR(__xludf.DUMMYFUNCTION("""COMPUTED_VALUE"""),"No")</f>
        <v>No</v>
      </c>
      <c r="M475" s="30" t="str">
        <f ca="1">IFERROR(__xludf.DUMMYFUNCTION("""COMPUTED_VALUE"""),"6623100000")</f>
        <v>6623100000</v>
      </c>
      <c r="N475" s="30" t="str">
        <f ca="1">IFERROR(__xludf.DUMMYFUNCTION("""COMPUTED_VALUE"""),"PERGAMINO")</f>
        <v>PERGAMINO</v>
      </c>
      <c r="O475" s="30" t="str">
        <f ca="1">IFERROR(__xludf.DUMMYFUNCTION("""COMPUTED_VALUE"""),"6623")</f>
        <v>6623</v>
      </c>
      <c r="P475" s="30" t="str">
        <f ca="1">IFERROR(__xludf.DUMMYFUNCTION("""COMPUTED_VALUE"""),"PERGAMINO")</f>
        <v>PERGAMINO</v>
      </c>
      <c r="Q475" s="30" t="str">
        <f ca="1">IFERROR(__xludf.DUMMYFUNCTION("""COMPUTED_VALUE"""),"-33.8822312")</f>
        <v>-33.8822312</v>
      </c>
      <c r="R475" s="30" t="str">
        <f ca="1">IFERROR(__xludf.DUMMYFUNCTION("""COMPUTED_VALUE"""),"-60.5690715")</f>
        <v>-60.5690715</v>
      </c>
      <c r="S475" s="30" t="str">
        <f ca="1">IFERROR(__xludf.DUMMYFUNCTION("""COMPUTED_VALUE"""),"Municipal")</f>
        <v>Municipal</v>
      </c>
      <c r="T475" s="30" t="str">
        <f ca="1">IFERROR(__xludf.DUMMYFUNCTION("""COMPUTED_VALUE"""),"PERGAMINO")</f>
        <v>PERGAMINO</v>
      </c>
    </row>
    <row r="476" spans="1:20" ht="15.75" customHeight="1" x14ac:dyDescent="0.25">
      <c r="A476" s="30" t="str">
        <f ca="1">IFERROR(__xludf.DUMMYFUNCTION("""COMPUTED_VALUE"""),"50066382201154")</f>
        <v>50066382201154</v>
      </c>
      <c r="B476" s="30" t="str">
        <f ca="1">IFERROR(__xludf.DUMMYFUNCTION("""COMPUTED_VALUE"""),"CENTRO DE ATENCION PRIMARIA JUAN C. SANGUINETTI")</f>
        <v>CENTRO DE ATENCION PRIMARIA JUAN C. SANGUINETTI</v>
      </c>
      <c r="C476" s="30" t="str">
        <f ca="1">IFERROR(__xludf.DUMMYFUNCTION("""COMPUTED_VALUE"""),"Buenos Aires")</f>
        <v>Buenos Aires</v>
      </c>
      <c r="D476" s="30" t="str">
        <f ca="1">IFERROR(__xludf.DUMMYFUNCTION("""COMPUTED_VALUE"""),"6")</f>
        <v>6</v>
      </c>
      <c r="E476" s="30" t="str">
        <f ca="1">IFERROR(__xludf.DUMMYFUNCTION("""COMPUTED_VALUE"""),"")</f>
        <v/>
      </c>
      <c r="F476" s="29"/>
      <c r="G476" s="29"/>
      <c r="H476" s="30" t="str">
        <f ca="1">IFERROR(__xludf.DUMMYFUNCTION("""COMPUTED_VALUE"""),"activo")</f>
        <v>activo</v>
      </c>
      <c r="I476" s="29"/>
      <c r="J476" s="29"/>
      <c r="K476" s="29"/>
      <c r="L476" s="30" t="str">
        <f ca="1">IFERROR(__xludf.DUMMYFUNCTION("""COMPUTED_VALUE"""),"No")</f>
        <v>No</v>
      </c>
      <c r="M476" s="30" t="str">
        <f ca="1">IFERROR(__xludf.DUMMYFUNCTION("""COMPUTED_VALUE"""),"6638040008")</f>
        <v>6638040008</v>
      </c>
      <c r="N476" s="30" t="str">
        <f ca="1">IFERROR(__xludf.DUMMYFUNCTION("""COMPUTED_VALUE"""),"PILAR")</f>
        <v>PILAR</v>
      </c>
      <c r="O476" s="30" t="str">
        <f ca="1">IFERROR(__xludf.DUMMYFUNCTION("""COMPUTED_VALUE"""),"6638")</f>
        <v>6638</v>
      </c>
      <c r="P476" s="30" t="str">
        <f ca="1">IFERROR(__xludf.DUMMYFUNCTION("""COMPUTED_VALUE"""),"PILAR")</f>
        <v>PILAR</v>
      </c>
      <c r="Q476" s="30" t="str">
        <f ca="1">IFERROR(__xludf.DUMMYFUNCTION("""COMPUTED_VALUE"""),"-34.46105525")</f>
        <v>-34.46105525</v>
      </c>
      <c r="R476" s="30" t="str">
        <f ca="1">IFERROR(__xludf.DUMMYFUNCTION("""COMPUTED_VALUE"""),"-58.91023421")</f>
        <v>-58.91023421</v>
      </c>
      <c r="S476" s="30" t="str">
        <f ca="1">IFERROR(__xludf.DUMMYFUNCTION("""COMPUTED_VALUE"""),"Municipal")</f>
        <v>Municipal</v>
      </c>
      <c r="T476" s="30" t="str">
        <f ca="1">IFERROR(__xludf.DUMMYFUNCTION("""COMPUTED_VALUE"""),"PILAR")</f>
        <v>PILAR</v>
      </c>
    </row>
    <row r="477" spans="1:20" ht="15.75" customHeight="1" x14ac:dyDescent="0.25">
      <c r="A477" s="30" t="str">
        <f ca="1">IFERROR(__xludf.DUMMYFUNCTION("""COMPUTED_VALUE"""),"50066382201340")</f>
        <v>50066382201340</v>
      </c>
      <c r="B477" s="30" t="str">
        <f ca="1">IFERROR(__xludf.DUMMYFUNCTION("""COMPUTED_VALUE"""),"CENTRO DE SALUD PINAZO")</f>
        <v>CENTRO DE SALUD PINAZO</v>
      </c>
      <c r="C477" s="30" t="str">
        <f ca="1">IFERROR(__xludf.DUMMYFUNCTION("""COMPUTED_VALUE"""),"Buenos Aires")</f>
        <v>Buenos Aires</v>
      </c>
      <c r="D477" s="30" t="str">
        <f ca="1">IFERROR(__xludf.DUMMYFUNCTION("""COMPUTED_VALUE"""),"6")</f>
        <v>6</v>
      </c>
      <c r="E477" s="30" t="str">
        <f ca="1">IFERROR(__xludf.DUMMYFUNCTION("""COMPUTED_VALUE"""),"")</f>
        <v/>
      </c>
      <c r="F477" s="29"/>
      <c r="G477" s="29"/>
      <c r="H477" s="30" t="str">
        <f ca="1">IFERROR(__xludf.DUMMYFUNCTION("""COMPUTED_VALUE"""),"activo")</f>
        <v>activo</v>
      </c>
      <c r="I477" s="29"/>
      <c r="J477" s="29"/>
      <c r="K477" s="29"/>
      <c r="L477" s="30" t="str">
        <f ca="1">IFERROR(__xludf.DUMMYFUNCTION("""COMPUTED_VALUE"""),"No")</f>
        <v>No</v>
      </c>
      <c r="M477" s="30" t="str">
        <f ca="1">IFERROR(__xludf.DUMMYFUNCTION("""COMPUTED_VALUE"""),"6638040001")</f>
        <v>6638040001</v>
      </c>
      <c r="N477" s="30" t="str">
        <f ca="1">IFERROR(__xludf.DUMMYFUNCTION("""COMPUTED_VALUE"""),"DEL VISO")</f>
        <v>DEL VISO</v>
      </c>
      <c r="O477" s="30" t="str">
        <f ca="1">IFERROR(__xludf.DUMMYFUNCTION("""COMPUTED_VALUE"""),"6638")</f>
        <v>6638</v>
      </c>
      <c r="P477" s="30" t="str">
        <f ca="1">IFERROR(__xludf.DUMMYFUNCTION("""COMPUTED_VALUE"""),"PILAR")</f>
        <v>PILAR</v>
      </c>
      <c r="Q477" s="30" t="str">
        <f ca="1">IFERROR(__xludf.DUMMYFUNCTION("""COMPUTED_VALUE"""),"-34.45033316")</f>
        <v>-34.45033316</v>
      </c>
      <c r="R477" s="30" t="str">
        <f ca="1">IFERROR(__xludf.DUMMYFUNCTION("""COMPUTED_VALUE"""),"-58.81267691")</f>
        <v>-58.81267691</v>
      </c>
      <c r="S477" s="30" t="str">
        <f ca="1">IFERROR(__xludf.DUMMYFUNCTION("""COMPUTED_VALUE"""),"Municipal")</f>
        <v>Municipal</v>
      </c>
      <c r="T477" s="30" t="str">
        <f ca="1">IFERROR(__xludf.DUMMYFUNCTION("""COMPUTED_VALUE"""),"PILAR")</f>
        <v>PILAR</v>
      </c>
    </row>
    <row r="478" spans="1:20" ht="15.75" customHeight="1" x14ac:dyDescent="0.25">
      <c r="A478" s="30" t="str">
        <f ca="1">IFERROR(__xludf.DUMMYFUNCTION("""COMPUTED_VALUE"""),"50066382201385")</f>
        <v>50066382201385</v>
      </c>
      <c r="B478" s="30" t="str">
        <f ca="1">IFERROR(__xludf.DUMMYFUNCTION("""COMPUTED_VALUE"""),"CENTRO DE SALUD ZELAYA")</f>
        <v>CENTRO DE SALUD ZELAYA</v>
      </c>
      <c r="C478" s="30" t="str">
        <f ca="1">IFERROR(__xludf.DUMMYFUNCTION("""COMPUTED_VALUE"""),"Buenos Aires")</f>
        <v>Buenos Aires</v>
      </c>
      <c r="D478" s="30" t="str">
        <f ca="1">IFERROR(__xludf.DUMMYFUNCTION("""COMPUTED_VALUE"""),"6")</f>
        <v>6</v>
      </c>
      <c r="E478" s="30" t="str">
        <f ca="1">IFERROR(__xludf.DUMMYFUNCTION("""COMPUTED_VALUE"""),"")</f>
        <v/>
      </c>
      <c r="F478" s="29"/>
      <c r="G478" s="29"/>
      <c r="H478" s="30" t="str">
        <f ca="1">IFERROR(__xludf.DUMMYFUNCTION("""COMPUTED_VALUE"""),"activo")</f>
        <v>activo</v>
      </c>
      <c r="I478" s="29"/>
      <c r="J478" s="29"/>
      <c r="K478" s="29"/>
      <c r="L478" s="30" t="str">
        <f ca="1">IFERROR(__xludf.DUMMYFUNCTION("""COMPUTED_VALUE"""),"No")</f>
        <v>No</v>
      </c>
      <c r="M478" s="30" t="str">
        <f ca="1">IFERROR(__xludf.DUMMYFUNCTION("""COMPUTED_VALUE"""),"6638040015")</f>
        <v>6638040015</v>
      </c>
      <c r="N478" s="30" t="str">
        <f ca="1">IFERROR(__xludf.DUMMYFUNCTION("""COMPUTED_VALUE"""),"ZELAYA")</f>
        <v>ZELAYA</v>
      </c>
      <c r="O478" s="30" t="str">
        <f ca="1">IFERROR(__xludf.DUMMYFUNCTION("""COMPUTED_VALUE"""),"6638")</f>
        <v>6638</v>
      </c>
      <c r="P478" s="30" t="str">
        <f ca="1">IFERROR(__xludf.DUMMYFUNCTION("""COMPUTED_VALUE"""),"PILAR")</f>
        <v>PILAR</v>
      </c>
      <c r="Q478" s="30" t="str">
        <f ca="1">IFERROR(__xludf.DUMMYFUNCTION("""COMPUTED_VALUE"""),"-34.462097")</f>
        <v>-34.462097</v>
      </c>
      <c r="R478" s="30" t="str">
        <f ca="1">IFERROR(__xludf.DUMMYFUNCTION("""COMPUTED_VALUE"""),"-58.8912456")</f>
        <v>-58.8912456</v>
      </c>
      <c r="S478" s="30" t="str">
        <f ca="1">IFERROR(__xludf.DUMMYFUNCTION("""COMPUTED_VALUE"""),"Municipal")</f>
        <v>Municipal</v>
      </c>
      <c r="T478" s="30" t="str">
        <f ca="1">IFERROR(__xludf.DUMMYFUNCTION("""COMPUTED_VALUE"""),"PILAR")</f>
        <v>PILAR</v>
      </c>
    </row>
    <row r="479" spans="1:20" ht="15.75" customHeight="1" x14ac:dyDescent="0.25">
      <c r="A479" s="30" t="str">
        <f ca="1">IFERROR(__xludf.DUMMYFUNCTION("""COMPUTED_VALUE"""),"50066382201750")</f>
        <v>50066382201750</v>
      </c>
      <c r="B479" s="30" t="str">
        <f ca="1">IFERROR(__xludf.DUMMYFUNCTION("""COMPUTED_VALUE"""),"POSTA SANITARIA ALMIRANTE IRIZAR")</f>
        <v>POSTA SANITARIA ALMIRANTE IRIZAR</v>
      </c>
      <c r="C479" s="30" t="str">
        <f ca="1">IFERROR(__xludf.DUMMYFUNCTION("""COMPUTED_VALUE"""),"Buenos Aires")</f>
        <v>Buenos Aires</v>
      </c>
      <c r="D479" s="30" t="str">
        <f ca="1">IFERROR(__xludf.DUMMYFUNCTION("""COMPUTED_VALUE"""),"6")</f>
        <v>6</v>
      </c>
      <c r="E479" s="30" t="str">
        <f ca="1">IFERROR(__xludf.DUMMYFUNCTION("""COMPUTED_VALUE"""),"")</f>
        <v/>
      </c>
      <c r="F479" s="29"/>
      <c r="G479" s="29"/>
      <c r="H479" s="30" t="str">
        <f ca="1">IFERROR(__xludf.DUMMYFUNCTION("""COMPUTED_VALUE"""),"activo")</f>
        <v>activo</v>
      </c>
      <c r="I479" s="29"/>
      <c r="J479" s="29"/>
      <c r="K479" s="29"/>
      <c r="L479" s="30" t="str">
        <f ca="1">IFERROR(__xludf.DUMMYFUNCTION("""COMPUTED_VALUE"""),"No")</f>
        <v>No</v>
      </c>
      <c r="M479" s="30" t="str">
        <f ca="1">IFERROR(__xludf.DUMMYFUNCTION("""COMPUTED_VALUE"""),"6638040008")</f>
        <v>6638040008</v>
      </c>
      <c r="N479" s="30" t="str">
        <f ca="1">IFERROR(__xludf.DUMMYFUNCTION("""COMPUTED_VALUE"""),"PILAR")</f>
        <v>PILAR</v>
      </c>
      <c r="O479" s="30" t="str">
        <f ca="1">IFERROR(__xludf.DUMMYFUNCTION("""COMPUTED_VALUE"""),"6638")</f>
        <v>6638</v>
      </c>
      <c r="P479" s="30" t="str">
        <f ca="1">IFERROR(__xludf.DUMMYFUNCTION("""COMPUTED_VALUE"""),"PILAR")</f>
        <v>PILAR</v>
      </c>
      <c r="Q479" s="30" t="str">
        <f ca="1">IFERROR(__xludf.DUMMYFUNCTION("""COMPUTED_VALUE"""),"-34.3919365")</f>
        <v>-34.3919365</v>
      </c>
      <c r="R479" s="30" t="str">
        <f ca="1">IFERROR(__xludf.DUMMYFUNCTION("""COMPUTED_VALUE"""),"-58.9681737")</f>
        <v>-58.9681737</v>
      </c>
      <c r="S479" s="30" t="str">
        <f ca="1">IFERROR(__xludf.DUMMYFUNCTION("""COMPUTED_VALUE"""),"Municipal")</f>
        <v>Municipal</v>
      </c>
      <c r="T479" s="30" t="str">
        <f ca="1">IFERROR(__xludf.DUMMYFUNCTION("""COMPUTED_VALUE"""),"PILAR")</f>
        <v>PILAR</v>
      </c>
    </row>
    <row r="480" spans="1:20" ht="15.75" customHeight="1" x14ac:dyDescent="0.25">
      <c r="A480" s="30" t="str">
        <f ca="1">IFERROR(__xludf.DUMMYFUNCTION("""COMPUTED_VALUE"""),"50066382202137")</f>
        <v>50066382202137</v>
      </c>
      <c r="B480" s="30" t="str">
        <f ca="1">IFERROR(__xludf.DUMMYFUNCTION("""COMPUTED_VALUE"""),"UNIDAD SANITARIA BARRIO TORO")</f>
        <v>UNIDAD SANITARIA BARRIO TORO</v>
      </c>
      <c r="C480" s="30" t="str">
        <f ca="1">IFERROR(__xludf.DUMMYFUNCTION("""COMPUTED_VALUE"""),"Buenos Aires")</f>
        <v>Buenos Aires</v>
      </c>
      <c r="D480" s="30" t="str">
        <f ca="1">IFERROR(__xludf.DUMMYFUNCTION("""COMPUTED_VALUE"""),"6")</f>
        <v>6</v>
      </c>
      <c r="E480" s="30" t="str">
        <f ca="1">IFERROR(__xludf.DUMMYFUNCTION("""COMPUTED_VALUE"""),"")</f>
        <v/>
      </c>
      <c r="F480" s="29"/>
      <c r="G480" s="29"/>
      <c r="H480" s="30" t="str">
        <f ca="1">IFERROR(__xludf.DUMMYFUNCTION("""COMPUTED_VALUE"""),"inactivo")</f>
        <v>inactivo</v>
      </c>
      <c r="I480" s="29"/>
      <c r="J480" s="29"/>
      <c r="K480" s="29"/>
      <c r="L480" s="30" t="str">
        <f ca="1">IFERROR(__xludf.DUMMYFUNCTION("""COMPUTED_VALUE"""),"No")</f>
        <v>No</v>
      </c>
      <c r="M480" s="30" t="str">
        <f ca="1">IFERROR(__xludf.DUMMYFUNCTION("""COMPUTED_VALUE"""),"6638040009")</f>
        <v>6638040009</v>
      </c>
      <c r="N480" s="30" t="str">
        <f ca="1">IFERROR(__xludf.DUMMYFUNCTION("""COMPUTED_VALUE"""),"PRESIDENTE DERQUI")</f>
        <v>PRESIDENTE DERQUI</v>
      </c>
      <c r="O480" s="30" t="str">
        <f ca="1">IFERROR(__xludf.DUMMYFUNCTION("""COMPUTED_VALUE"""),"6638")</f>
        <v>6638</v>
      </c>
      <c r="P480" s="30" t="str">
        <f ca="1">IFERROR(__xludf.DUMMYFUNCTION("""COMPUTED_VALUE"""),"PILAR")</f>
        <v>PILAR</v>
      </c>
      <c r="Q480" s="30" t="str">
        <f ca="1">IFERROR(__xludf.DUMMYFUNCTION("""COMPUTED_VALUE"""),"-34.499432")</f>
        <v>-34.499432</v>
      </c>
      <c r="R480" s="30" t="str">
        <f ca="1">IFERROR(__xludf.DUMMYFUNCTION("""COMPUTED_VALUE"""),"-58.849423")</f>
        <v>-58.849423</v>
      </c>
      <c r="S480" s="30" t="str">
        <f ca="1">IFERROR(__xludf.DUMMYFUNCTION("""COMPUTED_VALUE"""),"Municipal")</f>
        <v>Municipal</v>
      </c>
      <c r="T480" s="30" t="str">
        <f ca="1">IFERROR(__xludf.DUMMYFUNCTION("""COMPUTED_VALUE"""),"PILAR")</f>
        <v>PILAR</v>
      </c>
    </row>
    <row r="481" spans="1:20" ht="15.75" customHeight="1" x14ac:dyDescent="0.25">
      <c r="A481" s="30" t="str">
        <f ca="1">IFERROR(__xludf.DUMMYFUNCTION("""COMPUTED_VALUE"""),"50066382202435")</f>
        <v>50066382202435</v>
      </c>
      <c r="B481" s="30" t="str">
        <f ca="1">IFERROR(__xludf.DUMMYFUNCTION("""COMPUTED_VALUE"""),"UNIDAD SANITARIA MANUEL ALBERTI")</f>
        <v>UNIDAD SANITARIA MANUEL ALBERTI</v>
      </c>
      <c r="C481" s="30" t="str">
        <f ca="1">IFERROR(__xludf.DUMMYFUNCTION("""COMPUTED_VALUE"""),"Buenos Aires")</f>
        <v>Buenos Aires</v>
      </c>
      <c r="D481" s="30" t="str">
        <f ca="1">IFERROR(__xludf.DUMMYFUNCTION("""COMPUTED_VALUE"""),"6")</f>
        <v>6</v>
      </c>
      <c r="E481" s="30" t="str">
        <f ca="1">IFERROR(__xludf.DUMMYFUNCTION("""COMPUTED_VALUE"""),"")</f>
        <v/>
      </c>
      <c r="F481" s="29"/>
      <c r="G481" s="29"/>
      <c r="H481" s="30" t="str">
        <f ca="1">IFERROR(__xludf.DUMMYFUNCTION("""COMPUTED_VALUE"""),"activo")</f>
        <v>activo</v>
      </c>
      <c r="I481" s="29"/>
      <c r="J481" s="29"/>
      <c r="K481" s="29"/>
      <c r="L481" s="30" t="str">
        <f ca="1">IFERROR(__xludf.DUMMYFUNCTION("""COMPUTED_VALUE"""),"No")</f>
        <v>No</v>
      </c>
      <c r="M481" s="30" t="str">
        <f ca="1">IFERROR(__xludf.DUMMYFUNCTION("""COMPUTED_VALUE"""),"6638050")</f>
        <v>6638050</v>
      </c>
      <c r="N481" s="30" t="str">
        <f ca="1">IFERROR(__xludf.DUMMYFUNCTION("""COMPUTED_VALUE"""),"MANUEL ALBERTI")</f>
        <v>MANUEL ALBERTI</v>
      </c>
      <c r="O481" s="30" t="str">
        <f ca="1">IFERROR(__xludf.DUMMYFUNCTION("""COMPUTED_VALUE"""),"6638")</f>
        <v>6638</v>
      </c>
      <c r="P481" s="30" t="str">
        <f ca="1">IFERROR(__xludf.DUMMYFUNCTION("""COMPUTED_VALUE"""),"PILAR")</f>
        <v>PILAR</v>
      </c>
      <c r="Q481" s="30" t="str">
        <f ca="1">IFERROR(__xludf.DUMMYFUNCTION("""COMPUTED_VALUE"""),"-34.458574")</f>
        <v>-34.458574</v>
      </c>
      <c r="R481" s="30" t="str">
        <f ca="1">IFERROR(__xludf.DUMMYFUNCTION("""COMPUTED_VALUE"""),"-58.77657")</f>
        <v>-58.77657</v>
      </c>
      <c r="S481" s="30" t="str">
        <f ca="1">IFERROR(__xludf.DUMMYFUNCTION("""COMPUTED_VALUE"""),"Municipal")</f>
        <v>Municipal</v>
      </c>
      <c r="T481" s="30" t="str">
        <f ca="1">IFERROR(__xludf.DUMMYFUNCTION("""COMPUTED_VALUE"""),"PILAR")</f>
        <v>PILAR</v>
      </c>
    </row>
    <row r="482" spans="1:20" ht="15.75" customHeight="1" x14ac:dyDescent="0.25">
      <c r="A482" s="30" t="str">
        <f ca="1">IFERROR(__xludf.DUMMYFUNCTION("""COMPUTED_VALUE"""),"50066382202456")</f>
        <v>50066382202456</v>
      </c>
      <c r="B482" s="30" t="str">
        <f ca="1">IFERROR(__xludf.DUMMYFUNCTION("""COMPUTED_VALUE"""),"UNIDAD SANITARIA MONTERREY")</f>
        <v>UNIDAD SANITARIA MONTERREY</v>
      </c>
      <c r="C482" s="30" t="str">
        <f ca="1">IFERROR(__xludf.DUMMYFUNCTION("""COMPUTED_VALUE"""),"Buenos Aires")</f>
        <v>Buenos Aires</v>
      </c>
      <c r="D482" s="30" t="str">
        <f ca="1">IFERROR(__xludf.DUMMYFUNCTION("""COMPUTED_VALUE"""),"6")</f>
        <v>6</v>
      </c>
      <c r="E482" s="30" t="str">
        <f ca="1">IFERROR(__xludf.DUMMYFUNCTION("""COMPUTED_VALUE"""),"")</f>
        <v/>
      </c>
      <c r="F482" s="29"/>
      <c r="G482" s="29"/>
      <c r="H482" s="30" t="str">
        <f ca="1">IFERROR(__xludf.DUMMYFUNCTION("""COMPUTED_VALUE"""),"activo")</f>
        <v>activo</v>
      </c>
      <c r="I482" s="29"/>
      <c r="J482" s="29"/>
      <c r="K482" s="29"/>
      <c r="L482" s="30" t="str">
        <f ca="1">IFERROR(__xludf.DUMMYFUNCTION("""COMPUTED_VALUE"""),"No")</f>
        <v>No</v>
      </c>
      <c r="M482" s="30" t="str">
        <f ca="1">IFERROR(__xludf.DUMMYFUNCTION("""COMPUTED_VALUE"""),"6638040009")</f>
        <v>6638040009</v>
      </c>
      <c r="N482" s="30" t="str">
        <f ca="1">IFERROR(__xludf.DUMMYFUNCTION("""COMPUTED_VALUE"""),"PRESIDENTE DERQUI")</f>
        <v>PRESIDENTE DERQUI</v>
      </c>
      <c r="O482" s="30" t="str">
        <f ca="1">IFERROR(__xludf.DUMMYFUNCTION("""COMPUTED_VALUE"""),"6638")</f>
        <v>6638</v>
      </c>
      <c r="P482" s="30" t="str">
        <f ca="1">IFERROR(__xludf.DUMMYFUNCTION("""COMPUTED_VALUE"""),"PILAR")</f>
        <v>PILAR</v>
      </c>
      <c r="Q482" s="30" t="str">
        <f ca="1">IFERROR(__xludf.DUMMYFUNCTION("""COMPUTED_VALUE"""),"-34.481845")</f>
        <v>-34.481845</v>
      </c>
      <c r="R482" s="30" t="str">
        <f ca="1">IFERROR(__xludf.DUMMYFUNCTION("""COMPUTED_VALUE"""),"-58.834323")</f>
        <v>-58.834323</v>
      </c>
      <c r="S482" s="30" t="str">
        <f ca="1">IFERROR(__xludf.DUMMYFUNCTION("""COMPUTED_VALUE"""),"Municipal")</f>
        <v>Municipal</v>
      </c>
      <c r="T482" s="30" t="str">
        <f ca="1">IFERROR(__xludf.DUMMYFUNCTION("""COMPUTED_VALUE"""),"PILAR")</f>
        <v>PILAR</v>
      </c>
    </row>
    <row r="483" spans="1:20" ht="15.75" customHeight="1" x14ac:dyDescent="0.25">
      <c r="A483" s="30" t="str">
        <f ca="1">IFERROR(__xludf.DUMMYFUNCTION("""COMPUTED_VALUE"""),"50066382202732")</f>
        <v>50066382202732</v>
      </c>
      <c r="B483" s="30" t="str">
        <f ca="1">IFERROR(__xludf.DUMMYFUNCTION("""COMPUTED_VALUE"""),"UNIDAD SANITARIA PRESIDENTE DERQUI")</f>
        <v>UNIDAD SANITARIA PRESIDENTE DERQUI</v>
      </c>
      <c r="C483" s="30" t="str">
        <f ca="1">IFERROR(__xludf.DUMMYFUNCTION("""COMPUTED_VALUE"""),"Buenos Aires")</f>
        <v>Buenos Aires</v>
      </c>
      <c r="D483" s="30" t="str">
        <f ca="1">IFERROR(__xludf.DUMMYFUNCTION("""COMPUTED_VALUE"""),"6")</f>
        <v>6</v>
      </c>
      <c r="E483" s="30" t="str">
        <f ca="1">IFERROR(__xludf.DUMMYFUNCTION("""COMPUTED_VALUE"""),"")</f>
        <v/>
      </c>
      <c r="F483" s="29"/>
      <c r="G483" s="29"/>
      <c r="H483" s="30" t="str">
        <f ca="1">IFERROR(__xludf.DUMMYFUNCTION("""COMPUTED_VALUE"""),"activo")</f>
        <v>activo</v>
      </c>
      <c r="I483" s="29"/>
      <c r="J483" s="29"/>
      <c r="K483" s="29"/>
      <c r="L483" s="30" t="str">
        <f ca="1">IFERROR(__xludf.DUMMYFUNCTION("""COMPUTED_VALUE"""),"No")</f>
        <v>No</v>
      </c>
      <c r="M483" s="30" t="str">
        <f ca="1">IFERROR(__xludf.DUMMYFUNCTION("""COMPUTED_VALUE"""),"6638040009")</f>
        <v>6638040009</v>
      </c>
      <c r="N483" s="30" t="str">
        <f ca="1">IFERROR(__xludf.DUMMYFUNCTION("""COMPUTED_VALUE"""),"PRESIDENTE DERQUI")</f>
        <v>PRESIDENTE DERQUI</v>
      </c>
      <c r="O483" s="30" t="str">
        <f ca="1">IFERROR(__xludf.DUMMYFUNCTION("""COMPUTED_VALUE"""),"6638")</f>
        <v>6638</v>
      </c>
      <c r="P483" s="30" t="str">
        <f ca="1">IFERROR(__xludf.DUMMYFUNCTION("""COMPUTED_VALUE"""),"PILAR")</f>
        <v>PILAR</v>
      </c>
      <c r="Q483" s="30" t="str">
        <f ca="1">IFERROR(__xludf.DUMMYFUNCTION("""COMPUTED_VALUE"""),"-34.492333")</f>
        <v>-34.492333</v>
      </c>
      <c r="R483" s="30" t="str">
        <f ca="1">IFERROR(__xludf.DUMMYFUNCTION("""COMPUTED_VALUE"""),"-58.842369")</f>
        <v>-58.842369</v>
      </c>
      <c r="S483" s="30" t="str">
        <f ca="1">IFERROR(__xludf.DUMMYFUNCTION("""COMPUTED_VALUE"""),"Municipal")</f>
        <v>Municipal</v>
      </c>
      <c r="T483" s="30" t="str">
        <f ca="1">IFERROR(__xludf.DUMMYFUNCTION("""COMPUTED_VALUE"""),"PILAR")</f>
        <v>PILAR</v>
      </c>
    </row>
    <row r="484" spans="1:20" ht="15.75" customHeight="1" x14ac:dyDescent="0.25">
      <c r="A484" s="30" t="str">
        <f ca="1">IFERROR(__xludf.DUMMYFUNCTION("""COMPUTED_VALUE"""),"50066382202818")</f>
        <v>50066382202818</v>
      </c>
      <c r="B484" s="30" t="str">
        <f ca="1">IFERROR(__xludf.DUMMYFUNCTION("""COMPUTED_VALUE"""),"UNIDAD SANITARIA SANTA LUCIA ASTOLFI")</f>
        <v>UNIDAD SANITARIA SANTA LUCIA ASTOLFI</v>
      </c>
      <c r="C484" s="30" t="str">
        <f ca="1">IFERROR(__xludf.DUMMYFUNCTION("""COMPUTED_VALUE"""),"Buenos Aires")</f>
        <v>Buenos Aires</v>
      </c>
      <c r="D484" s="30" t="str">
        <f ca="1">IFERROR(__xludf.DUMMYFUNCTION("""COMPUTED_VALUE"""),"6")</f>
        <v>6</v>
      </c>
      <c r="E484" s="30" t="str">
        <f ca="1">IFERROR(__xludf.DUMMYFUNCTION("""COMPUTED_VALUE"""),"")</f>
        <v/>
      </c>
      <c r="F484" s="29"/>
      <c r="G484" s="29"/>
      <c r="H484" s="30" t="str">
        <f ca="1">IFERROR(__xludf.DUMMYFUNCTION("""COMPUTED_VALUE"""),"activo")</f>
        <v>activo</v>
      </c>
      <c r="I484" s="29"/>
      <c r="J484" s="29"/>
      <c r="K484" s="29"/>
      <c r="L484" s="30" t="str">
        <f ca="1">IFERROR(__xludf.DUMMYFUNCTION("""COMPUTED_VALUE"""),"No")</f>
        <v>No</v>
      </c>
      <c r="M484" s="30" t="str">
        <f ca="1">IFERROR(__xludf.DUMMYFUNCTION("""COMPUTED_VALUE"""),"6638040013")</f>
        <v>6638040013</v>
      </c>
      <c r="N484" s="30" t="str">
        <f ca="1">IFERROR(__xludf.DUMMYFUNCTION("""COMPUTED_VALUE"""),"VILLA ASTOLFI")</f>
        <v>VILLA ASTOLFI</v>
      </c>
      <c r="O484" s="30" t="str">
        <f ca="1">IFERROR(__xludf.DUMMYFUNCTION("""COMPUTED_VALUE"""),"6638")</f>
        <v>6638</v>
      </c>
      <c r="P484" s="30" t="str">
        <f ca="1">IFERROR(__xludf.DUMMYFUNCTION("""COMPUTED_VALUE"""),"PILAR")</f>
        <v>PILAR</v>
      </c>
      <c r="Q484" s="30" t="str">
        <f ca="1">IFERROR(__xludf.DUMMYFUNCTION("""COMPUTED_VALUE"""),"-34.482631")</f>
        <v>-34.482631</v>
      </c>
      <c r="R484" s="30" t="str">
        <f ca="1">IFERROR(__xludf.DUMMYFUNCTION("""COMPUTED_VALUE"""),"-58.875803")</f>
        <v>-58.875803</v>
      </c>
      <c r="S484" s="30" t="str">
        <f ca="1">IFERROR(__xludf.DUMMYFUNCTION("""COMPUTED_VALUE"""),"Municipal")</f>
        <v>Municipal</v>
      </c>
      <c r="T484" s="30" t="str">
        <f ca="1">IFERROR(__xludf.DUMMYFUNCTION("""COMPUTED_VALUE"""),"PILAR")</f>
        <v>PILAR</v>
      </c>
    </row>
    <row r="485" spans="1:20" ht="15.75" customHeight="1" x14ac:dyDescent="0.25">
      <c r="A485" s="30" t="str">
        <f ca="1">IFERROR(__xludf.DUMMYFUNCTION("""COMPUTED_VALUE"""),"50066382202904")</f>
        <v>50066382202904</v>
      </c>
      <c r="B485" s="30" t="str">
        <f ca="1">IFERROR(__xludf.DUMMYFUNCTION("""COMPUTED_VALUE"""),"UNIDAD SANITARIA VILLA ROSA")</f>
        <v>UNIDAD SANITARIA VILLA ROSA</v>
      </c>
      <c r="C485" s="30" t="str">
        <f ca="1">IFERROR(__xludf.DUMMYFUNCTION("""COMPUTED_VALUE"""),"Buenos Aires")</f>
        <v>Buenos Aires</v>
      </c>
      <c r="D485" s="30" t="str">
        <f ca="1">IFERROR(__xludf.DUMMYFUNCTION("""COMPUTED_VALUE"""),"6")</f>
        <v>6</v>
      </c>
      <c r="E485" s="30" t="str">
        <f ca="1">IFERROR(__xludf.DUMMYFUNCTION("""COMPUTED_VALUE"""),"")</f>
        <v/>
      </c>
      <c r="F485" s="29"/>
      <c r="G485" s="29"/>
      <c r="H485" s="30" t="str">
        <f ca="1">IFERROR(__xludf.DUMMYFUNCTION("""COMPUTED_VALUE"""),"activo")</f>
        <v>activo</v>
      </c>
      <c r="I485" s="29"/>
      <c r="J485" s="29"/>
      <c r="K485" s="29"/>
      <c r="L485" s="30" t="str">
        <f ca="1">IFERROR(__xludf.DUMMYFUNCTION("""COMPUTED_VALUE"""),"No")</f>
        <v>No</v>
      </c>
      <c r="M485" s="30" t="str">
        <f ca="1">IFERROR(__xludf.DUMMYFUNCTION("""COMPUTED_VALUE"""),"6638040014")</f>
        <v>6638040014</v>
      </c>
      <c r="N485" s="30" t="str">
        <f ca="1">IFERROR(__xludf.DUMMYFUNCTION("""COMPUTED_VALUE"""),"VILLA ROSA")</f>
        <v>VILLA ROSA</v>
      </c>
      <c r="O485" s="30" t="str">
        <f ca="1">IFERROR(__xludf.DUMMYFUNCTION("""COMPUTED_VALUE"""),"6638")</f>
        <v>6638</v>
      </c>
      <c r="P485" s="30" t="str">
        <f ca="1">IFERROR(__xludf.DUMMYFUNCTION("""COMPUTED_VALUE"""),"PILAR")</f>
        <v>PILAR</v>
      </c>
      <c r="Q485" s="30" t="str">
        <f ca="1">IFERROR(__xludf.DUMMYFUNCTION("""COMPUTED_VALUE"""),"-34.422429")</f>
        <v>-34.422429</v>
      </c>
      <c r="R485" s="30" t="str">
        <f ca="1">IFERROR(__xludf.DUMMYFUNCTION("""COMPUTED_VALUE"""),"-58.865951")</f>
        <v>-58.865951</v>
      </c>
      <c r="S485" s="30" t="str">
        <f ca="1">IFERROR(__xludf.DUMMYFUNCTION("""COMPUTED_VALUE"""),"Municipal")</f>
        <v>Municipal</v>
      </c>
      <c r="T485" s="30" t="str">
        <f ca="1">IFERROR(__xludf.DUMMYFUNCTION("""COMPUTED_VALUE"""),"PILAR")</f>
        <v>PILAR</v>
      </c>
    </row>
    <row r="486" spans="1:20" ht="15.75" customHeight="1" x14ac:dyDescent="0.25">
      <c r="A486" s="30" t="str">
        <f ca="1">IFERROR(__xludf.DUMMYFUNCTION("""COMPUTED_VALUE"""),"50066482202247")</f>
        <v>50066482202247</v>
      </c>
      <c r="B486" s="30" t="str">
        <f ca="1">IFERROR(__xludf.DUMMYFUNCTION("""COMPUTED_VALUE"""),"UNIDAD SANITARIA DR. RAUL MATERA")</f>
        <v>UNIDAD SANITARIA DR. RAUL MATERA</v>
      </c>
      <c r="C486" s="30" t="str">
        <f ca="1">IFERROR(__xludf.DUMMYFUNCTION("""COMPUTED_VALUE"""),"Buenos Aires")</f>
        <v>Buenos Aires</v>
      </c>
      <c r="D486" s="30" t="str">
        <f ca="1">IFERROR(__xludf.DUMMYFUNCTION("""COMPUTED_VALUE"""),"6")</f>
        <v>6</v>
      </c>
      <c r="E486" s="30" t="str">
        <f ca="1">IFERROR(__xludf.DUMMYFUNCTION("""COMPUTED_VALUE"""),"")</f>
        <v/>
      </c>
      <c r="F486" s="29"/>
      <c r="G486" s="29"/>
      <c r="H486" s="30" t="str">
        <f ca="1">IFERROR(__xludf.DUMMYFUNCTION("""COMPUTED_VALUE"""),"activo")</f>
        <v>activo</v>
      </c>
      <c r="I486" s="29"/>
      <c r="J486" s="29"/>
      <c r="K486" s="29"/>
      <c r="L486" s="30" t="str">
        <f ca="1">IFERROR(__xludf.DUMMYFUNCTION("""COMPUTED_VALUE"""),"No")</f>
        <v>No</v>
      </c>
      <c r="M486" s="30" t="str">
        <f ca="1">IFERROR(__xludf.DUMMYFUNCTION("""COMPUTED_VALUE"""),"6648010002")</f>
        <v>6648010002</v>
      </c>
      <c r="N486" s="30" t="str">
        <f ca="1">IFERROR(__xludf.DUMMYFUNCTION("""COMPUTED_VALUE"""),"GUERNICA")</f>
        <v>GUERNICA</v>
      </c>
      <c r="O486" s="30" t="str">
        <f ca="1">IFERROR(__xludf.DUMMYFUNCTION("""COMPUTED_VALUE"""),"6648")</f>
        <v>6648</v>
      </c>
      <c r="P486" s="30" t="str">
        <f ca="1">IFERROR(__xludf.DUMMYFUNCTION("""COMPUTED_VALUE"""),"PRESIDENTE PERÓN")</f>
        <v>PRESIDENTE PERÓN</v>
      </c>
      <c r="Q486" s="30" t="str">
        <f ca="1">IFERROR(__xludf.DUMMYFUNCTION("""COMPUTED_VALUE"""),"-34.9177572")</f>
        <v>-34.9177572</v>
      </c>
      <c r="R486" s="30" t="str">
        <f ca="1">IFERROR(__xludf.DUMMYFUNCTION("""COMPUTED_VALUE"""),"-58.3792448")</f>
        <v>-58.3792448</v>
      </c>
      <c r="S486" s="30" t="str">
        <f ca="1">IFERROR(__xludf.DUMMYFUNCTION("""COMPUTED_VALUE"""),"Municipal")</f>
        <v>Municipal</v>
      </c>
      <c r="T486" s="30" t="str">
        <f ca="1">IFERROR(__xludf.DUMMYFUNCTION("""COMPUTED_VALUE"""),"PRESIDENTE PERÓN")</f>
        <v>PRESIDENTE PERÓN</v>
      </c>
    </row>
    <row r="487" spans="1:20" ht="15.75" customHeight="1" x14ac:dyDescent="0.25">
      <c r="A487" s="30" t="str">
        <f ca="1">IFERROR(__xludf.DUMMYFUNCTION("""COMPUTED_VALUE"""),"50066482202318")</f>
        <v>50066482202318</v>
      </c>
      <c r="B487" s="30" t="str">
        <f ca="1">IFERROR(__xludf.DUMMYFUNCTION("""COMPUTED_VALUE"""),"UNIDAD SANITARIA GUERNICA")</f>
        <v>UNIDAD SANITARIA GUERNICA</v>
      </c>
      <c r="C487" s="30" t="str">
        <f ca="1">IFERROR(__xludf.DUMMYFUNCTION("""COMPUTED_VALUE"""),"Buenos Aires")</f>
        <v>Buenos Aires</v>
      </c>
      <c r="D487" s="30" t="str">
        <f ca="1">IFERROR(__xludf.DUMMYFUNCTION("""COMPUTED_VALUE"""),"6")</f>
        <v>6</v>
      </c>
      <c r="E487" s="30" t="str">
        <f ca="1">IFERROR(__xludf.DUMMYFUNCTION("""COMPUTED_VALUE"""),"")</f>
        <v/>
      </c>
      <c r="F487" s="29"/>
      <c r="G487" s="29"/>
      <c r="H487" s="30" t="str">
        <f ca="1">IFERROR(__xludf.DUMMYFUNCTION("""COMPUTED_VALUE"""),"activo")</f>
        <v>activo</v>
      </c>
      <c r="I487" s="29"/>
      <c r="J487" s="29"/>
      <c r="K487" s="29"/>
      <c r="L487" s="30" t="str">
        <f ca="1">IFERROR(__xludf.DUMMYFUNCTION("""COMPUTED_VALUE"""),"No")</f>
        <v>No</v>
      </c>
      <c r="M487" s="30" t="str">
        <f ca="1">IFERROR(__xludf.DUMMYFUNCTION("""COMPUTED_VALUE"""),"6648010002")</f>
        <v>6648010002</v>
      </c>
      <c r="N487" s="30" t="str">
        <f ca="1">IFERROR(__xludf.DUMMYFUNCTION("""COMPUTED_VALUE"""),"GUERNICA")</f>
        <v>GUERNICA</v>
      </c>
      <c r="O487" s="30" t="str">
        <f ca="1">IFERROR(__xludf.DUMMYFUNCTION("""COMPUTED_VALUE"""),"6648")</f>
        <v>6648</v>
      </c>
      <c r="P487" s="30" t="str">
        <f ca="1">IFERROR(__xludf.DUMMYFUNCTION("""COMPUTED_VALUE"""),"PRESIDENTE PERÓN")</f>
        <v>PRESIDENTE PERÓN</v>
      </c>
      <c r="Q487" s="30" t="str">
        <f ca="1">IFERROR(__xludf.DUMMYFUNCTION("""COMPUTED_VALUE"""),"-34.9157115")</f>
        <v>-34.9157115</v>
      </c>
      <c r="R487" s="30" t="str">
        <f ca="1">IFERROR(__xludf.DUMMYFUNCTION("""COMPUTED_VALUE"""),"-58.3682309")</f>
        <v>-58.3682309</v>
      </c>
      <c r="S487" s="30" t="str">
        <f ca="1">IFERROR(__xludf.DUMMYFUNCTION("""COMPUTED_VALUE"""),"Municipal")</f>
        <v>Municipal</v>
      </c>
      <c r="T487" s="30" t="str">
        <f ca="1">IFERROR(__xludf.DUMMYFUNCTION("""COMPUTED_VALUE"""),"PRESIDENTE PERÓN")</f>
        <v>PRESIDENTE PERÓN</v>
      </c>
    </row>
    <row r="488" spans="1:20" ht="15.75" customHeight="1" x14ac:dyDescent="0.25">
      <c r="A488" s="30" t="str">
        <f ca="1">IFERROR(__xludf.DUMMYFUNCTION("""COMPUTED_VALUE"""),"50066482202897")</f>
        <v>50066482202897</v>
      </c>
      <c r="B488" s="30" t="str">
        <f ca="1">IFERROR(__xludf.DUMMYFUNCTION("""COMPUTED_VALUE"""),"UNIDAD SANITARIA  NAZARENA GONZALEZ VILLA NUMANCIA")</f>
        <v>UNIDAD SANITARIA  NAZARENA GONZALEZ VILLA NUMANCIA</v>
      </c>
      <c r="C488" s="30" t="str">
        <f ca="1">IFERROR(__xludf.DUMMYFUNCTION("""COMPUTED_VALUE"""),"Buenos Aires")</f>
        <v>Buenos Aires</v>
      </c>
      <c r="D488" s="30" t="str">
        <f ca="1">IFERROR(__xludf.DUMMYFUNCTION("""COMPUTED_VALUE"""),"6")</f>
        <v>6</v>
      </c>
      <c r="E488" s="30" t="str">
        <f ca="1">IFERROR(__xludf.DUMMYFUNCTION("""COMPUTED_VALUE"""),"")</f>
        <v/>
      </c>
      <c r="F488" s="29"/>
      <c r="G488" s="29"/>
      <c r="H488" s="30" t="str">
        <f ca="1">IFERROR(__xludf.DUMMYFUNCTION("""COMPUTED_VALUE"""),"activo")</f>
        <v>activo</v>
      </c>
      <c r="I488" s="29"/>
      <c r="J488" s="29"/>
      <c r="K488" s="29"/>
      <c r="L488" s="30" t="str">
        <f ca="1">IFERROR(__xludf.DUMMYFUNCTION("""COMPUTED_VALUE"""),"No")</f>
        <v>No</v>
      </c>
      <c r="M488" s="30" t="str">
        <f ca="1">IFERROR(__xludf.DUMMYFUNCTION("""COMPUTED_VALUE"""),"6648010002")</f>
        <v>6648010002</v>
      </c>
      <c r="N488" s="30" t="str">
        <f ca="1">IFERROR(__xludf.DUMMYFUNCTION("""COMPUTED_VALUE"""),"GUERNICA")</f>
        <v>GUERNICA</v>
      </c>
      <c r="O488" s="30" t="str">
        <f ca="1">IFERROR(__xludf.DUMMYFUNCTION("""COMPUTED_VALUE"""),"6648")</f>
        <v>6648</v>
      </c>
      <c r="P488" s="30" t="str">
        <f ca="1">IFERROR(__xludf.DUMMYFUNCTION("""COMPUTED_VALUE"""),"PRESIDENTE PERÓN")</f>
        <v>PRESIDENTE PERÓN</v>
      </c>
      <c r="Q488" s="30" t="str">
        <f ca="1">IFERROR(__xludf.DUMMYFUNCTION("""COMPUTED_VALUE"""),"-34.916743")</f>
        <v>-34.916743</v>
      </c>
      <c r="R488" s="30" t="str">
        <f ca="1">IFERROR(__xludf.DUMMYFUNCTION("""COMPUTED_VALUE"""),"-58.405881")</f>
        <v>-58.405881</v>
      </c>
      <c r="S488" s="30" t="str">
        <f ca="1">IFERROR(__xludf.DUMMYFUNCTION("""COMPUTED_VALUE"""),"Municipal")</f>
        <v>Municipal</v>
      </c>
      <c r="T488" s="30" t="str">
        <f ca="1">IFERROR(__xludf.DUMMYFUNCTION("""COMPUTED_VALUE"""),"PRESIDENTE PERÓN")</f>
        <v>PRESIDENTE PERÓN</v>
      </c>
    </row>
    <row r="489" spans="1:20" ht="15.75" customHeight="1" x14ac:dyDescent="0.25">
      <c r="A489" s="30" t="str">
        <f ca="1">IFERROR(__xludf.DUMMYFUNCTION("""COMPUTED_VALUE"""),"50066552202725")</f>
        <v>50066552202725</v>
      </c>
      <c r="B489" s="30" t="str">
        <f ca="1">IFERROR(__xludf.DUMMYFUNCTION("""COMPUTED_VALUE"""),"UNIDAD SANITARIA PIPINAS")</f>
        <v>UNIDAD SANITARIA PIPINAS</v>
      </c>
      <c r="C489" s="30" t="str">
        <f ca="1">IFERROR(__xludf.DUMMYFUNCTION("""COMPUTED_VALUE"""),"Buenos Aires")</f>
        <v>Buenos Aires</v>
      </c>
      <c r="D489" s="30" t="str">
        <f ca="1">IFERROR(__xludf.DUMMYFUNCTION("""COMPUTED_VALUE"""),"6")</f>
        <v>6</v>
      </c>
      <c r="E489" s="30" t="str">
        <f ca="1">IFERROR(__xludf.DUMMYFUNCTION("""COMPUTED_VALUE"""),"")</f>
        <v/>
      </c>
      <c r="F489" s="29"/>
      <c r="G489" s="30" t="str">
        <f ca="1">IFERROR(__xludf.DUMMYFUNCTION("""COMPUTED_VALUE"""),"50060582202233")</f>
        <v>50060582202233</v>
      </c>
      <c r="H489" s="30" t="str">
        <f ca="1">IFERROR(__xludf.DUMMYFUNCTION("""COMPUTED_VALUE"""),"inactivo")</f>
        <v>inactivo</v>
      </c>
      <c r="I489" s="29"/>
      <c r="J489" s="29"/>
      <c r="K489" s="29"/>
      <c r="L489" s="30" t="str">
        <f ca="1">IFERROR(__xludf.DUMMYFUNCTION("""COMPUTED_VALUE"""),"No")</f>
        <v>No</v>
      </c>
      <c r="M489" s="30" t="str">
        <f ca="1">IFERROR(__xludf.DUMMYFUNCTION("""COMPUTED_VALUE"""),"6655030000")</f>
        <v>6655030000</v>
      </c>
      <c r="N489" s="30" t="str">
        <f ca="1">IFERROR(__xludf.DUMMYFUNCTION("""COMPUTED_VALUE"""),"PIPINAS")</f>
        <v>PIPINAS</v>
      </c>
      <c r="O489" s="30" t="str">
        <f ca="1">IFERROR(__xludf.DUMMYFUNCTION("""COMPUTED_VALUE"""),"6655")</f>
        <v>6655</v>
      </c>
      <c r="P489" s="30" t="str">
        <f ca="1">IFERROR(__xludf.DUMMYFUNCTION("""COMPUTED_VALUE"""),"PUNTA INDIO")</f>
        <v>PUNTA INDIO</v>
      </c>
      <c r="Q489" s="30" t="str">
        <f ca="1">IFERROR(__xludf.DUMMYFUNCTION("""COMPUTED_VALUE"""),"-35.530487")</f>
        <v>-35.530487</v>
      </c>
      <c r="R489" s="30" t="str">
        <f ca="1">IFERROR(__xludf.DUMMYFUNCTION("""COMPUTED_VALUE"""),"-57.327847")</f>
        <v>-57.327847</v>
      </c>
      <c r="S489" s="30" t="str">
        <f ca="1">IFERROR(__xludf.DUMMYFUNCTION("""COMPUTED_VALUE"""),"Municipal")</f>
        <v>Municipal</v>
      </c>
      <c r="T489" s="30" t="str">
        <f ca="1">IFERROR(__xludf.DUMMYFUNCTION("""COMPUTED_VALUE"""),"PUNTA INDIO")</f>
        <v>PUNTA INDIO</v>
      </c>
    </row>
    <row r="490" spans="1:20" ht="15.75" customHeight="1" x14ac:dyDescent="0.25">
      <c r="A490" s="30" t="str">
        <f ca="1">IFERROR(__xludf.DUMMYFUNCTION("""COMPUTED_VALUE"""),"50060582202233")</f>
        <v>50060582202233</v>
      </c>
      <c r="B490" s="30" t="str">
        <f ca="1">IFERROR(__xludf.DUMMYFUNCTION("""COMPUTED_VALUE"""),"UNIDAD SANITARIA DR. HOUSSAY")</f>
        <v>UNIDAD SANITARIA DR. HOUSSAY</v>
      </c>
      <c r="C490" s="30" t="str">
        <f ca="1">IFERROR(__xludf.DUMMYFUNCTION("""COMPUTED_VALUE"""),"Buenos Aires")</f>
        <v>Buenos Aires</v>
      </c>
      <c r="D490" s="30" t="str">
        <f ca="1">IFERROR(__xludf.DUMMYFUNCTION("""COMPUTED_VALUE"""),"6")</f>
        <v>6</v>
      </c>
      <c r="E490" s="30" t="str">
        <f ca="1">IFERROR(__xludf.DUMMYFUNCTION("""COMPUTED_VALUE"""),"")</f>
        <v/>
      </c>
      <c r="F490" s="30" t="str">
        <f ca="1">IFERROR(__xludf.DUMMYFUNCTION("""COMPUTED_VALUE"""),"50066552202725")</f>
        <v>50066552202725</v>
      </c>
      <c r="G490" s="29"/>
      <c r="H490" s="30" t="str">
        <f ca="1">IFERROR(__xludf.DUMMYFUNCTION("""COMPUTED_VALUE"""),"activo")</f>
        <v>activo</v>
      </c>
      <c r="I490" s="29"/>
      <c r="J490" s="29"/>
      <c r="K490" s="29"/>
      <c r="L490" s="30" t="str">
        <f ca="1">IFERROR(__xludf.DUMMYFUNCTION("""COMPUTED_VALUE"""),"No")</f>
        <v>No</v>
      </c>
      <c r="M490" s="30" t="str">
        <f ca="1">IFERROR(__xludf.DUMMYFUNCTION("""COMPUTED_VALUE"""),"6658010006")</f>
        <v>6658010006</v>
      </c>
      <c r="N490" s="30" t="str">
        <f ca="1">IFERROR(__xludf.DUMMYFUNCTION("""COMPUTED_VALUE"""),"QUILMES")</f>
        <v>QUILMES</v>
      </c>
      <c r="O490" s="30" t="str">
        <f ca="1">IFERROR(__xludf.DUMMYFUNCTION("""COMPUTED_VALUE"""),"658")</f>
        <v>658</v>
      </c>
      <c r="P490" s="30" t="str">
        <f ca="1">IFERROR(__xludf.DUMMYFUNCTION("""COMPUTED_VALUE"""),"QUILMES")</f>
        <v>QUILMES</v>
      </c>
      <c r="Q490" s="30" t="str">
        <f ca="1">IFERROR(__xludf.DUMMYFUNCTION("""COMPUTED_VALUE"""),"-34.714623")</f>
        <v>-34.714623</v>
      </c>
      <c r="R490" s="30" t="str">
        <f ca="1">IFERROR(__xludf.DUMMYFUNCTION("""COMPUTED_VALUE"""),"-58.256507")</f>
        <v>-58.256507</v>
      </c>
      <c r="S490" s="30" t="str">
        <f ca="1">IFERROR(__xludf.DUMMYFUNCTION("""COMPUTED_VALUE"""),"Municipal")</f>
        <v>Municipal</v>
      </c>
      <c r="T490" s="30" t="str">
        <f ca="1">IFERROR(__xludf.DUMMYFUNCTION("""COMPUTED_VALUE"""),"QUILMES")</f>
        <v>QUILMES</v>
      </c>
    </row>
    <row r="491" spans="1:20" ht="15.75" customHeight="1" x14ac:dyDescent="0.25">
      <c r="A491" s="30" t="str">
        <f ca="1">IFERROR(__xludf.DUMMYFUNCTION("""COMPUTED_VALUE"""),"50066552202861")</f>
        <v>50066552202861</v>
      </c>
      <c r="B491" s="30" t="str">
        <f ca="1">IFERROR(__xludf.DUMMYFUNCTION("""COMPUTED_VALUE"""),"UNIDAD SANITARIA VERONICA")</f>
        <v>UNIDAD SANITARIA VERONICA</v>
      </c>
      <c r="C491" s="30" t="str">
        <f ca="1">IFERROR(__xludf.DUMMYFUNCTION("""COMPUTED_VALUE"""),"Buenos Aires")</f>
        <v>Buenos Aires</v>
      </c>
      <c r="D491" s="30" t="str">
        <f ca="1">IFERROR(__xludf.DUMMYFUNCTION("""COMPUTED_VALUE"""),"6")</f>
        <v>6</v>
      </c>
      <c r="E491" s="30" t="str">
        <f ca="1">IFERROR(__xludf.DUMMYFUNCTION("""COMPUTED_VALUE"""),"")</f>
        <v/>
      </c>
      <c r="F491" s="29"/>
      <c r="G491" s="30" t="str">
        <f ca="1">IFERROR(__xludf.DUMMYFUNCTION("""COMPUTED_VALUE"""),"50060582202097")</f>
        <v>50060582202097</v>
      </c>
      <c r="H491" s="30" t="str">
        <f ca="1">IFERROR(__xludf.DUMMYFUNCTION("""COMPUTED_VALUE"""),"inactivo")</f>
        <v>inactivo</v>
      </c>
      <c r="I491" s="29"/>
      <c r="J491" s="29"/>
      <c r="K491" s="29"/>
      <c r="L491" s="30" t="str">
        <f ca="1">IFERROR(__xludf.DUMMYFUNCTION("""COMPUTED_VALUE"""),"No")</f>
        <v>No</v>
      </c>
      <c r="M491" s="30" t="str">
        <f ca="1">IFERROR(__xludf.DUMMYFUNCTION("""COMPUTED_VALUE"""),"6655050000")</f>
        <v>6655050000</v>
      </c>
      <c r="N491" s="30" t="str">
        <f ca="1">IFERROR(__xludf.DUMMYFUNCTION("""COMPUTED_VALUE"""),"VERONICA")</f>
        <v>VERONICA</v>
      </c>
      <c r="O491" s="30" t="str">
        <f ca="1">IFERROR(__xludf.DUMMYFUNCTION("""COMPUTED_VALUE"""),"6655")</f>
        <v>6655</v>
      </c>
      <c r="P491" s="30" t="str">
        <f ca="1">IFERROR(__xludf.DUMMYFUNCTION("""COMPUTED_VALUE"""),"PUNTA INDIO")</f>
        <v>PUNTA INDIO</v>
      </c>
      <c r="Q491" s="30" t="str">
        <f ca="1">IFERROR(__xludf.DUMMYFUNCTION("""COMPUTED_VALUE"""),"-35.377215")</f>
        <v>-35.377215</v>
      </c>
      <c r="R491" s="30" t="str">
        <f ca="1">IFERROR(__xludf.DUMMYFUNCTION("""COMPUTED_VALUE"""),"-57.35155106")</f>
        <v>-57.35155106</v>
      </c>
      <c r="S491" s="30" t="str">
        <f ca="1">IFERROR(__xludf.DUMMYFUNCTION("""COMPUTED_VALUE"""),"Municipal")</f>
        <v>Municipal</v>
      </c>
      <c r="T491" s="30" t="str">
        <f ca="1">IFERROR(__xludf.DUMMYFUNCTION("""COMPUTED_VALUE"""),"PUNTA INDIO")</f>
        <v>PUNTA INDIO</v>
      </c>
    </row>
    <row r="492" spans="1:20" ht="15.75" customHeight="1" x14ac:dyDescent="0.25">
      <c r="A492" s="30" t="str">
        <f ca="1">IFERROR(__xludf.DUMMYFUNCTION("""COMPUTED_VALUE"""),"50060582202097")</f>
        <v>50060582202097</v>
      </c>
      <c r="B492" s="30" t="str">
        <f ca="1">IFERROR(__xludf.DUMMYFUNCTION("""COMPUTED_VALUE"""),"UNIDAD SANITARIA BARRIO LA PAZ DE QUILMES")</f>
        <v>UNIDAD SANITARIA BARRIO LA PAZ DE QUILMES</v>
      </c>
      <c r="C492" s="30" t="str">
        <f ca="1">IFERROR(__xludf.DUMMYFUNCTION("""COMPUTED_VALUE"""),"Buenos Aires")</f>
        <v>Buenos Aires</v>
      </c>
      <c r="D492" s="30" t="str">
        <f ca="1">IFERROR(__xludf.DUMMYFUNCTION("""COMPUTED_VALUE"""),"6")</f>
        <v>6</v>
      </c>
      <c r="E492" s="30" t="str">
        <f ca="1">IFERROR(__xludf.DUMMYFUNCTION("""COMPUTED_VALUE"""),"")</f>
        <v/>
      </c>
      <c r="F492" s="30" t="str">
        <f ca="1">IFERROR(__xludf.DUMMYFUNCTION("""COMPUTED_VALUE"""),"50066552202861")</f>
        <v>50066552202861</v>
      </c>
      <c r="G492" s="29"/>
      <c r="H492" s="30" t="str">
        <f ca="1">IFERROR(__xludf.DUMMYFUNCTION("""COMPUTED_VALUE"""),"activo")</f>
        <v>activo</v>
      </c>
      <c r="I492" s="29"/>
      <c r="J492" s="29"/>
      <c r="K492" s="29"/>
      <c r="L492" s="30" t="str">
        <f ca="1">IFERROR(__xludf.DUMMYFUNCTION("""COMPUTED_VALUE"""),"No")</f>
        <v>No</v>
      </c>
      <c r="M492" s="30" t="str">
        <f ca="1">IFERROR(__xludf.DUMMYFUNCTION("""COMPUTED_VALUE"""),"6658010008")</f>
        <v>6658010008</v>
      </c>
      <c r="N492" s="30" t="str">
        <f ca="1">IFERROR(__xludf.DUMMYFUNCTION("""COMPUTED_VALUE"""),"SAN FRANCISCO SOLANO")</f>
        <v>SAN FRANCISCO SOLANO</v>
      </c>
      <c r="O492" s="30" t="str">
        <f ca="1">IFERROR(__xludf.DUMMYFUNCTION("""COMPUTED_VALUE"""),"658")</f>
        <v>658</v>
      </c>
      <c r="P492" s="30" t="str">
        <f ca="1">IFERROR(__xludf.DUMMYFUNCTION("""COMPUTED_VALUE"""),"QUILMES")</f>
        <v>QUILMES</v>
      </c>
      <c r="Q492" s="30" t="str">
        <f ca="1">IFERROR(__xludf.DUMMYFUNCTION("""COMPUTED_VALUE"""),"-34.7510788")</f>
        <v>-34.7510788</v>
      </c>
      <c r="R492" s="30" t="str">
        <f ca="1">IFERROR(__xludf.DUMMYFUNCTION("""COMPUTED_VALUE"""),"-58.32188416")</f>
        <v>-58.32188416</v>
      </c>
      <c r="S492" s="30" t="str">
        <f ca="1">IFERROR(__xludf.DUMMYFUNCTION("""COMPUTED_VALUE"""),"Municipal")</f>
        <v>Municipal</v>
      </c>
      <c r="T492" s="30" t="str">
        <f ca="1">IFERROR(__xludf.DUMMYFUNCTION("""COMPUTED_VALUE"""),"QUILMES")</f>
        <v>QUILMES</v>
      </c>
    </row>
    <row r="493" spans="1:20" ht="15.75" customHeight="1" x14ac:dyDescent="0.25">
      <c r="A493" s="30" t="str">
        <f ca="1">IFERROR(__xludf.DUMMYFUNCTION("""COMPUTED_VALUE"""),"50066652202721")</f>
        <v>50066652202721</v>
      </c>
      <c r="B493" s="30" t="str">
        <f ca="1">IFERROR(__xludf.DUMMYFUNCTION("""COMPUTED_VALUE"""),"UNIDAD SANITARIA PEREZ MILLAN")</f>
        <v>UNIDAD SANITARIA PEREZ MILLAN</v>
      </c>
      <c r="C493" s="30" t="str">
        <f ca="1">IFERROR(__xludf.DUMMYFUNCTION("""COMPUTED_VALUE"""),"Buenos Aires")</f>
        <v>Buenos Aires</v>
      </c>
      <c r="D493" s="30" t="str">
        <f ca="1">IFERROR(__xludf.DUMMYFUNCTION("""COMPUTED_VALUE"""),"6")</f>
        <v>6</v>
      </c>
      <c r="E493" s="30" t="str">
        <f ca="1">IFERROR(__xludf.DUMMYFUNCTION("""COMPUTED_VALUE"""),"")</f>
        <v/>
      </c>
      <c r="F493" s="29"/>
      <c r="G493" s="30" t="str">
        <f ca="1">IFERROR(__xludf.DUMMYFUNCTION("""COMPUTED_VALUE"""),"50060582202939")</f>
        <v>50060582202939</v>
      </c>
      <c r="H493" s="30" t="str">
        <f ca="1">IFERROR(__xludf.DUMMYFUNCTION("""COMPUTED_VALUE"""),"inactivo")</f>
        <v>inactivo</v>
      </c>
      <c r="I493" s="29"/>
      <c r="J493" s="29"/>
      <c r="K493" s="29"/>
      <c r="L493" s="30" t="str">
        <f ca="1">IFERROR(__xludf.DUMMYFUNCTION("""COMPUTED_VALUE"""),"No")</f>
        <v>No</v>
      </c>
      <c r="M493" s="30" t="str">
        <f ca="1">IFERROR(__xludf.DUMMYFUNCTION("""COMPUTED_VALUE"""),"6665030000")</f>
        <v>6665030000</v>
      </c>
      <c r="N493" s="30" t="str">
        <f ca="1">IFERROR(__xludf.DUMMYFUNCTION("""COMPUTED_VALUE"""),"PEREZ MILLAN")</f>
        <v>PEREZ MILLAN</v>
      </c>
      <c r="O493" s="30" t="str">
        <f ca="1">IFERROR(__xludf.DUMMYFUNCTION("""COMPUTED_VALUE"""),"6665")</f>
        <v>6665</v>
      </c>
      <c r="P493" s="30" t="str">
        <f ca="1">IFERROR(__xludf.DUMMYFUNCTION("""COMPUTED_VALUE"""),"RAMALLO")</f>
        <v>RAMALLO</v>
      </c>
      <c r="Q493" s="30" t="str">
        <f ca="1">IFERROR(__xludf.DUMMYFUNCTION("""COMPUTED_VALUE"""),"-33.7693829")</f>
        <v>-33.7693829</v>
      </c>
      <c r="R493" s="30" t="str">
        <f ca="1">IFERROR(__xludf.DUMMYFUNCTION("""COMPUTED_VALUE"""),"-60.0932463")</f>
        <v>-60.0932463</v>
      </c>
      <c r="S493" s="30" t="str">
        <f ca="1">IFERROR(__xludf.DUMMYFUNCTION("""COMPUTED_VALUE"""),"Municipal")</f>
        <v>Municipal</v>
      </c>
      <c r="T493" s="30" t="str">
        <f ca="1">IFERROR(__xludf.DUMMYFUNCTION("""COMPUTED_VALUE"""),"RAMALLO")</f>
        <v>RAMALLO</v>
      </c>
    </row>
    <row r="494" spans="1:20" ht="15.75" customHeight="1" x14ac:dyDescent="0.25">
      <c r="A494" s="30" t="str">
        <f ca="1">IFERROR(__xludf.DUMMYFUNCTION("""COMPUTED_VALUE"""),"50060582202939")</f>
        <v>50060582202939</v>
      </c>
      <c r="B494" s="30" t="str">
        <f ca="1">IFERROR(__xludf.DUMMYFUNCTION("""COMPUTED_VALUE"""),"UNIDAD SANITARIA 8 DE OCTUBRE I DE QUILMES")</f>
        <v>UNIDAD SANITARIA 8 DE OCTUBRE I DE QUILMES</v>
      </c>
      <c r="C494" s="30" t="str">
        <f ca="1">IFERROR(__xludf.DUMMYFUNCTION("""COMPUTED_VALUE"""),"Buenos Aires")</f>
        <v>Buenos Aires</v>
      </c>
      <c r="D494" s="30" t="str">
        <f ca="1">IFERROR(__xludf.DUMMYFUNCTION("""COMPUTED_VALUE"""),"6")</f>
        <v>6</v>
      </c>
      <c r="E494" s="30" t="str">
        <f ca="1">IFERROR(__xludf.DUMMYFUNCTION("""COMPUTED_VALUE"""),"")</f>
        <v/>
      </c>
      <c r="F494" s="30" t="str">
        <f ca="1">IFERROR(__xludf.DUMMYFUNCTION("""COMPUTED_VALUE"""),"50066652202721")</f>
        <v>50066652202721</v>
      </c>
      <c r="G494" s="29"/>
      <c r="H494" s="30" t="str">
        <f ca="1">IFERROR(__xludf.DUMMYFUNCTION("""COMPUTED_VALUE"""),"activo")</f>
        <v>activo</v>
      </c>
      <c r="I494" s="29"/>
      <c r="J494" s="29"/>
      <c r="K494" s="29"/>
      <c r="L494" s="30" t="str">
        <f ca="1">IFERROR(__xludf.DUMMYFUNCTION("""COMPUTED_VALUE"""),"No")</f>
        <v>No</v>
      </c>
      <c r="M494" s="30" t="str">
        <f ca="1">IFERROR(__xludf.DUMMYFUNCTION("""COMPUTED_VALUE"""),"6658010008")</f>
        <v>6658010008</v>
      </c>
      <c r="N494" s="30" t="str">
        <f ca="1">IFERROR(__xludf.DUMMYFUNCTION("""COMPUTED_VALUE"""),"SAN FRANCISCO SOLANO")</f>
        <v>SAN FRANCISCO SOLANO</v>
      </c>
      <c r="O494" s="30" t="str">
        <f ca="1">IFERROR(__xludf.DUMMYFUNCTION("""COMPUTED_VALUE"""),"658")</f>
        <v>658</v>
      </c>
      <c r="P494" s="30" t="str">
        <f ca="1">IFERROR(__xludf.DUMMYFUNCTION("""COMPUTED_VALUE"""),"QUILMES")</f>
        <v>QUILMES</v>
      </c>
      <c r="Q494" s="30" t="str">
        <f ca="1">IFERROR(__xludf.DUMMYFUNCTION("""COMPUTED_VALUE"""),"-34.7670504")</f>
        <v>-34.7670504</v>
      </c>
      <c r="R494" s="30" t="str">
        <f ca="1">IFERROR(__xludf.DUMMYFUNCTION("""COMPUTED_VALUE"""),"-58.31089783")</f>
        <v>-58.31089783</v>
      </c>
      <c r="S494" s="30" t="str">
        <f ca="1">IFERROR(__xludf.DUMMYFUNCTION("""COMPUTED_VALUE"""),"Municipal")</f>
        <v>Municipal</v>
      </c>
      <c r="T494" s="30" t="str">
        <f ca="1">IFERROR(__xludf.DUMMYFUNCTION("""COMPUTED_VALUE"""),"QUILMES")</f>
        <v>QUILMES</v>
      </c>
    </row>
    <row r="495" spans="1:20" ht="15.75" customHeight="1" x14ac:dyDescent="0.25">
      <c r="A495" s="30" t="str">
        <f ca="1">IFERROR(__xludf.DUMMYFUNCTION("""COMPUTED_VALUE"""),"50066652202898")</f>
        <v>50066652202898</v>
      </c>
      <c r="B495" s="30" t="str">
        <f ca="1">IFERROR(__xludf.DUMMYFUNCTION("""COMPUTED_VALUE"""),"UNIDAD SANITARIA VILLA RAMALLO")</f>
        <v>UNIDAD SANITARIA VILLA RAMALLO</v>
      </c>
      <c r="C495" s="30" t="str">
        <f ca="1">IFERROR(__xludf.DUMMYFUNCTION("""COMPUTED_VALUE"""),"Buenos Aires")</f>
        <v>Buenos Aires</v>
      </c>
      <c r="D495" s="30" t="str">
        <f ca="1">IFERROR(__xludf.DUMMYFUNCTION("""COMPUTED_VALUE"""),"6")</f>
        <v>6</v>
      </c>
      <c r="E495" s="30" t="str">
        <f ca="1">IFERROR(__xludf.DUMMYFUNCTION("""COMPUTED_VALUE"""),"")</f>
        <v/>
      </c>
      <c r="F495" s="29"/>
      <c r="G495" s="30" t="str">
        <f ca="1">IFERROR(__xludf.DUMMYFUNCTION("""COMPUTED_VALUE"""),"50060582202799")</f>
        <v>50060582202799</v>
      </c>
      <c r="H495" s="30" t="str">
        <f ca="1">IFERROR(__xludf.DUMMYFUNCTION("""COMPUTED_VALUE"""),"inactivo")</f>
        <v>inactivo</v>
      </c>
      <c r="I495" s="29"/>
      <c r="J495" s="29"/>
      <c r="K495" s="29"/>
      <c r="L495" s="30" t="str">
        <f ca="1">IFERROR(__xludf.DUMMYFUNCTION("""COMPUTED_VALUE"""),"No")</f>
        <v>No</v>
      </c>
      <c r="M495" s="30" t="str">
        <f ca="1">IFERROR(__xludf.DUMMYFUNCTION("""COMPUTED_VALUE"""),"6665060000")</f>
        <v>6665060000</v>
      </c>
      <c r="N495" s="30" t="str">
        <f ca="1">IFERROR(__xludf.DUMMYFUNCTION("""COMPUTED_VALUE"""),"VILLA RAMALLO")</f>
        <v>VILLA RAMALLO</v>
      </c>
      <c r="O495" s="30" t="str">
        <f ca="1">IFERROR(__xludf.DUMMYFUNCTION("""COMPUTED_VALUE"""),"6665")</f>
        <v>6665</v>
      </c>
      <c r="P495" s="30" t="str">
        <f ca="1">IFERROR(__xludf.DUMMYFUNCTION("""COMPUTED_VALUE"""),"RAMALLO")</f>
        <v>RAMALLO</v>
      </c>
      <c r="Q495" s="30" t="str">
        <f ca="1">IFERROR(__xludf.DUMMYFUNCTION("""COMPUTED_VALUE"""),"-33.505275")</f>
        <v>-33.505275</v>
      </c>
      <c r="R495" s="30" t="str">
        <f ca="1">IFERROR(__xludf.DUMMYFUNCTION("""COMPUTED_VALUE"""),"-60.072729")</f>
        <v>-60.072729</v>
      </c>
      <c r="S495" s="30" t="str">
        <f ca="1">IFERROR(__xludf.DUMMYFUNCTION("""COMPUTED_VALUE"""),"Municipal")</f>
        <v>Municipal</v>
      </c>
      <c r="T495" s="30" t="str">
        <f ca="1">IFERROR(__xludf.DUMMYFUNCTION("""COMPUTED_VALUE"""),"RAMALLO")</f>
        <v>RAMALLO</v>
      </c>
    </row>
    <row r="496" spans="1:20" ht="15.75" customHeight="1" x14ac:dyDescent="0.25">
      <c r="A496" s="30" t="str">
        <f ca="1">IFERROR(__xludf.DUMMYFUNCTION("""COMPUTED_VALUE"""),"50060582202799")</f>
        <v>50060582202799</v>
      </c>
      <c r="B496" s="30" t="str">
        <f ca="1">IFERROR(__xludf.DUMMYFUNCTION("""COMPUTED_VALUE"""),"UNIDAD SANITARIA SAN MARTIN DE QUILMES")</f>
        <v>UNIDAD SANITARIA SAN MARTIN DE QUILMES</v>
      </c>
      <c r="C496" s="30" t="str">
        <f ca="1">IFERROR(__xludf.DUMMYFUNCTION("""COMPUTED_VALUE"""),"Buenos Aires")</f>
        <v>Buenos Aires</v>
      </c>
      <c r="D496" s="30" t="str">
        <f ca="1">IFERROR(__xludf.DUMMYFUNCTION("""COMPUTED_VALUE"""),"6")</f>
        <v>6</v>
      </c>
      <c r="E496" s="30" t="str">
        <f ca="1">IFERROR(__xludf.DUMMYFUNCTION("""COMPUTED_VALUE"""),"")</f>
        <v/>
      </c>
      <c r="F496" s="30" t="str">
        <f ca="1">IFERROR(__xludf.DUMMYFUNCTION("""COMPUTED_VALUE"""),"50066652202898")</f>
        <v>50066652202898</v>
      </c>
      <c r="G496" s="29"/>
      <c r="H496" s="30" t="str">
        <f ca="1">IFERROR(__xludf.DUMMYFUNCTION("""COMPUTED_VALUE"""),"activo")</f>
        <v>activo</v>
      </c>
      <c r="I496" s="29"/>
      <c r="J496" s="29"/>
      <c r="K496" s="29"/>
      <c r="L496" s="30" t="str">
        <f ca="1">IFERROR(__xludf.DUMMYFUNCTION("""COMPUTED_VALUE"""),"No")</f>
        <v>No</v>
      </c>
      <c r="M496" s="30" t="str">
        <f ca="1">IFERROR(__xludf.DUMMYFUNCTION("""COMPUTED_VALUE"""),"6658010008")</f>
        <v>6658010008</v>
      </c>
      <c r="N496" s="30" t="str">
        <f ca="1">IFERROR(__xludf.DUMMYFUNCTION("""COMPUTED_VALUE"""),"SAN FRANCISCO SOLANO")</f>
        <v>SAN FRANCISCO SOLANO</v>
      </c>
      <c r="O496" s="30" t="str">
        <f ca="1">IFERROR(__xludf.DUMMYFUNCTION("""COMPUTED_VALUE"""),"658")</f>
        <v>658</v>
      </c>
      <c r="P496" s="30" t="str">
        <f ca="1">IFERROR(__xludf.DUMMYFUNCTION("""COMPUTED_VALUE"""),"QUILMES")</f>
        <v>QUILMES</v>
      </c>
      <c r="Q496" s="30" t="str">
        <f ca="1">IFERROR(__xludf.DUMMYFUNCTION("""COMPUTED_VALUE"""),"-34.769472")</f>
        <v>-34.769472</v>
      </c>
      <c r="R496" s="30" t="str">
        <f ca="1">IFERROR(__xludf.DUMMYFUNCTION("""COMPUTED_VALUE"""),"-58.321128")</f>
        <v>-58.321128</v>
      </c>
      <c r="S496" s="30" t="str">
        <f ca="1">IFERROR(__xludf.DUMMYFUNCTION("""COMPUTED_VALUE"""),"Municipal")</f>
        <v>Municipal</v>
      </c>
      <c r="T496" s="30" t="str">
        <f ca="1">IFERROR(__xludf.DUMMYFUNCTION("""COMPUTED_VALUE"""),"QUILMES")</f>
        <v>QUILMES</v>
      </c>
    </row>
    <row r="497" spans="1:20" ht="15.75" customHeight="1" x14ac:dyDescent="0.25">
      <c r="A497" s="30" t="str">
        <f ca="1">IFERROR(__xludf.DUMMYFUNCTION("""COMPUTED_VALUE"""),"50066862202119")</f>
        <v>50066862202119</v>
      </c>
      <c r="B497" s="30" t="str">
        <f ca="1">IFERROR(__xludf.DUMMYFUNCTION("""COMPUTED_VALUE"""),"CAPS BARRIO PROGRESO")</f>
        <v>CAPS BARRIO PROGRESO</v>
      </c>
      <c r="C497" s="30" t="str">
        <f ca="1">IFERROR(__xludf.DUMMYFUNCTION("""COMPUTED_VALUE"""),"Buenos Aires")</f>
        <v>Buenos Aires</v>
      </c>
      <c r="D497" s="30" t="str">
        <f ca="1">IFERROR(__xludf.DUMMYFUNCTION("""COMPUTED_VALUE"""),"6")</f>
        <v>6</v>
      </c>
      <c r="E497" s="30" t="str">
        <f ca="1">IFERROR(__xludf.DUMMYFUNCTION("""COMPUTED_VALUE"""),"")</f>
        <v/>
      </c>
      <c r="F497" s="29"/>
      <c r="G497" s="30" t="str">
        <f ca="1">IFERROR(__xludf.DUMMYFUNCTION("""COMPUTED_VALUE"""),"50060582202752")</f>
        <v>50060582202752</v>
      </c>
      <c r="H497" s="30" t="str">
        <f ca="1">IFERROR(__xludf.DUMMYFUNCTION("""COMPUTED_VALUE"""),"inactivo")</f>
        <v>inactivo</v>
      </c>
      <c r="I497" s="29"/>
      <c r="J497" s="29"/>
      <c r="K497" s="29"/>
      <c r="L497" s="30" t="str">
        <f ca="1">IFERROR(__xludf.DUMMYFUNCTION("""COMPUTED_VALUE"""),"No")</f>
        <v>No</v>
      </c>
      <c r="M497" s="30" t="str">
        <f ca="1">IFERROR(__xludf.DUMMYFUNCTION("""COMPUTED_VALUE"""),"6686060000")</f>
        <v>6686060000</v>
      </c>
      <c r="N497" s="30" t="str">
        <f ca="1">IFERROR(__xludf.DUMMYFUNCTION("""COMPUTED_VALUE"""),"ROJAS")</f>
        <v>ROJAS</v>
      </c>
      <c r="O497" s="30" t="str">
        <f ca="1">IFERROR(__xludf.DUMMYFUNCTION("""COMPUTED_VALUE"""),"6686")</f>
        <v>6686</v>
      </c>
      <c r="P497" s="30" t="str">
        <f ca="1">IFERROR(__xludf.DUMMYFUNCTION("""COMPUTED_VALUE"""),"ROJAS")</f>
        <v>ROJAS</v>
      </c>
      <c r="Q497" s="30" t="str">
        <f ca="1">IFERROR(__xludf.DUMMYFUNCTION("""COMPUTED_VALUE"""),"-34.190155")</f>
        <v>-34.190155</v>
      </c>
      <c r="R497" s="30" t="str">
        <f ca="1">IFERROR(__xludf.DUMMYFUNCTION("""COMPUTED_VALUE"""),"-60.7219551")</f>
        <v>-60.7219551</v>
      </c>
      <c r="S497" s="30" t="str">
        <f ca="1">IFERROR(__xludf.DUMMYFUNCTION("""COMPUTED_VALUE"""),"Municipal")</f>
        <v>Municipal</v>
      </c>
      <c r="T497" s="30" t="str">
        <f ca="1">IFERROR(__xludf.DUMMYFUNCTION("""COMPUTED_VALUE"""),"ROJAS")</f>
        <v>ROJAS</v>
      </c>
    </row>
    <row r="498" spans="1:20" ht="15.75" customHeight="1" x14ac:dyDescent="0.25">
      <c r="A498" s="30" t="str">
        <f ca="1">IFERROR(__xludf.DUMMYFUNCTION("""COMPUTED_VALUE"""),"50060582202752")</f>
        <v>50060582202752</v>
      </c>
      <c r="B498" s="30" t="str">
        <f ca="1">IFERROR(__xludf.DUMMYFUNCTION("""COMPUTED_VALUE"""),"UNIDAD SANITARIA RENE FAVALORO")</f>
        <v>UNIDAD SANITARIA RENE FAVALORO</v>
      </c>
      <c r="C498" s="30" t="str">
        <f ca="1">IFERROR(__xludf.DUMMYFUNCTION("""COMPUTED_VALUE"""),"Buenos Aires")</f>
        <v>Buenos Aires</v>
      </c>
      <c r="D498" s="30" t="str">
        <f ca="1">IFERROR(__xludf.DUMMYFUNCTION("""COMPUTED_VALUE"""),"6")</f>
        <v>6</v>
      </c>
      <c r="E498" s="30" t="str">
        <f ca="1">IFERROR(__xludf.DUMMYFUNCTION("""COMPUTED_VALUE"""),"")</f>
        <v/>
      </c>
      <c r="F498" s="30" t="str">
        <f ca="1">IFERROR(__xludf.DUMMYFUNCTION("""COMPUTED_VALUE"""),"50066862202119")</f>
        <v>50066862202119</v>
      </c>
      <c r="G498" s="29"/>
      <c r="H498" s="30" t="str">
        <f ca="1">IFERROR(__xludf.DUMMYFUNCTION("""COMPUTED_VALUE"""),"activo")</f>
        <v>activo</v>
      </c>
      <c r="I498" s="29"/>
      <c r="J498" s="29"/>
      <c r="K498" s="29"/>
      <c r="L498" s="30" t="str">
        <f ca="1">IFERROR(__xludf.DUMMYFUNCTION("""COMPUTED_VALUE"""),"No")</f>
        <v>No</v>
      </c>
      <c r="M498" s="30" t="str">
        <f ca="1">IFERROR(__xludf.DUMMYFUNCTION("""COMPUTED_VALUE"""),"6658010006")</f>
        <v>6658010006</v>
      </c>
      <c r="N498" s="30" t="str">
        <f ca="1">IFERROR(__xludf.DUMMYFUNCTION("""COMPUTED_VALUE"""),"QUILMES")</f>
        <v>QUILMES</v>
      </c>
      <c r="O498" s="30" t="str">
        <f ca="1">IFERROR(__xludf.DUMMYFUNCTION("""COMPUTED_VALUE"""),"658")</f>
        <v>658</v>
      </c>
      <c r="P498" s="30" t="str">
        <f ca="1">IFERROR(__xludf.DUMMYFUNCTION("""COMPUTED_VALUE"""),"QUILMES")</f>
        <v>QUILMES</v>
      </c>
      <c r="Q498" s="30" t="str">
        <f ca="1">IFERROR(__xludf.DUMMYFUNCTION("""COMPUTED_VALUE"""),"-34.71952406")</f>
        <v>-34.71952406</v>
      </c>
      <c r="R498" s="30" t="str">
        <f ca="1">IFERROR(__xludf.DUMMYFUNCTION("""COMPUTED_VALUE"""),"-58.23475742")</f>
        <v>-58.23475742</v>
      </c>
      <c r="S498" s="30" t="str">
        <f ca="1">IFERROR(__xludf.DUMMYFUNCTION("""COMPUTED_VALUE"""),"Municipal")</f>
        <v>Municipal</v>
      </c>
      <c r="T498" s="30" t="str">
        <f ca="1">IFERROR(__xludf.DUMMYFUNCTION("""COMPUTED_VALUE"""),"QUILMES")</f>
        <v>QUILMES</v>
      </c>
    </row>
    <row r="499" spans="1:20" ht="15.75" customHeight="1" x14ac:dyDescent="0.25">
      <c r="A499" s="30" t="str">
        <f ca="1">IFERROR(__xludf.DUMMYFUNCTION("""COMPUTED_VALUE"""),"50067492201303")</f>
        <v>50067492201303</v>
      </c>
      <c r="B499" s="30" t="str">
        <f ca="1">IFERROR(__xludf.DUMMYFUNCTION("""COMPUTED_VALUE"""),"CENTRO DE SALUD N° 26")</f>
        <v>CENTRO DE SALUD N° 26</v>
      </c>
      <c r="C499" s="30" t="str">
        <f ca="1">IFERROR(__xludf.DUMMYFUNCTION("""COMPUTED_VALUE"""),"Buenos Aires")</f>
        <v>Buenos Aires</v>
      </c>
      <c r="D499" s="30" t="str">
        <f ca="1">IFERROR(__xludf.DUMMYFUNCTION("""COMPUTED_VALUE"""),"6")</f>
        <v>6</v>
      </c>
      <c r="E499" s="30" t="str">
        <f ca="1">IFERROR(__xludf.DUMMYFUNCTION("""COMPUTED_VALUE"""),"")</f>
        <v/>
      </c>
      <c r="F499" s="29"/>
      <c r="G499" s="29"/>
      <c r="H499" s="30" t="str">
        <f ca="1">IFERROR(__xludf.DUMMYFUNCTION("""COMPUTED_VALUE"""),"activo")</f>
        <v>activo</v>
      </c>
      <c r="I499" s="29"/>
      <c r="J499" s="29"/>
      <c r="K499" s="29"/>
      <c r="L499" s="30" t="str">
        <f ca="1">IFERROR(__xludf.DUMMYFUNCTION("""COMPUTED_VALUE"""),"No")</f>
        <v>No</v>
      </c>
      <c r="M499" s="30" t="str">
        <f ca="1">IFERROR(__xludf.DUMMYFUNCTION("""COMPUTED_VALUE"""),"6749010003")</f>
        <v>6749010003</v>
      </c>
      <c r="N499" s="30" t="str">
        <f ca="1">IFERROR(__xludf.DUMMYFUNCTION("""COMPUTED_VALUE"""),"VIRREYES")</f>
        <v>VIRREYES</v>
      </c>
      <c r="O499" s="30" t="str">
        <f ca="1">IFERROR(__xludf.DUMMYFUNCTION("""COMPUTED_VALUE"""),"6749")</f>
        <v>6749</v>
      </c>
      <c r="P499" s="30" t="str">
        <f ca="1">IFERROR(__xludf.DUMMYFUNCTION("""COMPUTED_VALUE"""),"SAN FERNANDO")</f>
        <v>SAN FERNANDO</v>
      </c>
      <c r="Q499" s="30" t="str">
        <f ca="1">IFERROR(__xludf.DUMMYFUNCTION("""COMPUTED_VALUE"""),"-34.4512733")</f>
        <v>-34.4512733</v>
      </c>
      <c r="R499" s="30" t="str">
        <f ca="1">IFERROR(__xludf.DUMMYFUNCTION("""COMPUTED_VALUE"""),"-58.5619793")</f>
        <v>-58.5619793</v>
      </c>
      <c r="S499" s="30" t="str">
        <f ca="1">IFERROR(__xludf.DUMMYFUNCTION("""COMPUTED_VALUE"""),"Municipal")</f>
        <v>Municipal</v>
      </c>
      <c r="T499" s="30" t="str">
        <f ca="1">IFERROR(__xludf.DUMMYFUNCTION("""COMPUTED_VALUE"""),"SAN FERNANDO")</f>
        <v>SAN FERNANDO</v>
      </c>
    </row>
    <row r="500" spans="1:20" ht="15.75" customHeight="1" x14ac:dyDescent="0.25">
      <c r="A500" s="30" t="str">
        <f ca="1">IFERROR(__xludf.DUMMYFUNCTION("""COMPUTED_VALUE"""),"50067492201305")</f>
        <v>50067492201305</v>
      </c>
      <c r="B500" s="30" t="str">
        <f ca="1">IFERROR(__xludf.DUMMYFUNCTION("""COMPUTED_VALUE"""),"CENTRO DE SALUD N° 27 DE SAN FERNANDO")</f>
        <v>CENTRO DE SALUD N° 27 DE SAN FERNANDO</v>
      </c>
      <c r="C500" s="30" t="str">
        <f ca="1">IFERROR(__xludf.DUMMYFUNCTION("""COMPUTED_VALUE"""),"Buenos Aires")</f>
        <v>Buenos Aires</v>
      </c>
      <c r="D500" s="30" t="str">
        <f ca="1">IFERROR(__xludf.DUMMYFUNCTION("""COMPUTED_VALUE"""),"6")</f>
        <v>6</v>
      </c>
      <c r="E500" s="30" t="str">
        <f ca="1">IFERROR(__xludf.DUMMYFUNCTION("""COMPUTED_VALUE"""),"")</f>
        <v/>
      </c>
      <c r="F500" s="29"/>
      <c r="G500" s="29"/>
      <c r="H500" s="30" t="str">
        <f ca="1">IFERROR(__xludf.DUMMYFUNCTION("""COMPUTED_VALUE"""),"inactivo")</f>
        <v>inactivo</v>
      </c>
      <c r="I500" s="30" t="str">
        <f ca="1">IFERROR(__xludf.DUMMYFUNCTION("""COMPUTED_VALUE"""),"No se encuentra sisa ni por nombre CENTRO DE SALUD N° 27 DE SAN FERNANDO - fuera circular 2")</f>
        <v>No se encuentra sisa ni por nombre CENTRO DE SALUD N° 27 DE SAN FERNANDO - fuera circular 2</v>
      </c>
      <c r="J500" s="29"/>
      <c r="K500" s="29"/>
      <c r="L500" s="30" t="str">
        <f ca="1">IFERROR(__xludf.DUMMYFUNCTION("""COMPUTED_VALUE"""),"No")</f>
        <v>No</v>
      </c>
      <c r="M500" s="30" t="str">
        <f ca="1">IFERROR(__xludf.DUMMYFUNCTION("""COMPUTED_VALUE"""),"#N/A")</f>
        <v>#N/A</v>
      </c>
      <c r="N500" s="30" t="str">
        <f ca="1">IFERROR(__xludf.DUMMYFUNCTION("""COMPUTED_VALUE"""),"#N/A")</f>
        <v>#N/A</v>
      </c>
      <c r="O500" s="30" t="str">
        <f ca="1">IFERROR(__xludf.DUMMYFUNCTION("""COMPUTED_VALUE"""),"#N/A")</f>
        <v>#N/A</v>
      </c>
      <c r="P500" s="30" t="str">
        <f ca="1">IFERROR(__xludf.DUMMYFUNCTION("""COMPUTED_VALUE"""),"SAN FERNANDO")</f>
        <v>SAN FERNANDO</v>
      </c>
      <c r="Q500" s="30" t="str">
        <f ca="1">IFERROR(__xludf.DUMMYFUNCTION("""COMPUTED_VALUE"""),"#N/A")</f>
        <v>#N/A</v>
      </c>
      <c r="R500" s="30" t="str">
        <f ca="1">IFERROR(__xludf.DUMMYFUNCTION("""COMPUTED_VALUE"""),"#N/A")</f>
        <v>#N/A</v>
      </c>
      <c r="S500" s="30" t="str">
        <f ca="1">IFERROR(__xludf.DUMMYFUNCTION("""COMPUTED_VALUE"""),"#N/A")</f>
        <v>#N/A</v>
      </c>
      <c r="T500" s="30" t="str">
        <f ca="1">IFERROR(__xludf.DUMMYFUNCTION("""COMPUTED_VALUE"""),"SAN FERNANDO")</f>
        <v>SAN FERNANDO</v>
      </c>
    </row>
    <row r="501" spans="1:20" ht="15.75" customHeight="1" x14ac:dyDescent="0.25">
      <c r="A501" s="30" t="str">
        <f ca="1">IFERROR(__xludf.DUMMYFUNCTION("""COMPUTED_VALUE"""),"50068052201085")</f>
        <v>50068052201085</v>
      </c>
      <c r="B501" s="30" t="str">
        <f ca="1">IFERROR(__xludf.DUMMYFUNCTION("""COMPUTED_VALUE"""),"CENTRO DE SALUD GENERAL PACHECO")</f>
        <v>CENTRO DE SALUD GENERAL PACHECO</v>
      </c>
      <c r="C501" s="30" t="str">
        <f ca="1">IFERROR(__xludf.DUMMYFUNCTION("""COMPUTED_VALUE"""),"Buenos Aires")</f>
        <v>Buenos Aires</v>
      </c>
      <c r="D501" s="30" t="str">
        <f ca="1">IFERROR(__xludf.DUMMYFUNCTION("""COMPUTED_VALUE"""),"6")</f>
        <v>6</v>
      </c>
      <c r="E501" s="30" t="str">
        <f ca="1">IFERROR(__xludf.DUMMYFUNCTION("""COMPUTED_VALUE"""),"")</f>
        <v/>
      </c>
      <c r="F501" s="29"/>
      <c r="G501" s="29"/>
      <c r="H501" s="30" t="str">
        <f ca="1">IFERROR(__xludf.DUMMYFUNCTION("""COMPUTED_VALUE"""),"activo")</f>
        <v>activo</v>
      </c>
      <c r="I501" s="30" t="str">
        <f ca="1">IFERROR(__xludf.DUMMYFUNCTION("""COMPUTED_VALUE"""),"circular 2")</f>
        <v>circular 2</v>
      </c>
      <c r="J501" s="29"/>
      <c r="K501" s="29"/>
      <c r="L501" s="30" t="str">
        <f ca="1">IFERROR(__xludf.DUMMYFUNCTION("""COMPUTED_VALUE"""),"No")</f>
        <v>No</v>
      </c>
      <c r="M501" s="30" t="str">
        <f ca="1">IFERROR(__xludf.DUMMYFUNCTION("""COMPUTED_VALUE"""),"6805010006")</f>
        <v>6805010006</v>
      </c>
      <c r="N501" s="30" t="str">
        <f ca="1">IFERROR(__xludf.DUMMYFUNCTION("""COMPUTED_VALUE"""),"GENERAL PACHECO")</f>
        <v>GENERAL PACHECO</v>
      </c>
      <c r="O501" s="30" t="str">
        <f ca="1">IFERROR(__xludf.DUMMYFUNCTION("""COMPUTED_VALUE"""),"6805")</f>
        <v>6805</v>
      </c>
      <c r="P501" s="30" t="str">
        <f ca="1">IFERROR(__xludf.DUMMYFUNCTION("""COMPUTED_VALUE"""),"TIGRE")</f>
        <v>TIGRE</v>
      </c>
      <c r="Q501" s="30" t="str">
        <f ca="1">IFERROR(__xludf.DUMMYFUNCTION("""COMPUTED_VALUE"""),"-34.452176")</f>
        <v>-34.452176</v>
      </c>
      <c r="R501" s="30" t="str">
        <f ca="1">IFERROR(__xludf.DUMMYFUNCTION("""COMPUTED_VALUE"""),"-58.6355177")</f>
        <v>-58.6355177</v>
      </c>
      <c r="S501" s="30" t="str">
        <f ca="1">IFERROR(__xludf.DUMMYFUNCTION("""COMPUTED_VALUE"""),"Municipal")</f>
        <v>Municipal</v>
      </c>
      <c r="T501" s="30" t="str">
        <f ca="1">IFERROR(__xludf.DUMMYFUNCTION("""COMPUTED_VALUE"""),"TIGRE")</f>
        <v>TIGRE</v>
      </c>
    </row>
    <row r="502" spans="1:20" ht="15.75" customHeight="1" x14ac:dyDescent="0.25">
      <c r="A502" s="30" t="str">
        <f ca="1">IFERROR(__xludf.DUMMYFUNCTION("""COMPUTED_VALUE"""),"50068052202372")</f>
        <v>50068052202372</v>
      </c>
      <c r="B502" s="30" t="str">
        <f ca="1">IFERROR(__xludf.DUMMYFUNCTION("""COMPUTED_VALUE"""),"CENTRO DE SALUD LA PALOMA")</f>
        <v>CENTRO DE SALUD LA PALOMA</v>
      </c>
      <c r="C502" s="30" t="str">
        <f ca="1">IFERROR(__xludf.DUMMYFUNCTION("""COMPUTED_VALUE"""),"Buenos Aires")</f>
        <v>Buenos Aires</v>
      </c>
      <c r="D502" s="30" t="str">
        <f ca="1">IFERROR(__xludf.DUMMYFUNCTION("""COMPUTED_VALUE"""),"6")</f>
        <v>6</v>
      </c>
      <c r="E502" s="30" t="str">
        <f ca="1">IFERROR(__xludf.DUMMYFUNCTION("""COMPUTED_VALUE"""),"")</f>
        <v/>
      </c>
      <c r="F502" s="29"/>
      <c r="G502" s="29"/>
      <c r="H502" s="30" t="str">
        <f ca="1">IFERROR(__xludf.DUMMYFUNCTION("""COMPUTED_VALUE"""),"activo")</f>
        <v>activo</v>
      </c>
      <c r="I502" s="30" t="str">
        <f ca="1">IFERROR(__xludf.DUMMYFUNCTION("""COMPUTED_VALUE"""),"circular 2")</f>
        <v>circular 2</v>
      </c>
      <c r="J502" s="29"/>
      <c r="K502" s="29"/>
      <c r="L502" s="30" t="str">
        <f ca="1">IFERROR(__xludf.DUMMYFUNCTION("""COMPUTED_VALUE"""),"No")</f>
        <v>No</v>
      </c>
      <c r="M502" s="30" t="str">
        <f ca="1">IFERROR(__xludf.DUMMYFUNCTION("""COMPUTED_VALUE"""),"6805010006")</f>
        <v>6805010006</v>
      </c>
      <c r="N502" s="30" t="str">
        <f ca="1">IFERROR(__xludf.DUMMYFUNCTION("""COMPUTED_VALUE"""),"GENERAL PACHECO")</f>
        <v>GENERAL PACHECO</v>
      </c>
      <c r="O502" s="30" t="str">
        <f ca="1">IFERROR(__xludf.DUMMYFUNCTION("""COMPUTED_VALUE"""),"6805")</f>
        <v>6805</v>
      </c>
      <c r="P502" s="30" t="str">
        <f ca="1">IFERROR(__xludf.DUMMYFUNCTION("""COMPUTED_VALUE"""),"TIGRE")</f>
        <v>TIGRE</v>
      </c>
      <c r="Q502" s="30" t="str">
        <f ca="1">IFERROR(__xludf.DUMMYFUNCTION("""COMPUTED_VALUE"""),"-34.46346554")</f>
        <v>-34.46346554</v>
      </c>
      <c r="R502" s="30" t="str">
        <f ca="1">IFERROR(__xludf.DUMMYFUNCTION("""COMPUTED_VALUE"""),"-58.66076142")</f>
        <v>-58.66076142</v>
      </c>
      <c r="S502" s="30" t="str">
        <f ca="1">IFERROR(__xludf.DUMMYFUNCTION("""COMPUTED_VALUE"""),"Municipal")</f>
        <v>Municipal</v>
      </c>
      <c r="T502" s="30" t="str">
        <f ca="1">IFERROR(__xludf.DUMMYFUNCTION("""COMPUTED_VALUE"""),"TIGRE")</f>
        <v>TIGRE</v>
      </c>
    </row>
    <row r="503" spans="1:20" ht="15.75" customHeight="1" x14ac:dyDescent="0.25">
      <c r="A503" s="30" t="str">
        <f ca="1">IFERROR(__xludf.DUMMYFUNCTION("""COMPUTED_VALUE"""),"50068052206695")</f>
        <v>50068052206695</v>
      </c>
      <c r="B503" s="30" t="str">
        <f ca="1">IFERROR(__xludf.DUMMYFUNCTION("""COMPUTED_VALUE"""),"CENTRO DE ATENCION PRIMARIA DE LA SALUD BELGRANO")</f>
        <v>CENTRO DE ATENCION PRIMARIA DE LA SALUD BELGRANO</v>
      </c>
      <c r="C503" s="30" t="str">
        <f ca="1">IFERROR(__xludf.DUMMYFUNCTION("""COMPUTED_VALUE"""),"Buenos Aires")</f>
        <v>Buenos Aires</v>
      </c>
      <c r="D503" s="30" t="str">
        <f ca="1">IFERROR(__xludf.DUMMYFUNCTION("""COMPUTED_VALUE"""),"6")</f>
        <v>6</v>
      </c>
      <c r="E503" s="30" t="str">
        <f ca="1">IFERROR(__xludf.DUMMYFUNCTION("""COMPUTED_VALUE"""),"")</f>
        <v/>
      </c>
      <c r="F503" s="29"/>
      <c r="G503" s="29"/>
      <c r="H503" s="30" t="str">
        <f ca="1">IFERROR(__xludf.DUMMYFUNCTION("""COMPUTED_VALUE"""),"activo")</f>
        <v>activo</v>
      </c>
      <c r="I503" s="30" t="str">
        <f ca="1">IFERROR(__xludf.DUMMYFUNCTION("""COMPUTED_VALUE"""),"circular 2")</f>
        <v>circular 2</v>
      </c>
      <c r="J503" s="29"/>
      <c r="K503" s="29"/>
      <c r="L503" s="30" t="str">
        <f ca="1">IFERROR(__xludf.DUMMYFUNCTION("""COMPUTED_VALUE"""),"No")</f>
        <v>No</v>
      </c>
      <c r="M503" s="30" t="str">
        <f ca="1">IFERROR(__xludf.DUMMYFUNCTION("""COMPUTED_VALUE"""),"6805010003")</f>
        <v>6805010003</v>
      </c>
      <c r="N503" s="30" t="str">
        <f ca="1">IFERROR(__xludf.DUMMYFUNCTION("""COMPUTED_VALUE"""),"DON TORCUATO ESTE")</f>
        <v>DON TORCUATO ESTE</v>
      </c>
      <c r="O503" s="30" t="str">
        <f ca="1">IFERROR(__xludf.DUMMYFUNCTION("""COMPUTED_VALUE"""),"6805")</f>
        <v>6805</v>
      </c>
      <c r="P503" s="30" t="str">
        <f ca="1">IFERROR(__xludf.DUMMYFUNCTION("""COMPUTED_VALUE"""),"TIGRE")</f>
        <v>TIGRE</v>
      </c>
      <c r="Q503" s="30" t="str">
        <f ca="1">IFERROR(__xludf.DUMMYFUNCTION("""COMPUTED_VALUE"""),"-34.4833781")</f>
        <v>-34.4833781</v>
      </c>
      <c r="R503" s="30" t="str">
        <f ca="1">IFERROR(__xludf.DUMMYFUNCTION("""COMPUTED_VALUE"""),"-58.6380016")</f>
        <v>-58.6380016</v>
      </c>
      <c r="S503" s="30" t="str">
        <f ca="1">IFERROR(__xludf.DUMMYFUNCTION("""COMPUTED_VALUE"""),"Municipal")</f>
        <v>Municipal</v>
      </c>
      <c r="T503" s="30" t="str">
        <f ca="1">IFERROR(__xludf.DUMMYFUNCTION("""COMPUTED_VALUE"""),"TIGRE")</f>
        <v>TIGRE</v>
      </c>
    </row>
    <row r="504" spans="1:20" ht="15.75" customHeight="1" x14ac:dyDescent="0.25">
      <c r="A504" s="30" t="str">
        <f ca="1">IFERROR(__xludf.DUMMYFUNCTION("""COMPUTED_VALUE"""),"50068052201349")</f>
        <v>50068052201349</v>
      </c>
      <c r="B504" s="30" t="str">
        <f ca="1">IFERROR(__xludf.DUMMYFUNCTION("""COMPUTED_VALUE"""),"CENTRO DE SALUD RINCON DE MILBERG")</f>
        <v>CENTRO DE SALUD RINCON DE MILBERG</v>
      </c>
      <c r="C504" s="30" t="str">
        <f ca="1">IFERROR(__xludf.DUMMYFUNCTION("""COMPUTED_VALUE"""),"Buenos Aires")</f>
        <v>Buenos Aires</v>
      </c>
      <c r="D504" s="30" t="str">
        <f ca="1">IFERROR(__xludf.DUMMYFUNCTION("""COMPUTED_VALUE"""),"6")</f>
        <v>6</v>
      </c>
      <c r="E504" s="30" t="str">
        <f ca="1">IFERROR(__xludf.DUMMYFUNCTION("""COMPUTED_VALUE"""),"")</f>
        <v/>
      </c>
      <c r="F504" s="29"/>
      <c r="G504" s="29"/>
      <c r="H504" s="30" t="str">
        <f ca="1">IFERROR(__xludf.DUMMYFUNCTION("""COMPUTED_VALUE"""),"activo")</f>
        <v>activo</v>
      </c>
      <c r="I504" s="30" t="str">
        <f ca="1">IFERROR(__xludf.DUMMYFUNCTION("""COMPUTED_VALUE"""),"circular 2")</f>
        <v>circular 2</v>
      </c>
      <c r="J504" s="29"/>
      <c r="K504" s="29"/>
      <c r="L504" s="30" t="str">
        <f ca="1">IFERROR(__xludf.DUMMYFUNCTION("""COMPUTED_VALUE"""),"No")</f>
        <v>No</v>
      </c>
      <c r="M504" s="30" t="str">
        <f ca="1">IFERROR(__xludf.DUMMYFUNCTION("""COMPUTED_VALUE"""),"6805010010")</f>
        <v>6805010010</v>
      </c>
      <c r="N504" s="30" t="str">
        <f ca="1">IFERROR(__xludf.DUMMYFUNCTION("""COMPUTED_VALUE"""),"TIGRE")</f>
        <v>TIGRE</v>
      </c>
      <c r="O504" s="30" t="str">
        <f ca="1">IFERROR(__xludf.DUMMYFUNCTION("""COMPUTED_VALUE"""),"6805")</f>
        <v>6805</v>
      </c>
      <c r="P504" s="30" t="str">
        <f ca="1">IFERROR(__xludf.DUMMYFUNCTION("""COMPUTED_VALUE"""),"TIGRE")</f>
        <v>TIGRE</v>
      </c>
      <c r="Q504" s="30" t="str">
        <f ca="1">IFERROR(__xludf.DUMMYFUNCTION("""COMPUTED_VALUE"""),"-34.41499094")</f>
        <v>-34.41499094</v>
      </c>
      <c r="R504" s="30" t="str">
        <f ca="1">IFERROR(__xludf.DUMMYFUNCTION("""COMPUTED_VALUE"""),"-58.60257626")</f>
        <v>-58.60257626</v>
      </c>
      <c r="S504" s="30" t="str">
        <f ca="1">IFERROR(__xludf.DUMMYFUNCTION("""COMPUTED_VALUE"""),"Municipal")</f>
        <v>Municipal</v>
      </c>
      <c r="T504" s="30" t="str">
        <f ca="1">IFERROR(__xludf.DUMMYFUNCTION("""COMPUTED_VALUE"""),"TIGRE")</f>
        <v>TIGRE</v>
      </c>
    </row>
    <row r="505" spans="1:20" ht="15.75" customHeight="1" x14ac:dyDescent="0.25">
      <c r="A505" s="30" t="str">
        <f ca="1">IFERROR(__xludf.DUMMYFUNCTION("""COMPUTED_VALUE"""),"50068052201210")</f>
        <v>50068052201210</v>
      </c>
      <c r="B505" s="30" t="str">
        <f ca="1">IFERROR(__xludf.DUMMYFUNCTION("""COMPUTED_VALUE"""),"CAPS CANAL")</f>
        <v>CAPS CANAL</v>
      </c>
      <c r="C505" s="30" t="str">
        <f ca="1">IFERROR(__xludf.DUMMYFUNCTION("""COMPUTED_VALUE"""),"Buenos Aires")</f>
        <v>Buenos Aires</v>
      </c>
      <c r="D505" s="30" t="str">
        <f ca="1">IFERROR(__xludf.DUMMYFUNCTION("""COMPUTED_VALUE"""),"6")</f>
        <v>6</v>
      </c>
      <c r="E505" s="30" t="str">
        <f ca="1">IFERROR(__xludf.DUMMYFUNCTION("""COMPUTED_VALUE"""),"")</f>
        <v/>
      </c>
      <c r="F505" s="29"/>
      <c r="G505" s="29"/>
      <c r="H505" s="30" t="str">
        <f ca="1">IFERROR(__xludf.DUMMYFUNCTION("""COMPUTED_VALUE"""),"activo")</f>
        <v>activo</v>
      </c>
      <c r="I505" s="30" t="str">
        <f ca="1">IFERROR(__xludf.DUMMYFUNCTION("""COMPUTED_VALUE"""),"circular 2")</f>
        <v>circular 2</v>
      </c>
      <c r="J505" s="29"/>
      <c r="K505" s="29"/>
      <c r="L505" s="30" t="str">
        <f ca="1">IFERROR(__xludf.DUMMYFUNCTION("""COMPUTED_VALUE"""),"No")</f>
        <v>No</v>
      </c>
      <c r="M505" s="30" t="str">
        <f ca="1">IFERROR(__xludf.DUMMYFUNCTION("""COMPUTED_VALUE"""),"6805010010")</f>
        <v>6805010010</v>
      </c>
      <c r="N505" s="30" t="str">
        <f ca="1">IFERROR(__xludf.DUMMYFUNCTION("""COMPUTED_VALUE"""),"TIGRE")</f>
        <v>TIGRE</v>
      </c>
      <c r="O505" s="30" t="str">
        <f ca="1">IFERROR(__xludf.DUMMYFUNCTION("""COMPUTED_VALUE"""),"6805")</f>
        <v>6805</v>
      </c>
      <c r="P505" s="30" t="str">
        <f ca="1">IFERROR(__xludf.DUMMYFUNCTION("""COMPUTED_VALUE"""),"TIGRE")</f>
        <v>TIGRE</v>
      </c>
      <c r="Q505" s="30" t="str">
        <f ca="1">IFERROR(__xludf.DUMMYFUNCTION("""COMPUTED_VALUE"""),"-34.4303244")</f>
        <v>-34.4303244</v>
      </c>
      <c r="R505" s="30" t="str">
        <f ca="1">IFERROR(__xludf.DUMMYFUNCTION("""COMPUTED_VALUE"""),"-58.5631933")</f>
        <v>-58.5631933</v>
      </c>
      <c r="S505" s="30" t="str">
        <f ca="1">IFERROR(__xludf.DUMMYFUNCTION("""COMPUTED_VALUE"""),"Municipal")</f>
        <v>Municipal</v>
      </c>
      <c r="T505" s="30" t="str">
        <f ca="1">IFERROR(__xludf.DUMMYFUNCTION("""COMPUTED_VALUE"""),"TIGRE")</f>
        <v>TIGRE</v>
      </c>
    </row>
    <row r="506" spans="1:20" ht="15.75" customHeight="1" x14ac:dyDescent="0.25">
      <c r="A506" s="30" t="str">
        <f ca="1">IFERROR(__xludf.DUMMYFUNCTION("""COMPUTED_VALUE"""),"50068052201235")</f>
        <v>50068052201235</v>
      </c>
      <c r="B506" s="30" t="str">
        <f ca="1">IFERROR(__xludf.DUMMYFUNCTION("""COMPUTED_VALUE"""),"CENTRO DE SALUD EL ARCO")</f>
        <v>CENTRO DE SALUD EL ARCO</v>
      </c>
      <c r="C506" s="30" t="str">
        <f ca="1">IFERROR(__xludf.DUMMYFUNCTION("""COMPUTED_VALUE"""),"Buenos Aires")</f>
        <v>Buenos Aires</v>
      </c>
      <c r="D506" s="30" t="str">
        <f ca="1">IFERROR(__xludf.DUMMYFUNCTION("""COMPUTED_VALUE"""),"6")</f>
        <v>6</v>
      </c>
      <c r="E506" s="30" t="str">
        <f ca="1">IFERROR(__xludf.DUMMYFUNCTION("""COMPUTED_VALUE"""),"")</f>
        <v/>
      </c>
      <c r="F506" s="29"/>
      <c r="G506" s="29"/>
      <c r="H506" s="30" t="str">
        <f ca="1">IFERROR(__xludf.DUMMYFUNCTION("""COMPUTED_VALUE"""),"activo")</f>
        <v>activo</v>
      </c>
      <c r="I506" s="30" t="str">
        <f ca="1">IFERROR(__xludf.DUMMYFUNCTION("""COMPUTED_VALUE"""),"circular 2")</f>
        <v>circular 2</v>
      </c>
      <c r="J506" s="29"/>
      <c r="K506" s="29"/>
      <c r="L506" s="30" t="str">
        <f ca="1">IFERROR(__xludf.DUMMYFUNCTION("""COMPUTED_VALUE"""),"No")</f>
        <v>No</v>
      </c>
      <c r="M506" s="30" t="str">
        <f ca="1">IFERROR(__xludf.DUMMYFUNCTION("""COMPUTED_VALUE"""),"6805010001")</f>
        <v>6805010001</v>
      </c>
      <c r="N506" s="30" t="str">
        <f ca="1">IFERROR(__xludf.DUMMYFUNCTION("""COMPUTED_VALUE"""),"BENAVIDEZ")</f>
        <v>BENAVIDEZ</v>
      </c>
      <c r="O506" s="30" t="str">
        <f ca="1">IFERROR(__xludf.DUMMYFUNCTION("""COMPUTED_VALUE"""),"6805")</f>
        <v>6805</v>
      </c>
      <c r="P506" s="30" t="str">
        <f ca="1">IFERROR(__xludf.DUMMYFUNCTION("""COMPUTED_VALUE"""),"TIGRE")</f>
        <v>TIGRE</v>
      </c>
      <c r="Q506" s="30" t="str">
        <f ca="1">IFERROR(__xludf.DUMMYFUNCTION("""COMPUTED_VALUE"""),"-34.4062507")</f>
        <v>-34.4062507</v>
      </c>
      <c r="R506" s="30" t="str">
        <f ca="1">IFERROR(__xludf.DUMMYFUNCTION("""COMPUTED_VALUE"""),"-58.7149574")</f>
        <v>-58.7149574</v>
      </c>
      <c r="S506" s="30" t="str">
        <f ca="1">IFERROR(__xludf.DUMMYFUNCTION("""COMPUTED_VALUE"""),"Municipal")</f>
        <v>Municipal</v>
      </c>
      <c r="T506" s="30" t="str">
        <f ca="1">IFERROR(__xludf.DUMMYFUNCTION("""COMPUTED_VALUE"""),"TIGRE")</f>
        <v>TIGRE</v>
      </c>
    </row>
    <row r="507" spans="1:20" ht="15.75" customHeight="1" x14ac:dyDescent="0.25">
      <c r="A507" s="30" t="str">
        <f ca="1">IFERROR(__xludf.DUMMYFUNCTION("""COMPUTED_VALUE"""),"50068052201366")</f>
        <v>50068052201366</v>
      </c>
      <c r="B507" s="30" t="str">
        <f ca="1">IFERROR(__xludf.DUMMYFUNCTION("""COMPUTED_VALUE"""),"CAPS CARUPA")</f>
        <v>CAPS CARUPA</v>
      </c>
      <c r="C507" s="30" t="str">
        <f ca="1">IFERROR(__xludf.DUMMYFUNCTION("""COMPUTED_VALUE"""),"Buenos Aires")</f>
        <v>Buenos Aires</v>
      </c>
      <c r="D507" s="30" t="str">
        <f ca="1">IFERROR(__xludf.DUMMYFUNCTION("""COMPUTED_VALUE"""),"6")</f>
        <v>6</v>
      </c>
      <c r="E507" s="30" t="str">
        <f ca="1">IFERROR(__xludf.DUMMYFUNCTION("""COMPUTED_VALUE"""),"")</f>
        <v/>
      </c>
      <c r="F507" s="29"/>
      <c r="G507" s="29"/>
      <c r="H507" s="30" t="str">
        <f ca="1">IFERROR(__xludf.DUMMYFUNCTION("""COMPUTED_VALUE"""),"activo")</f>
        <v>activo</v>
      </c>
      <c r="I507" s="30" t="str">
        <f ca="1">IFERROR(__xludf.DUMMYFUNCTION("""COMPUTED_VALUE"""),"circular 2")</f>
        <v>circular 2</v>
      </c>
      <c r="J507" s="29"/>
      <c r="K507" s="29"/>
      <c r="L507" s="30" t="str">
        <f ca="1">IFERROR(__xludf.DUMMYFUNCTION("""COMPUTED_VALUE"""),"No")</f>
        <v>No</v>
      </c>
      <c r="M507" s="30" t="str">
        <f ca="1">IFERROR(__xludf.DUMMYFUNCTION("""COMPUTED_VALUE"""),"6805010010")</f>
        <v>6805010010</v>
      </c>
      <c r="N507" s="30" t="str">
        <f ca="1">IFERROR(__xludf.DUMMYFUNCTION("""COMPUTED_VALUE"""),"TIGRE")</f>
        <v>TIGRE</v>
      </c>
      <c r="O507" s="30" t="str">
        <f ca="1">IFERROR(__xludf.DUMMYFUNCTION("""COMPUTED_VALUE"""),"6805")</f>
        <v>6805</v>
      </c>
      <c r="P507" s="30" t="str">
        <f ca="1">IFERROR(__xludf.DUMMYFUNCTION("""COMPUTED_VALUE"""),"TIGRE")</f>
        <v>TIGRE</v>
      </c>
      <c r="Q507" s="30" t="str">
        <f ca="1">IFERROR(__xludf.DUMMYFUNCTION("""COMPUTED_VALUE"""),"-34.4364347")</f>
        <v>-34.4364347</v>
      </c>
      <c r="R507" s="30" t="str">
        <f ca="1">IFERROR(__xludf.DUMMYFUNCTION("""COMPUTED_VALUE"""),"-58.575188")</f>
        <v>-58.575188</v>
      </c>
      <c r="S507" s="30" t="str">
        <f ca="1">IFERROR(__xludf.DUMMYFUNCTION("""COMPUTED_VALUE"""),"Municipal")</f>
        <v>Municipal</v>
      </c>
      <c r="T507" s="30" t="str">
        <f ca="1">IFERROR(__xludf.DUMMYFUNCTION("""COMPUTED_VALUE"""),"TIGRE")</f>
        <v>TIGRE</v>
      </c>
    </row>
    <row r="508" spans="1:20" ht="15.75" customHeight="1" x14ac:dyDescent="0.25">
      <c r="A508" s="30" t="str">
        <f ca="1">IFERROR(__xludf.DUMMYFUNCTION("""COMPUTED_VALUE"""),"50068052201335")</f>
        <v>50068052201335</v>
      </c>
      <c r="B508" s="30" t="str">
        <f ca="1">IFERROR(__xludf.DUMMYFUNCTION("""COMPUTED_VALUE"""),"CENTRO DE SALUD N° 9 DIQUE LUJAN DE TIGRE")</f>
        <v>CENTRO DE SALUD N° 9 DIQUE LUJAN DE TIGRE</v>
      </c>
      <c r="C508" s="30" t="str">
        <f ca="1">IFERROR(__xludf.DUMMYFUNCTION("""COMPUTED_VALUE"""),"Buenos Aires")</f>
        <v>Buenos Aires</v>
      </c>
      <c r="D508" s="30" t="str">
        <f ca="1">IFERROR(__xludf.DUMMYFUNCTION("""COMPUTED_VALUE"""),"6")</f>
        <v>6</v>
      </c>
      <c r="E508" s="30" t="str">
        <f ca="1">IFERROR(__xludf.DUMMYFUNCTION("""COMPUTED_VALUE"""),"si")</f>
        <v>si</v>
      </c>
      <c r="F508" s="29"/>
      <c r="G508" s="29"/>
      <c r="H508" s="30" t="str">
        <f ca="1">IFERROR(__xludf.DUMMYFUNCTION("""COMPUTED_VALUE"""),"activo")</f>
        <v>activo</v>
      </c>
      <c r="I508" s="30" t="str">
        <f ca="1">IFERROR(__xludf.DUMMYFUNCTION("""COMPUTED_VALUE"""),"circular 2")</f>
        <v>circular 2</v>
      </c>
      <c r="J508" s="29"/>
      <c r="K508" s="29"/>
      <c r="L508" s="30" t="str">
        <f ca="1">IFERROR(__xludf.DUMMYFUNCTION("""COMPUTED_VALUE"""),"No")</f>
        <v>No</v>
      </c>
      <c r="M508" s="30" t="str">
        <f ca="1">IFERROR(__xludf.DUMMYFUNCTION("""COMPUTED_VALUE"""),"6805010001")</f>
        <v>6805010001</v>
      </c>
      <c r="N508" s="30" t="str">
        <f ca="1">IFERROR(__xludf.DUMMYFUNCTION("""COMPUTED_VALUE"""),"BENAVIDEZ")</f>
        <v>BENAVIDEZ</v>
      </c>
      <c r="O508" s="30" t="str">
        <f ca="1">IFERROR(__xludf.DUMMYFUNCTION("""COMPUTED_VALUE"""),"6805")</f>
        <v>6805</v>
      </c>
      <c r="P508" s="30" t="str">
        <f ca="1">IFERROR(__xludf.DUMMYFUNCTION("""COMPUTED_VALUE"""),"TIGRE")</f>
        <v>TIGRE</v>
      </c>
      <c r="Q508" s="30" t="str">
        <f ca="1">IFERROR(__xludf.DUMMYFUNCTION("""COMPUTED_VALUE"""),"-34.35902113")</f>
        <v>-34.35902113</v>
      </c>
      <c r="R508" s="30" t="str">
        <f ca="1">IFERROR(__xludf.DUMMYFUNCTION("""COMPUTED_VALUE"""),"-58.68803144")</f>
        <v>-58.68803144</v>
      </c>
      <c r="S508" s="30" t="str">
        <f ca="1">IFERROR(__xludf.DUMMYFUNCTION("""COMPUTED_VALUE"""),"Municipal")</f>
        <v>Municipal</v>
      </c>
      <c r="T508" s="30" t="str">
        <f ca="1">IFERROR(__xludf.DUMMYFUNCTION("""COMPUTED_VALUE"""),"TIGRE")</f>
        <v>TIGRE</v>
      </c>
    </row>
    <row r="509" spans="1:20" ht="15.75" customHeight="1" x14ac:dyDescent="0.25">
      <c r="A509" s="30" t="str">
        <f ca="1">IFERROR(__xludf.DUMMYFUNCTION("""COMPUTED_VALUE"""),"50068612202001")</f>
        <v>50068612202001</v>
      </c>
      <c r="B509" s="30" t="str">
        <f ca="1">IFERROR(__xludf.DUMMYFUNCTION("""COMPUTED_VALUE"""),"UNIDAD DE ATENCION PRIMARIA DR. LLOBERA")</f>
        <v>UNIDAD DE ATENCION PRIMARIA DR. LLOBERA</v>
      </c>
      <c r="C509" s="30" t="str">
        <f ca="1">IFERROR(__xludf.DUMMYFUNCTION("""COMPUTED_VALUE"""),"Buenos Aires")</f>
        <v>Buenos Aires</v>
      </c>
      <c r="D509" s="30" t="str">
        <f ca="1">IFERROR(__xludf.DUMMYFUNCTION("""COMPUTED_VALUE"""),"6")</f>
        <v>6</v>
      </c>
      <c r="E509" s="30" t="str">
        <f ca="1">IFERROR(__xludf.DUMMYFUNCTION("""COMPUTED_VALUE"""),"")</f>
        <v/>
      </c>
      <c r="F509" s="29"/>
      <c r="G509" s="29"/>
      <c r="H509" s="30" t="str">
        <f ca="1">IFERROR(__xludf.DUMMYFUNCTION("""COMPUTED_VALUE"""),"activo")</f>
        <v>activo</v>
      </c>
      <c r="I509" s="30" t="str">
        <f ca="1">IFERROR(__xludf.DUMMYFUNCTION("""COMPUTED_VALUE"""),"circular 2")</f>
        <v>circular 2</v>
      </c>
      <c r="J509" s="29"/>
      <c r="K509" s="29"/>
      <c r="L509" s="30" t="str">
        <f ca="1">IFERROR(__xludf.DUMMYFUNCTION("""COMPUTED_VALUE"""),"No")</f>
        <v>No</v>
      </c>
      <c r="M509" s="30" t="str">
        <f ca="1">IFERROR(__xludf.DUMMYFUNCTION("""COMPUTED_VALUE"""),"6861010009")</f>
        <v>6861010009</v>
      </c>
      <c r="N509" s="30" t="str">
        <f ca="1">IFERROR(__xludf.DUMMYFUNCTION("""COMPUTED_VALUE"""),"VILLA MARTELLI")</f>
        <v>VILLA MARTELLI</v>
      </c>
      <c r="O509" s="30" t="str">
        <f ca="1">IFERROR(__xludf.DUMMYFUNCTION("""COMPUTED_VALUE"""),"6861")</f>
        <v>6861</v>
      </c>
      <c r="P509" s="30" t="str">
        <f ca="1">IFERROR(__xludf.DUMMYFUNCTION("""COMPUTED_VALUE"""),"VICENTE LÓPEZ")</f>
        <v>VICENTE LÓPEZ</v>
      </c>
      <c r="Q509" s="30" t="str">
        <f ca="1">IFERROR(__xludf.DUMMYFUNCTION("""COMPUTED_VALUE"""),"-34.547042")</f>
        <v>-34.547042</v>
      </c>
      <c r="R509" s="30" t="str">
        <f ca="1">IFERROR(__xludf.DUMMYFUNCTION("""COMPUTED_VALUE"""),"-58.5024263")</f>
        <v>-58.5024263</v>
      </c>
      <c r="S509" s="30" t="str">
        <f ca="1">IFERROR(__xludf.DUMMYFUNCTION("""COMPUTED_VALUE"""),"Municipal")</f>
        <v>Municipal</v>
      </c>
      <c r="T509" s="30" t="str">
        <f ca="1">IFERROR(__xludf.DUMMYFUNCTION("""COMPUTED_VALUE"""),"VICENTE LÓPEZ")</f>
        <v>VICENTE LÓPEZ</v>
      </c>
    </row>
    <row r="510" spans="1:20" ht="15.75" customHeight="1" x14ac:dyDescent="0.25">
      <c r="A510" s="30" t="str">
        <f ca="1">IFERROR(__xludf.DUMMYFUNCTION("""COMPUTED_VALUE"""),"50068612202216")</f>
        <v>50068612202216</v>
      </c>
      <c r="B510" s="30" t="str">
        <f ca="1">IFERROR(__xludf.DUMMYFUNCTION("""COMPUTED_VALUE"""),"UNIDAD SANITARIA DR. ARTURO ILLIA DE OLIVOS")</f>
        <v>UNIDAD SANITARIA DR. ARTURO ILLIA DE OLIVOS</v>
      </c>
      <c r="C510" s="30" t="str">
        <f ca="1">IFERROR(__xludf.DUMMYFUNCTION("""COMPUTED_VALUE"""),"Buenos Aires")</f>
        <v>Buenos Aires</v>
      </c>
      <c r="D510" s="30" t="str">
        <f ca="1">IFERROR(__xludf.DUMMYFUNCTION("""COMPUTED_VALUE"""),"6")</f>
        <v>6</v>
      </c>
      <c r="E510" s="30" t="str">
        <f ca="1">IFERROR(__xludf.DUMMYFUNCTION("""COMPUTED_VALUE"""),"")</f>
        <v/>
      </c>
      <c r="F510" s="29"/>
      <c r="G510" s="29"/>
      <c r="H510" s="30" t="str">
        <f ca="1">IFERROR(__xludf.DUMMYFUNCTION("""COMPUTED_VALUE"""),"activo")</f>
        <v>activo</v>
      </c>
      <c r="I510" s="30" t="str">
        <f ca="1">IFERROR(__xludf.DUMMYFUNCTION("""COMPUTED_VALUE"""),"circular 2")</f>
        <v>circular 2</v>
      </c>
      <c r="J510" s="29"/>
      <c r="K510" s="29"/>
      <c r="L510" s="30" t="str">
        <f ca="1">IFERROR(__xludf.DUMMYFUNCTION("""COMPUTED_VALUE"""),"No")</f>
        <v>No</v>
      </c>
      <c r="M510" s="30" t="str">
        <f ca="1">IFERROR(__xludf.DUMMYFUNCTION("""COMPUTED_VALUE"""),"6861010006")</f>
        <v>6861010006</v>
      </c>
      <c r="N510" s="30" t="str">
        <f ca="1">IFERROR(__xludf.DUMMYFUNCTION("""COMPUTED_VALUE"""),"OLIVOS")</f>
        <v>OLIVOS</v>
      </c>
      <c r="O510" s="30" t="str">
        <f ca="1">IFERROR(__xludf.DUMMYFUNCTION("""COMPUTED_VALUE"""),"6861")</f>
        <v>6861</v>
      </c>
      <c r="P510" s="30" t="str">
        <f ca="1">IFERROR(__xludf.DUMMYFUNCTION("""COMPUTED_VALUE"""),"VICENTE LÓPEZ")</f>
        <v>VICENTE LÓPEZ</v>
      </c>
      <c r="Q510" s="30" t="str">
        <f ca="1">IFERROR(__xludf.DUMMYFUNCTION("""COMPUTED_VALUE"""),"-34.515916")</f>
        <v>-34.515916</v>
      </c>
      <c r="R510" s="30" t="str">
        <f ca="1">IFERROR(__xludf.DUMMYFUNCTION("""COMPUTED_VALUE"""),"-58.5126774")</f>
        <v>-58.5126774</v>
      </c>
      <c r="S510" s="30" t="str">
        <f ca="1">IFERROR(__xludf.DUMMYFUNCTION("""COMPUTED_VALUE"""),"Municipal")</f>
        <v>Municipal</v>
      </c>
      <c r="T510" s="30" t="str">
        <f ca="1">IFERROR(__xludf.DUMMYFUNCTION("""COMPUTED_VALUE"""),"VICENTE LÓPEZ")</f>
        <v>VICENTE LÓPEZ</v>
      </c>
    </row>
    <row r="511" spans="1:20" ht="15.75" customHeight="1" x14ac:dyDescent="0.25">
      <c r="A511" s="30" t="str">
        <f ca="1">IFERROR(__xludf.DUMMYFUNCTION("""COMPUTED_VALUE"""),"50068612202445")</f>
        <v>50068612202445</v>
      </c>
      <c r="B511" s="30" t="str">
        <f ca="1">IFERROR(__xludf.DUMMYFUNCTION("""COMPUTED_VALUE"""),"UNIDAD SANITARIA MARZANO")</f>
        <v>UNIDAD SANITARIA MARZANO</v>
      </c>
      <c r="C511" s="30" t="str">
        <f ca="1">IFERROR(__xludf.DUMMYFUNCTION("""COMPUTED_VALUE"""),"Buenos Aires")</f>
        <v>Buenos Aires</v>
      </c>
      <c r="D511" s="30" t="str">
        <f ca="1">IFERROR(__xludf.DUMMYFUNCTION("""COMPUTED_VALUE"""),"6")</f>
        <v>6</v>
      </c>
      <c r="E511" s="30" t="str">
        <f ca="1">IFERROR(__xludf.DUMMYFUNCTION("""COMPUTED_VALUE"""),"")</f>
        <v/>
      </c>
      <c r="F511" s="29"/>
      <c r="G511" s="29"/>
      <c r="H511" s="30" t="str">
        <f ca="1">IFERROR(__xludf.DUMMYFUNCTION("""COMPUTED_VALUE"""),"activo")</f>
        <v>activo</v>
      </c>
      <c r="I511" s="30" t="str">
        <f ca="1">IFERROR(__xludf.DUMMYFUNCTION("""COMPUTED_VALUE"""),"circular 2")</f>
        <v>circular 2</v>
      </c>
      <c r="J511" s="29"/>
      <c r="K511" s="29"/>
      <c r="L511" s="30" t="str">
        <f ca="1">IFERROR(__xludf.DUMMYFUNCTION("""COMPUTED_VALUE"""),"No")</f>
        <v>No</v>
      </c>
      <c r="M511" s="30" t="str">
        <f ca="1">IFERROR(__xludf.DUMMYFUNCTION("""COMPUTED_VALUE"""),"6861010005")</f>
        <v>6861010005</v>
      </c>
      <c r="N511" s="30" t="str">
        <f ca="1">IFERROR(__xludf.DUMMYFUNCTION("""COMPUTED_VALUE"""),"MUNRO")</f>
        <v>MUNRO</v>
      </c>
      <c r="O511" s="30" t="str">
        <f ca="1">IFERROR(__xludf.DUMMYFUNCTION("""COMPUTED_VALUE"""),"6861")</f>
        <v>6861</v>
      </c>
      <c r="P511" s="30" t="str">
        <f ca="1">IFERROR(__xludf.DUMMYFUNCTION("""COMPUTED_VALUE"""),"VICENTE LÓPEZ")</f>
        <v>VICENTE LÓPEZ</v>
      </c>
      <c r="Q511" s="30" t="str">
        <f ca="1">IFERROR(__xludf.DUMMYFUNCTION("""COMPUTED_VALUE"""),"-34.527516")</f>
        <v>-34.527516</v>
      </c>
      <c r="R511" s="30" t="str">
        <f ca="1">IFERROR(__xludf.DUMMYFUNCTION("""COMPUTED_VALUE"""),"-58.5115869")</f>
        <v>-58.5115869</v>
      </c>
      <c r="S511" s="30" t="str">
        <f ca="1">IFERROR(__xludf.DUMMYFUNCTION("""COMPUTED_VALUE"""),"Municipal")</f>
        <v>Municipal</v>
      </c>
      <c r="T511" s="30" t="str">
        <f ca="1">IFERROR(__xludf.DUMMYFUNCTION("""COMPUTED_VALUE"""),"VICENTE LÓPEZ")</f>
        <v>VICENTE LÓPEZ</v>
      </c>
    </row>
    <row r="512" spans="1:20" ht="15.75" customHeight="1" x14ac:dyDescent="0.25">
      <c r="A512" s="30" t="str">
        <f ca="1">IFERROR(__xludf.DUMMYFUNCTION("""COMPUTED_VALUE"""),"50067602202115")</f>
        <v>50067602202115</v>
      </c>
      <c r="B512" s="30" t="str">
        <f ca="1">IFERROR(__xludf.DUMMYFUNCTION("""COMPUTED_VALUE"""),"UNIDAD SANITARIA BARRIO OBLIGADO")</f>
        <v>UNIDAD SANITARIA BARRIO OBLIGADO</v>
      </c>
      <c r="C512" s="30" t="str">
        <f ca="1">IFERROR(__xludf.DUMMYFUNCTION("""COMPUTED_VALUE"""),"Buenos Aires")</f>
        <v>Buenos Aires</v>
      </c>
      <c r="D512" s="30" t="str">
        <f ca="1">IFERROR(__xludf.DUMMYFUNCTION("""COMPUTED_VALUE"""),"6")</f>
        <v>6</v>
      </c>
      <c r="E512" s="30" t="str">
        <f ca="1">IFERROR(__xludf.DUMMYFUNCTION("""COMPUTED_VALUE"""),"si")</f>
        <v>si</v>
      </c>
      <c r="F512" s="29"/>
      <c r="G512" s="29"/>
      <c r="H512" s="30" t="str">
        <f ca="1">IFERROR(__xludf.DUMMYFUNCTION("""COMPUTED_VALUE"""),"activo")</f>
        <v>activo</v>
      </c>
      <c r="I512" s="30" t="str">
        <f ca="1">IFERROR(__xludf.DUMMYFUNCTION("""COMPUTED_VALUE"""),"circular 2")</f>
        <v>circular 2</v>
      </c>
      <c r="J512" s="29"/>
      <c r="K512" s="29"/>
      <c r="L512" s="30" t="str">
        <f ca="1">IFERROR(__xludf.DUMMYFUNCTION("""COMPUTED_VALUE"""),"No")</f>
        <v>No</v>
      </c>
      <c r="M512" s="30" t="str">
        <f ca="1">IFERROR(__xludf.DUMMYFUNCTION("""COMPUTED_VALUE"""),"6760010001")</f>
        <v>6760010001</v>
      </c>
      <c r="N512" s="30" t="str">
        <f ca="1">IFERROR(__xludf.DUMMYFUNCTION("""COMPUTED_VALUE"""),"BELLA VISTA")</f>
        <v>BELLA VISTA</v>
      </c>
      <c r="O512" s="30" t="str">
        <f ca="1">IFERROR(__xludf.DUMMYFUNCTION("""COMPUTED_VALUE"""),"6760")</f>
        <v>6760</v>
      </c>
      <c r="P512" s="30" t="str">
        <f ca="1">IFERROR(__xludf.DUMMYFUNCTION("""COMPUTED_VALUE"""),"SAN MIGUEL")</f>
        <v>SAN MIGUEL</v>
      </c>
      <c r="Q512" s="30" t="str">
        <f ca="1">IFERROR(__xludf.DUMMYFUNCTION("""COMPUTED_VALUE"""),"-34.581226")</f>
        <v>-34.581226</v>
      </c>
      <c r="R512" s="30" t="str">
        <f ca="1">IFERROR(__xludf.DUMMYFUNCTION("""COMPUTED_VALUE"""),"-58.688325")</f>
        <v>-58.688325</v>
      </c>
      <c r="S512" s="30" t="str">
        <f ca="1">IFERROR(__xludf.DUMMYFUNCTION("""COMPUTED_VALUE"""),"Municipal")</f>
        <v>Municipal</v>
      </c>
      <c r="T512" s="30" t="str">
        <f ca="1">IFERROR(__xludf.DUMMYFUNCTION("""COMPUTED_VALUE"""),"SAN MIGUEL")</f>
        <v>SAN MIGUEL</v>
      </c>
    </row>
    <row r="513" spans="1:20" ht="15.75" customHeight="1" x14ac:dyDescent="0.25">
      <c r="A513" s="30" t="str">
        <f ca="1">IFERROR(__xludf.DUMMYFUNCTION("""COMPUTED_VALUE"""),"50067602202255")</f>
        <v>50067602202255</v>
      </c>
      <c r="B513" s="30" t="str">
        <f ca="1">IFERROR(__xludf.DUMMYFUNCTION("""COMPUTED_VALUE"""),"UNIDAD SANITARIA DRA. MARTA ANTONIAZZI (EX-US VIRGEN DE LUJAN)")</f>
        <v>UNIDAD SANITARIA DRA. MARTA ANTONIAZZI (EX-US VIRGEN DE LUJAN)</v>
      </c>
      <c r="C513" s="30" t="str">
        <f ca="1">IFERROR(__xludf.DUMMYFUNCTION("""COMPUTED_VALUE"""),"Buenos Aires")</f>
        <v>Buenos Aires</v>
      </c>
      <c r="D513" s="30" t="str">
        <f ca="1">IFERROR(__xludf.DUMMYFUNCTION("""COMPUTED_VALUE"""),"6")</f>
        <v>6</v>
      </c>
      <c r="E513" s="30" t="str">
        <f ca="1">IFERROR(__xludf.DUMMYFUNCTION("""COMPUTED_VALUE"""),"si")</f>
        <v>si</v>
      </c>
      <c r="F513" s="29"/>
      <c r="G513" s="29"/>
      <c r="H513" s="30" t="str">
        <f ca="1">IFERROR(__xludf.DUMMYFUNCTION("""COMPUTED_VALUE"""),"activo")</f>
        <v>activo</v>
      </c>
      <c r="I513" s="30" t="str">
        <f ca="1">IFERROR(__xludf.DUMMYFUNCTION("""COMPUTED_VALUE"""),"circular 2")</f>
        <v>circular 2</v>
      </c>
      <c r="J513" s="29"/>
      <c r="K513" s="29"/>
      <c r="L513" s="30" t="str">
        <f ca="1">IFERROR(__xludf.DUMMYFUNCTION("""COMPUTED_VALUE"""),"No")</f>
        <v>No</v>
      </c>
      <c r="M513" s="30" t="str">
        <f ca="1">IFERROR(__xludf.DUMMYFUNCTION("""COMPUTED_VALUE"""),"6760010004")</f>
        <v>6760010004</v>
      </c>
      <c r="N513" s="30" t="str">
        <f ca="1">IFERROR(__xludf.DUMMYFUNCTION("""COMPUTED_VALUE"""),"SAN MIGUEL")</f>
        <v>SAN MIGUEL</v>
      </c>
      <c r="O513" s="30" t="str">
        <f ca="1">IFERROR(__xludf.DUMMYFUNCTION("""COMPUTED_VALUE"""),"6760")</f>
        <v>6760</v>
      </c>
      <c r="P513" s="30" t="str">
        <f ca="1">IFERROR(__xludf.DUMMYFUNCTION("""COMPUTED_VALUE"""),"SAN MIGUEL")</f>
        <v>SAN MIGUEL</v>
      </c>
      <c r="Q513" s="30" t="str">
        <f ca="1">IFERROR(__xludf.DUMMYFUNCTION("""COMPUTED_VALUE"""),"-34.561447")</f>
        <v>-34.561447</v>
      </c>
      <c r="R513" s="30" t="str">
        <f ca="1">IFERROR(__xludf.DUMMYFUNCTION("""COMPUTED_VALUE"""),"-58.747473")</f>
        <v>-58.747473</v>
      </c>
      <c r="S513" s="30" t="str">
        <f ca="1">IFERROR(__xludf.DUMMYFUNCTION("""COMPUTED_VALUE"""),"Municipal")</f>
        <v>Municipal</v>
      </c>
      <c r="T513" s="30" t="str">
        <f ca="1">IFERROR(__xludf.DUMMYFUNCTION("""COMPUTED_VALUE"""),"SAN MIGUEL")</f>
        <v>SAN MIGUEL</v>
      </c>
    </row>
    <row r="514" spans="1:20" ht="15.75" customHeight="1" x14ac:dyDescent="0.25">
      <c r="A514" s="30" t="str">
        <f ca="1">IFERROR(__xludf.DUMMYFUNCTION("""COMPUTED_VALUE"""),"50067602202149")</f>
        <v>50067602202149</v>
      </c>
      <c r="B514" s="30" t="str">
        <f ca="1">IFERROR(__xludf.DUMMYFUNCTION("""COMPUTED_VALUE"""),"UNIDAD SANITARIA BELLA VISTA NORTE")</f>
        <v>UNIDAD SANITARIA BELLA VISTA NORTE</v>
      </c>
      <c r="C514" s="30" t="str">
        <f ca="1">IFERROR(__xludf.DUMMYFUNCTION("""COMPUTED_VALUE"""),"Buenos Aires")</f>
        <v>Buenos Aires</v>
      </c>
      <c r="D514" s="30" t="str">
        <f ca="1">IFERROR(__xludf.DUMMYFUNCTION("""COMPUTED_VALUE"""),"6")</f>
        <v>6</v>
      </c>
      <c r="E514" s="30" t="str">
        <f ca="1">IFERROR(__xludf.DUMMYFUNCTION("""COMPUTED_VALUE"""),"si")</f>
        <v>si</v>
      </c>
      <c r="F514" s="29"/>
      <c r="G514" s="29"/>
      <c r="H514" s="30" t="str">
        <f ca="1">IFERROR(__xludf.DUMMYFUNCTION("""COMPUTED_VALUE"""),"activo")</f>
        <v>activo</v>
      </c>
      <c r="I514" s="30" t="str">
        <f ca="1">IFERROR(__xludf.DUMMYFUNCTION("""COMPUTED_VALUE"""),"circular 2")</f>
        <v>circular 2</v>
      </c>
      <c r="J514" s="29"/>
      <c r="K514" s="29"/>
      <c r="L514" s="30" t="str">
        <f ca="1">IFERROR(__xludf.DUMMYFUNCTION("""COMPUTED_VALUE"""),"No")</f>
        <v>No</v>
      </c>
      <c r="M514" s="30" t="str">
        <f ca="1">IFERROR(__xludf.DUMMYFUNCTION("""COMPUTED_VALUE"""),"6760010001")</f>
        <v>6760010001</v>
      </c>
      <c r="N514" s="30" t="str">
        <f ca="1">IFERROR(__xludf.DUMMYFUNCTION("""COMPUTED_VALUE"""),"BELLA VISTA")</f>
        <v>BELLA VISTA</v>
      </c>
      <c r="O514" s="30" t="str">
        <f ca="1">IFERROR(__xludf.DUMMYFUNCTION("""COMPUTED_VALUE"""),"6760")</f>
        <v>6760</v>
      </c>
      <c r="P514" s="30" t="str">
        <f ca="1">IFERROR(__xludf.DUMMYFUNCTION("""COMPUTED_VALUE"""),"SAN MIGUEL")</f>
        <v>SAN MIGUEL</v>
      </c>
      <c r="Q514" s="30" t="str">
        <f ca="1">IFERROR(__xludf.DUMMYFUNCTION("""COMPUTED_VALUE"""),"-34.555252")</f>
        <v>-34.555252</v>
      </c>
      <c r="R514" s="30" t="str">
        <f ca="1">IFERROR(__xludf.DUMMYFUNCTION("""COMPUTED_VALUE"""),"-58.684055")</f>
        <v>-58.684055</v>
      </c>
      <c r="S514" s="30" t="str">
        <f ca="1">IFERROR(__xludf.DUMMYFUNCTION("""COMPUTED_VALUE"""),"Municipal")</f>
        <v>Municipal</v>
      </c>
      <c r="T514" s="30" t="str">
        <f ca="1">IFERROR(__xludf.DUMMYFUNCTION("""COMPUTED_VALUE"""),"SAN MIGUEL")</f>
        <v>SAN MIGUEL</v>
      </c>
    </row>
    <row r="515" spans="1:20" ht="15.75" customHeight="1" x14ac:dyDescent="0.25">
      <c r="A515" s="30" t="str">
        <f ca="1">IFERROR(__xludf.DUMMYFUNCTION("""COMPUTED_VALUE"""),"50067602202107")</f>
        <v>50067602202107</v>
      </c>
      <c r="B515" s="30" t="str">
        <f ca="1">IFERROR(__xludf.DUMMYFUNCTION("""COMPUTED_VALUE"""),"UNIDAD SANITARIA BARRIO MITRE DE SAN MIGUEL")</f>
        <v>UNIDAD SANITARIA BARRIO MITRE DE SAN MIGUEL</v>
      </c>
      <c r="C515" s="30" t="str">
        <f ca="1">IFERROR(__xludf.DUMMYFUNCTION("""COMPUTED_VALUE"""),"Buenos Aires")</f>
        <v>Buenos Aires</v>
      </c>
      <c r="D515" s="30" t="str">
        <f ca="1">IFERROR(__xludf.DUMMYFUNCTION("""COMPUTED_VALUE"""),"6")</f>
        <v>6</v>
      </c>
      <c r="E515" s="30" t="str">
        <f ca="1">IFERROR(__xludf.DUMMYFUNCTION("""COMPUTED_VALUE"""),"si")</f>
        <v>si</v>
      </c>
      <c r="F515" s="29"/>
      <c r="G515" s="29"/>
      <c r="H515" s="30" t="str">
        <f ca="1">IFERROR(__xludf.DUMMYFUNCTION("""COMPUTED_VALUE"""),"activo")</f>
        <v>activo</v>
      </c>
      <c r="I515" s="30" t="str">
        <f ca="1">IFERROR(__xludf.DUMMYFUNCTION("""COMPUTED_VALUE"""),"circular 2")</f>
        <v>circular 2</v>
      </c>
      <c r="J515" s="29"/>
      <c r="K515" s="29"/>
      <c r="L515" s="30" t="str">
        <f ca="1">IFERROR(__xludf.DUMMYFUNCTION("""COMPUTED_VALUE"""),"No")</f>
        <v>No</v>
      </c>
      <c r="M515" s="30" t="str">
        <f ca="1">IFERROR(__xludf.DUMMYFUNCTION("""COMPUTED_VALUE"""),"6760010004")</f>
        <v>6760010004</v>
      </c>
      <c r="N515" s="30" t="str">
        <f ca="1">IFERROR(__xludf.DUMMYFUNCTION("""COMPUTED_VALUE"""),"SAN MIGUEL")</f>
        <v>SAN MIGUEL</v>
      </c>
      <c r="O515" s="30" t="str">
        <f ca="1">IFERROR(__xludf.DUMMYFUNCTION("""COMPUTED_VALUE"""),"6760")</f>
        <v>6760</v>
      </c>
      <c r="P515" s="30" t="str">
        <f ca="1">IFERROR(__xludf.DUMMYFUNCTION("""COMPUTED_VALUE"""),"SAN MIGUEL")</f>
        <v>SAN MIGUEL</v>
      </c>
      <c r="Q515" s="30" t="str">
        <f ca="1">IFERROR(__xludf.DUMMYFUNCTION("""COMPUTED_VALUE"""),"-34.5704685")</f>
        <v>-34.5704685</v>
      </c>
      <c r="R515" s="30" t="str">
        <f ca="1">IFERROR(__xludf.DUMMYFUNCTION("""COMPUTED_VALUE"""),"-58.7372471")</f>
        <v>-58.7372471</v>
      </c>
      <c r="S515" s="30" t="str">
        <f ca="1">IFERROR(__xludf.DUMMYFUNCTION("""COMPUTED_VALUE"""),"Municipal")</f>
        <v>Municipal</v>
      </c>
      <c r="T515" s="30" t="str">
        <f ca="1">IFERROR(__xludf.DUMMYFUNCTION("""COMPUTED_VALUE"""),"SAN MIGUEL")</f>
        <v>SAN MIGUEL</v>
      </c>
    </row>
    <row r="516" spans="1:20" ht="15.75" customHeight="1" x14ac:dyDescent="0.25">
      <c r="A516" s="30" t="str">
        <f ca="1">IFERROR(__xludf.DUMMYFUNCTION("""COMPUTED_VALUE"""),"50067492201217")</f>
        <v>50067492201217</v>
      </c>
      <c r="B516" s="30" t="str">
        <f ca="1">IFERROR(__xludf.DUMMYFUNCTION("""COMPUTED_VALUE"""),"CENTRO DE SALUD CRISOL")</f>
        <v>CENTRO DE SALUD CRISOL</v>
      </c>
      <c r="C516" s="30" t="str">
        <f ca="1">IFERROR(__xludf.DUMMYFUNCTION("""COMPUTED_VALUE"""),"Buenos Aires")</f>
        <v>Buenos Aires</v>
      </c>
      <c r="D516" s="30" t="str">
        <f ca="1">IFERROR(__xludf.DUMMYFUNCTION("""COMPUTED_VALUE"""),"6")</f>
        <v>6</v>
      </c>
      <c r="E516" s="30" t="str">
        <f ca="1">IFERROR(__xludf.DUMMYFUNCTION("""COMPUTED_VALUE"""),"")</f>
        <v/>
      </c>
      <c r="F516" s="29"/>
      <c r="G516" s="29"/>
      <c r="H516" s="30" t="str">
        <f ca="1">IFERROR(__xludf.DUMMYFUNCTION("""COMPUTED_VALUE"""),"activo")</f>
        <v>activo</v>
      </c>
      <c r="I516" s="30" t="str">
        <f ca="1">IFERROR(__xludf.DUMMYFUNCTION("""COMPUTED_VALUE"""),"circular 2")</f>
        <v>circular 2</v>
      </c>
      <c r="J516" s="29"/>
      <c r="K516" s="29"/>
      <c r="L516" s="30" t="str">
        <f ca="1">IFERROR(__xludf.DUMMYFUNCTION("""COMPUTED_VALUE"""),"No")</f>
        <v>No</v>
      </c>
      <c r="M516" s="30" t="str">
        <f ca="1">IFERROR(__xludf.DUMMYFUNCTION("""COMPUTED_VALUE"""),"6749010002")</f>
        <v>6749010002</v>
      </c>
      <c r="N516" s="30" t="str">
        <f ca="1">IFERROR(__xludf.DUMMYFUNCTION("""COMPUTED_VALUE"""),"VICTORIA")</f>
        <v>VICTORIA</v>
      </c>
      <c r="O516" s="30" t="str">
        <f ca="1">IFERROR(__xludf.DUMMYFUNCTION("""COMPUTED_VALUE"""),"6749")</f>
        <v>6749</v>
      </c>
      <c r="P516" s="30" t="str">
        <f ca="1">IFERROR(__xludf.DUMMYFUNCTION("""COMPUTED_VALUE"""),"SAN FERNANDO")</f>
        <v>SAN FERNANDO</v>
      </c>
      <c r="Q516" s="30" t="str">
        <f ca="1">IFERROR(__xludf.DUMMYFUNCTION("""COMPUTED_VALUE"""),"-34.4620064")</f>
        <v>-34.4620064</v>
      </c>
      <c r="R516" s="30" t="str">
        <f ca="1">IFERROR(__xludf.DUMMYFUNCTION("""COMPUTED_VALUE"""),"-58.5509297")</f>
        <v>-58.5509297</v>
      </c>
      <c r="S516" s="30" t="str">
        <f ca="1">IFERROR(__xludf.DUMMYFUNCTION("""COMPUTED_VALUE"""),"Municipal")</f>
        <v>Municipal</v>
      </c>
      <c r="T516" s="30" t="str">
        <f ca="1">IFERROR(__xludf.DUMMYFUNCTION("""COMPUTED_VALUE"""),"SAN FERNANDO")</f>
        <v>SAN FERNANDO</v>
      </c>
    </row>
    <row r="517" spans="1:20" ht="15.75" customHeight="1" x14ac:dyDescent="0.25">
      <c r="A517" s="30" t="str">
        <f ca="1">IFERROR(__xludf.DUMMYFUNCTION("""COMPUTED_VALUE"""),"50067492217609")</f>
        <v>50067492217609</v>
      </c>
      <c r="B517" s="30" t="str">
        <f ca="1">IFERROR(__xludf.DUMMYFUNCTION("""COMPUTED_VALUE"""),"UNIDAD DE DIAGNOSTICO PRECOZ N° 27")</f>
        <v>UNIDAD DE DIAGNOSTICO PRECOZ N° 27</v>
      </c>
      <c r="C517" s="30" t="str">
        <f ca="1">IFERROR(__xludf.DUMMYFUNCTION("""COMPUTED_VALUE"""),"Buenos Aires")</f>
        <v>Buenos Aires</v>
      </c>
      <c r="D517" s="30" t="str">
        <f ca="1">IFERROR(__xludf.DUMMYFUNCTION("""COMPUTED_VALUE"""),"6")</f>
        <v>6</v>
      </c>
      <c r="E517" s="30" t="str">
        <f ca="1">IFERROR(__xludf.DUMMYFUNCTION("""COMPUTED_VALUE"""),"")</f>
        <v/>
      </c>
      <c r="F517" s="29"/>
      <c r="G517" s="29"/>
      <c r="H517" s="30" t="str">
        <f ca="1">IFERROR(__xludf.DUMMYFUNCTION("""COMPUTED_VALUE"""),"activo")</f>
        <v>activo</v>
      </c>
      <c r="I517" s="30" t="str">
        <f ca="1">IFERROR(__xludf.DUMMYFUNCTION("""COMPUTED_VALUE"""),"circular 2")</f>
        <v>circular 2</v>
      </c>
      <c r="J517" s="29"/>
      <c r="K517" s="29"/>
      <c r="L517" s="30" t="str">
        <f ca="1">IFERROR(__xludf.DUMMYFUNCTION("""COMPUTED_VALUE"""),"No")</f>
        <v>No</v>
      </c>
      <c r="M517" s="30" t="str">
        <f ca="1">IFERROR(__xludf.DUMMYFUNCTION("""COMPUTED_VALUE"""),"6749010001")</f>
        <v>6749010001</v>
      </c>
      <c r="N517" s="30" t="str">
        <f ca="1">IFERROR(__xludf.DUMMYFUNCTION("""COMPUTED_VALUE"""),"SAN FERNANDO")</f>
        <v>SAN FERNANDO</v>
      </c>
      <c r="O517" s="30" t="str">
        <f ca="1">IFERROR(__xludf.DUMMYFUNCTION("""COMPUTED_VALUE"""),"6749")</f>
        <v>6749</v>
      </c>
      <c r="P517" s="30" t="str">
        <f ca="1">IFERROR(__xludf.DUMMYFUNCTION("""COMPUTED_VALUE"""),"SAN FERNANDO")</f>
        <v>SAN FERNANDO</v>
      </c>
      <c r="Q517" s="30" t="str">
        <f ca="1">IFERROR(__xludf.DUMMYFUNCTION("""COMPUTED_VALUE"""),"-34.4464952")</f>
        <v>-34.4464952</v>
      </c>
      <c r="R517" s="30" t="str">
        <f ca="1">IFERROR(__xludf.DUMMYFUNCTION("""COMPUTED_VALUE"""),"-58.5669892")</f>
        <v>-58.5669892</v>
      </c>
      <c r="S517" s="30" t="str">
        <f ca="1">IFERROR(__xludf.DUMMYFUNCTION("""COMPUTED_VALUE"""),"Municipal")</f>
        <v>Municipal</v>
      </c>
      <c r="T517" s="30" t="str">
        <f ca="1">IFERROR(__xludf.DUMMYFUNCTION("""COMPUTED_VALUE"""),"SAN FERNANDO")</f>
        <v>SAN FERNANDO</v>
      </c>
    </row>
    <row r="518" spans="1:20" ht="15.75" customHeight="1" x14ac:dyDescent="0.25">
      <c r="A518" s="30" t="str">
        <f ca="1">IFERROR(__xludf.DUMMYFUNCTION("""COMPUTED_VALUE"""),"50067562201472")</f>
        <v>50067562201472</v>
      </c>
      <c r="B518" s="30" t="str">
        <f ca="1">IFERROR(__xludf.DUMMYFUNCTION("""COMPUTED_VALUE"""),"CAPS MARTINEZ")</f>
        <v>CAPS MARTINEZ</v>
      </c>
      <c r="C518" s="30" t="str">
        <f ca="1">IFERROR(__xludf.DUMMYFUNCTION("""COMPUTED_VALUE"""),"Buenos Aires")</f>
        <v>Buenos Aires</v>
      </c>
      <c r="D518" s="30" t="str">
        <f ca="1">IFERROR(__xludf.DUMMYFUNCTION("""COMPUTED_VALUE"""),"6")</f>
        <v>6</v>
      </c>
      <c r="E518" s="30" t="str">
        <f ca="1">IFERROR(__xludf.DUMMYFUNCTION("""COMPUTED_VALUE"""),"")</f>
        <v/>
      </c>
      <c r="F518" s="29"/>
      <c r="G518" s="29"/>
      <c r="H518" s="30" t="str">
        <f ca="1">IFERROR(__xludf.DUMMYFUNCTION("""COMPUTED_VALUE"""),"activo")</f>
        <v>activo</v>
      </c>
      <c r="I518" s="30" t="str">
        <f ca="1">IFERROR(__xludf.DUMMYFUNCTION("""COMPUTED_VALUE"""),"circular 2")</f>
        <v>circular 2</v>
      </c>
      <c r="J518" s="29"/>
      <c r="K518" s="29"/>
      <c r="L518" s="30" t="str">
        <f ca="1">IFERROR(__xludf.DUMMYFUNCTION("""COMPUTED_VALUE"""),"No")</f>
        <v>No</v>
      </c>
      <c r="M518" s="30" t="str">
        <f ca="1">IFERROR(__xludf.DUMMYFUNCTION("""COMPUTED_VALUE"""),"6756030")</f>
        <v>6756030</v>
      </c>
      <c r="N518" s="30" t="str">
        <f ca="1">IFERROR(__xludf.DUMMYFUNCTION("""COMPUTED_VALUE"""),"MARTÍNEZ")</f>
        <v>MARTÍNEZ</v>
      </c>
      <c r="O518" s="30" t="str">
        <f ca="1">IFERROR(__xludf.DUMMYFUNCTION("""COMPUTED_VALUE"""),"6756")</f>
        <v>6756</v>
      </c>
      <c r="P518" s="30" t="str">
        <f ca="1">IFERROR(__xludf.DUMMYFUNCTION("""COMPUTED_VALUE"""),"SAN ISIDRO")</f>
        <v>SAN ISIDRO</v>
      </c>
      <c r="Q518" s="30" t="str">
        <f ca="1">IFERROR(__xludf.DUMMYFUNCTION("""COMPUTED_VALUE"""),"-34.4966538")</f>
        <v>-34.4966538</v>
      </c>
      <c r="R518" s="30" t="str">
        <f ca="1">IFERROR(__xludf.DUMMYFUNCTION("""COMPUTED_VALUE"""),"-58.5264384")</f>
        <v>-58.5264384</v>
      </c>
      <c r="S518" s="30" t="str">
        <f ca="1">IFERROR(__xludf.DUMMYFUNCTION("""COMPUTED_VALUE"""),"Municipal")</f>
        <v>Municipal</v>
      </c>
      <c r="T518" s="30" t="str">
        <f ca="1">IFERROR(__xludf.DUMMYFUNCTION("""COMPUTED_VALUE"""),"SAN ISIDRO")</f>
        <v>SAN ISIDRO</v>
      </c>
    </row>
    <row r="519" spans="1:20" ht="15.75" customHeight="1" x14ac:dyDescent="0.25">
      <c r="A519" s="30" t="str">
        <f ca="1">IFERROR(__xludf.DUMMYFUNCTION("""COMPUTED_VALUE"""),"53065152203125")</f>
        <v>53065152203125</v>
      </c>
      <c r="B519" s="30" t="str">
        <f ca="1">IFERROR(__xludf.DUMMYFUNCTION("""COMPUTED_VALUE"""),"HOSPITAL MOVIL AMBULANTE 110 DE MALVINAS ARGENTINAS")</f>
        <v>HOSPITAL MOVIL AMBULANTE 110 DE MALVINAS ARGENTINAS</v>
      </c>
      <c r="C519" s="30" t="str">
        <f ca="1">IFERROR(__xludf.DUMMYFUNCTION("""COMPUTED_VALUE"""),"Buenos Aires")</f>
        <v>Buenos Aires</v>
      </c>
      <c r="D519" s="30" t="str">
        <f ca="1">IFERROR(__xludf.DUMMYFUNCTION("""COMPUTED_VALUE"""),"6")</f>
        <v>6</v>
      </c>
      <c r="E519" s="30" t="str">
        <f ca="1">IFERROR(__xludf.DUMMYFUNCTION("""COMPUTED_VALUE"""),"")</f>
        <v/>
      </c>
      <c r="F519" s="29"/>
      <c r="G519" s="29"/>
      <c r="H519" s="30" t="str">
        <f ca="1">IFERROR(__xludf.DUMMYFUNCTION("""COMPUTED_VALUE"""),"inactivo")</f>
        <v>inactivo</v>
      </c>
      <c r="I519" s="30" t="str">
        <f ca="1">IFERROR(__xludf.DUMMYFUNCTION("""COMPUTED_VALUE"""),"circular 2")</f>
        <v>circular 2</v>
      </c>
      <c r="J519" s="29"/>
      <c r="K519" s="29"/>
      <c r="L519" s="30" t="str">
        <f ca="1">IFERROR(__xludf.DUMMYFUNCTION("""COMPUTED_VALUE"""),"No")</f>
        <v>No</v>
      </c>
      <c r="M519" s="30" t="str">
        <f ca="1">IFERROR(__xludf.DUMMYFUNCTION("""COMPUTED_VALUE"""),"6515010007")</f>
        <v>6515010007</v>
      </c>
      <c r="N519" s="30" t="str">
        <f ca="1">IFERROR(__xludf.DUMMYFUNCTION("""COMPUTED_VALUE"""),"TORTUGUITAS")</f>
        <v>TORTUGUITAS</v>
      </c>
      <c r="O519" s="30" t="str">
        <f ca="1">IFERROR(__xludf.DUMMYFUNCTION("""COMPUTED_VALUE"""),"6515")</f>
        <v>6515</v>
      </c>
      <c r="P519" s="30" t="str">
        <f ca="1">IFERROR(__xludf.DUMMYFUNCTION("""COMPUTED_VALUE"""),"MALVINAS ARGENTINAS")</f>
        <v>MALVINAS ARGENTINAS</v>
      </c>
      <c r="Q519" s="30" t="str">
        <f ca="1">IFERROR(__xludf.DUMMYFUNCTION("""COMPUTED_VALUE"""),"-34.48437901")</f>
        <v>-34.48437901</v>
      </c>
      <c r="R519" s="30" t="str">
        <f ca="1">IFERROR(__xludf.DUMMYFUNCTION("""COMPUTED_VALUE"""),"-58.75101829")</f>
        <v>-58.75101829</v>
      </c>
      <c r="S519" s="30" t="str">
        <f ca="1">IFERROR(__xludf.DUMMYFUNCTION("""COMPUTED_VALUE"""),"Municipal")</f>
        <v>Municipal</v>
      </c>
      <c r="T519" s="30" t="str">
        <f ca="1">IFERROR(__xludf.DUMMYFUNCTION("""COMPUTED_VALUE"""),"MALVINAS ARGENTINAS")</f>
        <v>MALVINAS ARGENTINAS</v>
      </c>
    </row>
    <row r="520" spans="1:20" ht="15.75" customHeight="1" x14ac:dyDescent="0.25">
      <c r="A520" s="30" t="str">
        <f ca="1">IFERROR(__xludf.DUMMYFUNCTION("""COMPUTED_VALUE"""),"50060282201663")</f>
        <v>50060282201663</v>
      </c>
      <c r="B520" s="30" t="str">
        <f ca="1">IFERROR(__xludf.DUMMYFUNCTION("""COMPUTED_VALUE"""),"CAPS Nº 21 PRESIDENTE PERON")</f>
        <v>CAPS Nº 21 PRESIDENTE PERON</v>
      </c>
      <c r="C520" s="30" t="str">
        <f ca="1">IFERROR(__xludf.DUMMYFUNCTION("""COMPUTED_VALUE"""),"Buenos Aires")</f>
        <v>Buenos Aires</v>
      </c>
      <c r="D520" s="30" t="str">
        <f ca="1">IFERROR(__xludf.DUMMYFUNCTION("""COMPUTED_VALUE"""),"6")</f>
        <v>6</v>
      </c>
      <c r="E520" s="30" t="str">
        <f ca="1">IFERROR(__xludf.DUMMYFUNCTION("""COMPUTED_VALUE"""),"")</f>
        <v/>
      </c>
      <c r="F520" s="29"/>
      <c r="G520" s="29"/>
      <c r="H520" s="30" t="str">
        <f ca="1">IFERROR(__xludf.DUMMYFUNCTION("""COMPUTED_VALUE"""),"activo")</f>
        <v>activo</v>
      </c>
      <c r="I520" s="30" t="str">
        <f ca="1">IFERROR(__xludf.DUMMYFUNCTION("""COMPUTED_VALUE"""),"circular 2")</f>
        <v>circular 2</v>
      </c>
      <c r="J520" s="29"/>
      <c r="K520" s="29"/>
      <c r="L520" s="30" t="str">
        <f ca="1">IFERROR(__xludf.DUMMYFUNCTION("""COMPUTED_VALUE"""),"No")</f>
        <v>No</v>
      </c>
      <c r="M520" s="30" t="str">
        <f ca="1">IFERROR(__xludf.DUMMYFUNCTION("""COMPUTED_VALUE"""),"6028010003")</f>
        <v>6028010003</v>
      </c>
      <c r="N520" s="30" t="str">
        <f ca="1">IFERROR(__xludf.DUMMYFUNCTION("""COMPUTED_VALUE"""),"CLAYPOLE")</f>
        <v>CLAYPOLE</v>
      </c>
      <c r="O520" s="30" t="str">
        <f ca="1">IFERROR(__xludf.DUMMYFUNCTION("""COMPUTED_VALUE"""),"628")</f>
        <v>628</v>
      </c>
      <c r="P520" s="30" t="str">
        <f ca="1">IFERROR(__xludf.DUMMYFUNCTION("""COMPUTED_VALUE"""),"ALMIRANTE BROWN")</f>
        <v>ALMIRANTE BROWN</v>
      </c>
      <c r="Q520" s="30" t="str">
        <f ca="1">IFERROR(__xludf.DUMMYFUNCTION("""COMPUTED_VALUE"""),"-34.80612019")</f>
        <v>-34.80612019</v>
      </c>
      <c r="R520" s="30" t="str">
        <f ca="1">IFERROR(__xludf.DUMMYFUNCTION("""COMPUTED_VALUE"""),"-58.34750462")</f>
        <v>-58.34750462</v>
      </c>
      <c r="S520" s="30" t="str">
        <f ca="1">IFERROR(__xludf.DUMMYFUNCTION("""COMPUTED_VALUE"""),"Municipal")</f>
        <v>Municipal</v>
      </c>
      <c r="T520" s="30" t="str">
        <f ca="1">IFERROR(__xludf.DUMMYFUNCTION("""COMPUTED_VALUE"""),"ALMIRANTE BROWN")</f>
        <v>ALMIRANTE BROWN</v>
      </c>
    </row>
    <row r="521" spans="1:20" ht="15.75" customHeight="1" x14ac:dyDescent="0.25">
      <c r="A521" s="30" t="str">
        <f ca="1">IFERROR(__xludf.DUMMYFUNCTION("""COMPUTED_VALUE"""),"50064342201374")</f>
        <v>50064342201374</v>
      </c>
      <c r="B521" s="30" t="str">
        <f ca="1">IFERROR(__xludf.DUMMYFUNCTION("""COMPUTED_VALUE"""),"CENTRO DE SALUD VILLA GIARDINO")</f>
        <v>CENTRO DE SALUD VILLA GIARDINO</v>
      </c>
      <c r="C521" s="30" t="str">
        <f ca="1">IFERROR(__xludf.DUMMYFUNCTION("""COMPUTED_VALUE"""),"Buenos Aires")</f>
        <v>Buenos Aires</v>
      </c>
      <c r="D521" s="30" t="str">
        <f ca="1">IFERROR(__xludf.DUMMYFUNCTION("""COMPUTED_VALUE"""),"6")</f>
        <v>6</v>
      </c>
      <c r="E521" s="30" t="str">
        <f ca="1">IFERROR(__xludf.DUMMYFUNCTION("""COMPUTED_VALUE"""),"")</f>
        <v/>
      </c>
      <c r="F521" s="29"/>
      <c r="G521" s="29"/>
      <c r="H521" s="30" t="str">
        <f ca="1">IFERROR(__xludf.DUMMYFUNCTION("""COMPUTED_VALUE"""),"activo")</f>
        <v>activo</v>
      </c>
      <c r="I521" s="30" t="str">
        <f ca="1">IFERROR(__xludf.DUMMYFUNCTION("""COMPUTED_VALUE"""),"circular 2")</f>
        <v>circular 2</v>
      </c>
      <c r="J521" s="29"/>
      <c r="K521" s="29"/>
      <c r="L521" s="30" t="str">
        <f ca="1">IFERROR(__xludf.DUMMYFUNCTION("""COMPUTED_VALUE"""),"No")</f>
        <v>No</v>
      </c>
      <c r="M521" s="30" t="str">
        <f ca="1">IFERROR(__xludf.DUMMYFUNCTION("""COMPUTED_VALUE"""),"6434010003")</f>
        <v>6434010003</v>
      </c>
      <c r="N521" s="30" t="str">
        <f ca="1">IFERROR(__xludf.DUMMYFUNCTION("""COMPUTED_VALUE"""),"LANUS OESTE")</f>
        <v>LANUS OESTE</v>
      </c>
      <c r="O521" s="30" t="str">
        <f ca="1">IFERROR(__xludf.DUMMYFUNCTION("""COMPUTED_VALUE"""),"6434")</f>
        <v>6434</v>
      </c>
      <c r="P521" s="30" t="str">
        <f ca="1">IFERROR(__xludf.DUMMYFUNCTION("""COMPUTED_VALUE"""),"LANÚS")</f>
        <v>LANÚS</v>
      </c>
      <c r="Q521" s="30" t="str">
        <f ca="1">IFERROR(__xludf.DUMMYFUNCTION("""COMPUTED_VALUE"""),"-34.6701546")</f>
        <v>-34.6701546</v>
      </c>
      <c r="R521" s="30" t="str">
        <f ca="1">IFERROR(__xludf.DUMMYFUNCTION("""COMPUTED_VALUE"""),"-58.4107552")</f>
        <v>-58.4107552</v>
      </c>
      <c r="S521" s="30" t="str">
        <f ca="1">IFERROR(__xludf.DUMMYFUNCTION("""COMPUTED_VALUE"""),"Municipal")</f>
        <v>Municipal</v>
      </c>
      <c r="T521" s="30" t="str">
        <f ca="1">IFERROR(__xludf.DUMMYFUNCTION("""COMPUTED_VALUE"""),"LANÚS")</f>
        <v>LANÚS</v>
      </c>
    </row>
    <row r="522" spans="1:20" ht="15.75" customHeight="1" x14ac:dyDescent="0.25">
      <c r="A522" s="30" t="str">
        <f ca="1">IFERROR(__xludf.DUMMYFUNCTION("""COMPUTED_VALUE"""),"50064342201253")</f>
        <v>50064342201253</v>
      </c>
      <c r="B522" s="30" t="str">
        <f ca="1">IFERROR(__xludf.DUMMYFUNCTION("""COMPUTED_VALUE"""),"CENTRO DE SALUD LA ESPERANZA")</f>
        <v>CENTRO DE SALUD LA ESPERANZA</v>
      </c>
      <c r="C522" s="30" t="str">
        <f ca="1">IFERROR(__xludf.DUMMYFUNCTION("""COMPUTED_VALUE"""),"Buenos Aires")</f>
        <v>Buenos Aires</v>
      </c>
      <c r="D522" s="30" t="str">
        <f ca="1">IFERROR(__xludf.DUMMYFUNCTION("""COMPUTED_VALUE"""),"6")</f>
        <v>6</v>
      </c>
      <c r="E522" s="30" t="str">
        <f ca="1">IFERROR(__xludf.DUMMYFUNCTION("""COMPUTED_VALUE"""),"")</f>
        <v/>
      </c>
      <c r="F522" s="29"/>
      <c r="G522" s="29"/>
      <c r="H522" s="30" t="str">
        <f ca="1">IFERROR(__xludf.DUMMYFUNCTION("""COMPUTED_VALUE"""),"activo")</f>
        <v>activo</v>
      </c>
      <c r="I522" s="30" t="str">
        <f ca="1">IFERROR(__xludf.DUMMYFUNCTION("""COMPUTED_VALUE"""),"circular 2")</f>
        <v>circular 2</v>
      </c>
      <c r="J522" s="29"/>
      <c r="K522" s="29"/>
      <c r="L522" s="30" t="str">
        <f ca="1">IFERROR(__xludf.DUMMYFUNCTION("""COMPUTED_VALUE"""),"No")</f>
        <v>No</v>
      </c>
      <c r="M522" s="30" t="str">
        <f ca="1">IFERROR(__xludf.DUMMYFUNCTION("""COMPUTED_VALUE"""),"6434010002")</f>
        <v>6434010002</v>
      </c>
      <c r="N522" s="30" t="str">
        <f ca="1">IFERROR(__xludf.DUMMYFUNCTION("""COMPUTED_VALUE"""),"LANUS ESTE")</f>
        <v>LANUS ESTE</v>
      </c>
      <c r="O522" s="30" t="str">
        <f ca="1">IFERROR(__xludf.DUMMYFUNCTION("""COMPUTED_VALUE"""),"6434")</f>
        <v>6434</v>
      </c>
      <c r="P522" s="30" t="str">
        <f ca="1">IFERROR(__xludf.DUMMYFUNCTION("""COMPUTED_VALUE"""),"LANÚS")</f>
        <v>LANÚS</v>
      </c>
      <c r="Q522" s="30" t="str">
        <f ca="1">IFERROR(__xludf.DUMMYFUNCTION("""COMPUTED_VALUE"""),"-34.73804891")</f>
        <v>-34.73804891</v>
      </c>
      <c r="R522" s="30" t="str">
        <f ca="1">IFERROR(__xludf.DUMMYFUNCTION("""COMPUTED_VALUE"""),"-58.35834718")</f>
        <v>-58.35834718</v>
      </c>
      <c r="S522" s="30" t="str">
        <f ca="1">IFERROR(__xludf.DUMMYFUNCTION("""COMPUTED_VALUE"""),"Municipal")</f>
        <v>Municipal</v>
      </c>
      <c r="T522" s="30" t="str">
        <f ca="1">IFERROR(__xludf.DUMMYFUNCTION("""COMPUTED_VALUE"""),"LANÚS")</f>
        <v>LANÚS</v>
      </c>
    </row>
    <row r="523" spans="1:20" ht="15.75" customHeight="1" x14ac:dyDescent="0.25">
      <c r="A523" s="30" t="str">
        <f ca="1">IFERROR(__xludf.DUMMYFUNCTION("""COMPUTED_VALUE"""),"50062602202477")</f>
        <v>50062602202477</v>
      </c>
      <c r="B523" s="30" t="str">
        <f ca="1">IFERROR(__xludf.DUMMYFUNCTION("""COMPUTED_VALUE"""),"UNIDAD SANITARIA N° 10 EL ZALZAR DE 9 DE ABRIL")</f>
        <v>UNIDAD SANITARIA N° 10 EL ZALZAR DE 9 DE ABRIL</v>
      </c>
      <c r="C523" s="30" t="str">
        <f ca="1">IFERROR(__xludf.DUMMYFUNCTION("""COMPUTED_VALUE"""),"Buenos Aires")</f>
        <v>Buenos Aires</v>
      </c>
      <c r="D523" s="30" t="str">
        <f ca="1">IFERROR(__xludf.DUMMYFUNCTION("""COMPUTED_VALUE"""),"6")</f>
        <v>6</v>
      </c>
      <c r="E523" s="30" t="str">
        <f ca="1">IFERROR(__xludf.DUMMYFUNCTION("""COMPUTED_VALUE"""),"")</f>
        <v/>
      </c>
      <c r="F523" s="29"/>
      <c r="G523" s="29"/>
      <c r="H523" s="30" t="str">
        <f ca="1">IFERROR(__xludf.DUMMYFUNCTION("""COMPUTED_VALUE"""),"activo")</f>
        <v>activo</v>
      </c>
      <c r="I523" s="30" t="str">
        <f ca="1">IFERROR(__xludf.DUMMYFUNCTION("""COMPUTED_VALUE"""),"circular 2")</f>
        <v>circular 2</v>
      </c>
      <c r="J523" s="29"/>
      <c r="K523" s="29"/>
      <c r="L523" s="30" t="str">
        <f ca="1">IFERROR(__xludf.DUMMYFUNCTION("""COMPUTED_VALUE"""),"No")</f>
        <v>No</v>
      </c>
      <c r="M523" s="30" t="str">
        <f ca="1">IFERROR(__xludf.DUMMYFUNCTION("""COMPUTED_VALUE"""),"6260010005")</f>
        <v>6260010005</v>
      </c>
      <c r="N523" s="30" t="str">
        <f ca="1">IFERROR(__xludf.DUMMYFUNCTION("""COMPUTED_VALUE"""),"9 DE ABRIL")</f>
        <v>9 DE ABRIL</v>
      </c>
      <c r="O523" s="30" t="str">
        <f ca="1">IFERROR(__xludf.DUMMYFUNCTION("""COMPUTED_VALUE"""),"6260")</f>
        <v>6260</v>
      </c>
      <c r="P523" s="30" t="str">
        <f ca="1">IFERROR(__xludf.DUMMYFUNCTION("""COMPUTED_VALUE"""),"ESTEBAN ECHEVERRÍA")</f>
        <v>ESTEBAN ECHEVERRÍA</v>
      </c>
      <c r="Q523" s="30" t="str">
        <f ca="1">IFERROR(__xludf.DUMMYFUNCTION("""COMPUTED_VALUE"""),"-34.7822586")</f>
        <v>-34.7822586</v>
      </c>
      <c r="R523" s="30" t="str">
        <f ca="1">IFERROR(__xludf.DUMMYFUNCTION("""COMPUTED_VALUE"""),"-58.4899493")</f>
        <v>-58.4899493</v>
      </c>
      <c r="S523" s="30" t="str">
        <f ca="1">IFERROR(__xludf.DUMMYFUNCTION("""COMPUTED_VALUE"""),"Municipal")</f>
        <v>Municipal</v>
      </c>
      <c r="T523" s="30" t="str">
        <f ca="1">IFERROR(__xludf.DUMMYFUNCTION("""COMPUTED_VALUE"""),"ESTEBAN ECHEVERRÍA")</f>
        <v>ESTEBAN ECHEVERRÍA</v>
      </c>
    </row>
    <row r="524" spans="1:20" ht="15.75" customHeight="1" x14ac:dyDescent="0.25">
      <c r="A524" s="30" t="str">
        <f ca="1">IFERROR(__xludf.DUMMYFUNCTION("""COMPUTED_VALUE"""),"50062602202535")</f>
        <v>50062602202535</v>
      </c>
      <c r="B524" s="30" t="str">
        <f ca="1">IFERROR(__xludf.DUMMYFUNCTION("""COMPUTED_VALUE"""),"UNIDAD SANITARIA N° 18 DE ESTEBAN ECHEVERRIA")</f>
        <v>UNIDAD SANITARIA N° 18 DE ESTEBAN ECHEVERRIA</v>
      </c>
      <c r="C524" s="30" t="str">
        <f ca="1">IFERROR(__xludf.DUMMYFUNCTION("""COMPUTED_VALUE"""),"Buenos Aires")</f>
        <v>Buenos Aires</v>
      </c>
      <c r="D524" s="30" t="str">
        <f ca="1">IFERROR(__xludf.DUMMYFUNCTION("""COMPUTED_VALUE"""),"6")</f>
        <v>6</v>
      </c>
      <c r="E524" s="30" t="str">
        <f ca="1">IFERROR(__xludf.DUMMYFUNCTION("""COMPUTED_VALUE"""),"")</f>
        <v/>
      </c>
      <c r="F524" s="29"/>
      <c r="G524" s="29"/>
      <c r="H524" s="30" t="str">
        <f ca="1">IFERROR(__xludf.DUMMYFUNCTION("""COMPUTED_VALUE"""),"activo")</f>
        <v>activo</v>
      </c>
      <c r="I524" s="30" t="str">
        <f ca="1">IFERROR(__xludf.DUMMYFUNCTION("""COMPUTED_VALUE"""),"circular 2")</f>
        <v>circular 2</v>
      </c>
      <c r="J524" s="29"/>
      <c r="K524" s="29"/>
      <c r="L524" s="30" t="str">
        <f ca="1">IFERROR(__xludf.DUMMYFUNCTION("""COMPUTED_VALUE"""),"No")</f>
        <v>No</v>
      </c>
      <c r="M524" s="30" t="str">
        <f ca="1">IFERROR(__xludf.DUMMYFUNCTION("""COMPUTED_VALUE"""),"6260010005")</f>
        <v>6260010005</v>
      </c>
      <c r="N524" s="30" t="str">
        <f ca="1">IFERROR(__xludf.DUMMYFUNCTION("""COMPUTED_VALUE"""),"9 DE ABRIL")</f>
        <v>9 DE ABRIL</v>
      </c>
      <c r="O524" s="30" t="str">
        <f ca="1">IFERROR(__xludf.DUMMYFUNCTION("""COMPUTED_VALUE"""),"6260")</f>
        <v>6260</v>
      </c>
      <c r="P524" s="30" t="str">
        <f ca="1">IFERROR(__xludf.DUMMYFUNCTION("""COMPUTED_VALUE"""),"ESTEBAN ECHEVERRÍA")</f>
        <v>ESTEBAN ECHEVERRÍA</v>
      </c>
      <c r="Q524" s="30" t="str">
        <f ca="1">IFERROR(__xludf.DUMMYFUNCTION("""COMPUTED_VALUE"""),"-34.730269")</f>
        <v>-34.730269</v>
      </c>
      <c r="R524" s="30" t="str">
        <f ca="1">IFERROR(__xludf.DUMMYFUNCTION("""COMPUTED_VALUE"""),"-58.495678")</f>
        <v>-58.495678</v>
      </c>
      <c r="S524" s="30" t="str">
        <f ca="1">IFERROR(__xludf.DUMMYFUNCTION("""COMPUTED_VALUE"""),"Municipal")</f>
        <v>Municipal</v>
      </c>
      <c r="T524" s="30" t="str">
        <f ca="1">IFERROR(__xludf.DUMMYFUNCTION("""COMPUTED_VALUE"""),"ESTEBAN ECHEVERRÍA")</f>
        <v>ESTEBAN ECHEVERRÍA</v>
      </c>
    </row>
    <row r="525" spans="1:20" ht="15.75" customHeight="1" x14ac:dyDescent="0.25">
      <c r="A525" s="30" t="str">
        <f ca="1">IFERROR(__xludf.DUMMYFUNCTION("""COMPUTED_VALUE"""),"53060582203121")</f>
        <v>53060582203121</v>
      </c>
      <c r="B525" s="30" t="str">
        <f ca="1">IFERROR(__xludf.DUMMYFUNCTION("""COMPUTED_VALUE"""),"EQUIPO MOVIL DE SECRETARIA DE SALUD")</f>
        <v>EQUIPO MOVIL DE SECRETARIA DE SALUD</v>
      </c>
      <c r="C525" s="30" t="str">
        <f ca="1">IFERROR(__xludf.DUMMYFUNCTION("""COMPUTED_VALUE"""),"Buenos Aires")</f>
        <v>Buenos Aires</v>
      </c>
      <c r="D525" s="30" t="str">
        <f ca="1">IFERROR(__xludf.DUMMYFUNCTION("""COMPUTED_VALUE"""),"6")</f>
        <v>6</v>
      </c>
      <c r="E525" s="30" t="str">
        <f ca="1">IFERROR(__xludf.DUMMYFUNCTION("""COMPUTED_VALUE"""),"")</f>
        <v/>
      </c>
      <c r="F525" s="29"/>
      <c r="G525" s="29"/>
      <c r="H525" s="30" t="str">
        <f ca="1">IFERROR(__xludf.DUMMYFUNCTION("""COMPUTED_VALUE"""),"activo")</f>
        <v>activo</v>
      </c>
      <c r="I525" s="30" t="str">
        <f ca="1">IFERROR(__xludf.DUMMYFUNCTION("""COMPUTED_VALUE"""),"circular 2 / agregado 2020")</f>
        <v>circular 2 / agregado 2020</v>
      </c>
      <c r="J525" s="29"/>
      <c r="K525" s="29"/>
      <c r="L525" s="30" t="str">
        <f ca="1">IFERROR(__xludf.DUMMYFUNCTION("""COMPUTED_VALUE"""),"No")</f>
        <v>No</v>
      </c>
      <c r="M525" s="30" t="str">
        <f ca="1">IFERROR(__xludf.DUMMYFUNCTION("""COMPUTED_VALUE"""),"6658010001")</f>
        <v>6658010001</v>
      </c>
      <c r="N525" s="30" t="str">
        <f ca="1">IFERROR(__xludf.DUMMYFUNCTION("""COMPUTED_VALUE"""),"BERNAL")</f>
        <v>BERNAL</v>
      </c>
      <c r="O525" s="30" t="str">
        <f ca="1">IFERROR(__xludf.DUMMYFUNCTION("""COMPUTED_VALUE"""),"658")</f>
        <v>658</v>
      </c>
      <c r="P525" s="30" t="str">
        <f ca="1">IFERROR(__xludf.DUMMYFUNCTION("""COMPUTED_VALUE"""),"QUILMES")</f>
        <v>QUILMES</v>
      </c>
      <c r="Q525" s="30" t="str">
        <f ca="1">IFERROR(__xludf.DUMMYFUNCTION("""COMPUTED_VALUE"""),"-34.7140757")</f>
        <v>-34.7140757</v>
      </c>
      <c r="R525" s="30" t="str">
        <f ca="1">IFERROR(__xludf.DUMMYFUNCTION("""COMPUTED_VALUE"""),"-58.2554637")</f>
        <v>-58.2554637</v>
      </c>
      <c r="S525" s="30" t="str">
        <f ca="1">IFERROR(__xludf.DUMMYFUNCTION("""COMPUTED_VALUE"""),"Municipal")</f>
        <v>Municipal</v>
      </c>
      <c r="T525" s="30" t="str">
        <f ca="1">IFERROR(__xludf.DUMMYFUNCTION("""COMPUTED_VALUE"""),"QUILMES")</f>
        <v>QUILMES</v>
      </c>
    </row>
    <row r="526" spans="1:20" ht="15.75" customHeight="1" x14ac:dyDescent="0.25">
      <c r="A526" s="30" t="str">
        <f ca="1">IFERROR(__xludf.DUMMYFUNCTION("""COMPUTED_VALUE"""),"50064902202845")</f>
        <v>50064902202845</v>
      </c>
      <c r="B526" s="30" t="str">
        <f ca="1">IFERROR(__xludf.DUMMYFUNCTION("""COMPUTED_VALUE"""),"UNIDAD SANITARIA SOLIDARIDAD")</f>
        <v>UNIDAD SANITARIA SOLIDARIDAD</v>
      </c>
      <c r="C526" s="30" t="str">
        <f ca="1">IFERROR(__xludf.DUMMYFUNCTION("""COMPUTED_VALUE"""),"Buenos Aires")</f>
        <v>Buenos Aires</v>
      </c>
      <c r="D526" s="30" t="str">
        <f ca="1">IFERROR(__xludf.DUMMYFUNCTION("""COMPUTED_VALUE"""),"6")</f>
        <v>6</v>
      </c>
      <c r="E526" s="30" t="str">
        <f ca="1">IFERROR(__xludf.DUMMYFUNCTION("""COMPUTED_VALUE"""),"")</f>
        <v/>
      </c>
      <c r="F526" s="29"/>
      <c r="G526" s="29"/>
      <c r="H526" s="30" t="str">
        <f ca="1">IFERROR(__xludf.DUMMYFUNCTION("""COMPUTED_VALUE"""),"activo")</f>
        <v>activo</v>
      </c>
      <c r="I526" s="30" t="str">
        <f ca="1">IFERROR(__xludf.DUMMYFUNCTION("""COMPUTED_VALUE"""),"circular 2")</f>
        <v>circular 2</v>
      </c>
      <c r="J526" s="29"/>
      <c r="K526" s="29"/>
      <c r="L526" s="30" t="str">
        <f ca="1">IFERROR(__xludf.DUMMYFUNCTION("""COMPUTED_VALUE"""),"No")</f>
        <v>No</v>
      </c>
      <c r="M526" s="30" t="str">
        <f ca="1">IFERROR(__xludf.DUMMYFUNCTION("""COMPUTED_VALUE"""),"6490010003")</f>
        <v>6490010003</v>
      </c>
      <c r="N526" s="30" t="str">
        <f ca="1">IFERROR(__xludf.DUMMYFUNCTION("""COMPUTED_VALUE"""),"LOMAS DE ZAMORA")</f>
        <v>LOMAS DE ZAMORA</v>
      </c>
      <c r="O526" s="30" t="str">
        <f ca="1">IFERROR(__xludf.DUMMYFUNCTION("""COMPUTED_VALUE"""),"6490")</f>
        <v>6490</v>
      </c>
      <c r="P526" s="30" t="str">
        <f ca="1">IFERROR(__xludf.DUMMYFUNCTION("""COMPUTED_VALUE"""),"LOMAS DE ZAMORA")</f>
        <v>LOMAS DE ZAMORA</v>
      </c>
      <c r="Q526" s="30" t="str">
        <f ca="1">IFERROR(__xludf.DUMMYFUNCTION("""COMPUTED_VALUE"""),"-34.752033")</f>
        <v>-34.752033</v>
      </c>
      <c r="R526" s="30" t="str">
        <f ca="1">IFERROR(__xludf.DUMMYFUNCTION("""COMPUTED_VALUE"""),"-58.477696")</f>
        <v>-58.477696</v>
      </c>
      <c r="S526" s="30" t="str">
        <f ca="1">IFERROR(__xludf.DUMMYFUNCTION("""COMPUTED_VALUE"""),"Municipal")</f>
        <v>Municipal</v>
      </c>
      <c r="T526" s="30" t="str">
        <f ca="1">IFERROR(__xludf.DUMMYFUNCTION("""COMPUTED_VALUE"""),"LOMAS DE ZAMORA")</f>
        <v>LOMAS DE ZAMORA</v>
      </c>
    </row>
    <row r="527" spans="1:20" ht="15.75" customHeight="1" x14ac:dyDescent="0.25">
      <c r="A527" s="30" t="str">
        <f ca="1">IFERROR(__xludf.DUMMYFUNCTION("""COMPUTED_VALUE"""),"50065602202398")</f>
        <v>50065602202398</v>
      </c>
      <c r="B527" s="30" t="str">
        <f ca="1">IFERROR(__xludf.DUMMYFUNCTION("""COMPUTED_VALUE"""),"UNIDAD SANITARIA LAS FLORES DE MORENO")</f>
        <v>UNIDAD SANITARIA LAS FLORES DE MORENO</v>
      </c>
      <c r="C527" s="30" t="str">
        <f ca="1">IFERROR(__xludf.DUMMYFUNCTION("""COMPUTED_VALUE"""),"Buenos Aires")</f>
        <v>Buenos Aires</v>
      </c>
      <c r="D527" s="30" t="str">
        <f ca="1">IFERROR(__xludf.DUMMYFUNCTION("""COMPUTED_VALUE"""),"6")</f>
        <v>6</v>
      </c>
      <c r="E527" s="30" t="str">
        <f ca="1">IFERROR(__xludf.DUMMYFUNCTION("""COMPUTED_VALUE"""),"")</f>
        <v/>
      </c>
      <c r="F527" s="29"/>
      <c r="G527" s="29"/>
      <c r="H527" s="30" t="str">
        <f ca="1">IFERROR(__xludf.DUMMYFUNCTION("""COMPUTED_VALUE"""),"inactivo")</f>
        <v>inactivo</v>
      </c>
      <c r="I527" s="30" t="str">
        <f ca="1">IFERROR(__xludf.DUMMYFUNCTION("""COMPUTED_VALUE"""),"Se le dio de baja durante la adenda al CAI 2020. Fue remplazado en el universo por el 50065602202809")</f>
        <v>Se le dio de baja durante la adenda al CAI 2020. Fue remplazado en el universo por el 50065602202809</v>
      </c>
      <c r="J527" s="29"/>
      <c r="K527" s="29"/>
      <c r="L527" s="30" t="str">
        <f ca="1">IFERROR(__xludf.DUMMYFUNCTION("""COMPUTED_VALUE"""),"No")</f>
        <v>No</v>
      </c>
      <c r="M527" s="30" t="str">
        <f ca="1">IFERROR(__xludf.DUMMYFUNCTION("""COMPUTED_VALUE"""),"6560010006")</f>
        <v>6560010006</v>
      </c>
      <c r="N527" s="30" t="str">
        <f ca="1">IFERROR(__xludf.DUMMYFUNCTION("""COMPUTED_VALUE"""),"TRUJUI")</f>
        <v>TRUJUI</v>
      </c>
      <c r="O527" s="30" t="str">
        <f ca="1">IFERROR(__xludf.DUMMYFUNCTION("""COMPUTED_VALUE"""),"6560")</f>
        <v>6560</v>
      </c>
      <c r="P527" s="30" t="str">
        <f ca="1">IFERROR(__xludf.DUMMYFUNCTION("""COMPUTED_VALUE"""),"MORENO")</f>
        <v>MORENO</v>
      </c>
      <c r="Q527" s="30" t="str">
        <f ca="1">IFERROR(__xludf.DUMMYFUNCTION("""COMPUTED_VALUE"""),"-34.598048")</f>
        <v>-34.598048</v>
      </c>
      <c r="R527" s="30" t="str">
        <f ca="1">IFERROR(__xludf.DUMMYFUNCTION("""COMPUTED_VALUE"""),"-58.7533125")</f>
        <v>-58.7533125</v>
      </c>
      <c r="S527" s="30" t="str">
        <f ca="1">IFERROR(__xludf.DUMMYFUNCTION("""COMPUTED_VALUE"""),"Municipal")</f>
        <v>Municipal</v>
      </c>
      <c r="T527" s="30" t="str">
        <f ca="1">IFERROR(__xludf.DUMMYFUNCTION("""COMPUTED_VALUE"""),"MORENO")</f>
        <v>MORENO</v>
      </c>
    </row>
    <row r="528" spans="1:20" ht="15.75" customHeight="1" x14ac:dyDescent="0.25">
      <c r="A528" s="30" t="str">
        <f ca="1">IFERROR(__xludf.DUMMYFUNCTION("""COMPUTED_VALUE"""),"50064412201292")</f>
        <v>50064412201292</v>
      </c>
      <c r="B528" s="30" t="str">
        <f ca="1">IFERROR(__xludf.DUMMYFUNCTION("""COMPUTED_VALUE"""),"CENTRO DE SALUD N° 22 DE LA PLATA")</f>
        <v>CENTRO DE SALUD N° 22 DE LA PLATA</v>
      </c>
      <c r="C528" s="30" t="str">
        <f ca="1">IFERROR(__xludf.DUMMYFUNCTION("""COMPUTED_VALUE"""),"Buenos Aires")</f>
        <v>Buenos Aires</v>
      </c>
      <c r="D528" s="30" t="str">
        <f ca="1">IFERROR(__xludf.DUMMYFUNCTION("""COMPUTED_VALUE"""),"6")</f>
        <v>6</v>
      </c>
      <c r="E528" s="30" t="str">
        <f ca="1">IFERROR(__xludf.DUMMYFUNCTION("""COMPUTED_VALUE"""),"")</f>
        <v/>
      </c>
      <c r="F528" s="29"/>
      <c r="G528" s="29"/>
      <c r="H528" s="30" t="str">
        <f ca="1">IFERROR(__xludf.DUMMYFUNCTION("""COMPUTED_VALUE"""),"activo")</f>
        <v>activo</v>
      </c>
      <c r="I528" s="30" t="str">
        <f ca="1">IFERROR(__xludf.DUMMYFUNCTION("""COMPUTED_VALUE"""),"circular 2")</f>
        <v>circular 2</v>
      </c>
      <c r="J528" s="29"/>
      <c r="K528" s="29"/>
      <c r="L528" s="30" t="str">
        <f ca="1">IFERROR(__xludf.DUMMYFUNCTION("""COMPUTED_VALUE"""),"No")</f>
        <v>No</v>
      </c>
      <c r="M528" s="30" t="str">
        <f ca="1">IFERROR(__xludf.DUMMYFUNCTION("""COMPUTED_VALUE"""),"6441030015")</f>
        <v>6441030015</v>
      </c>
      <c r="N528" s="30" t="str">
        <f ca="1">IFERROR(__xludf.DUMMYFUNCTION("""COMPUTED_VALUE"""),"LA PLATA")</f>
        <v>LA PLATA</v>
      </c>
      <c r="O528" s="30" t="str">
        <f ca="1">IFERROR(__xludf.DUMMYFUNCTION("""COMPUTED_VALUE"""),"6441")</f>
        <v>6441</v>
      </c>
      <c r="P528" s="30" t="str">
        <f ca="1">IFERROR(__xludf.DUMMYFUNCTION("""COMPUTED_VALUE"""),"LA PLATA")</f>
        <v>LA PLATA</v>
      </c>
      <c r="Q528" s="30" t="str">
        <f ca="1">IFERROR(__xludf.DUMMYFUNCTION("""COMPUTED_VALUE"""),"-34.95643013")</f>
        <v>-34.95643013</v>
      </c>
      <c r="R528" s="30" t="str">
        <f ca="1">IFERROR(__xludf.DUMMYFUNCTION("""COMPUTED_VALUE"""),"-57.88917303")</f>
        <v>-57.88917303</v>
      </c>
      <c r="S528" s="30" t="str">
        <f ca="1">IFERROR(__xludf.DUMMYFUNCTION("""COMPUTED_VALUE"""),"Municipal")</f>
        <v>Municipal</v>
      </c>
      <c r="T528" s="30" t="str">
        <f ca="1">IFERROR(__xludf.DUMMYFUNCTION("""COMPUTED_VALUE"""),"LA PLATA")</f>
        <v>LA PLATA</v>
      </c>
    </row>
    <row r="529" spans="1:20" ht="15.75" customHeight="1" x14ac:dyDescent="0.25">
      <c r="A529" s="30" t="str">
        <f ca="1">IFERROR(__xludf.DUMMYFUNCTION("""COMPUTED_VALUE"""),"50064272202776")</f>
        <v>50064272202776</v>
      </c>
      <c r="B529" s="30" t="str">
        <f ca="1">IFERROR(__xludf.DUMMYFUNCTION("""COMPUTED_VALUE"""),"UNIDAD SANITARIA SAN CARLOS DE LA MATANZA")</f>
        <v>UNIDAD SANITARIA SAN CARLOS DE LA MATANZA</v>
      </c>
      <c r="C529" s="30" t="str">
        <f ca="1">IFERROR(__xludf.DUMMYFUNCTION("""COMPUTED_VALUE"""),"Buenos Aires")</f>
        <v>Buenos Aires</v>
      </c>
      <c r="D529" s="30" t="str">
        <f ca="1">IFERROR(__xludf.DUMMYFUNCTION("""COMPUTED_VALUE"""),"6")</f>
        <v>6</v>
      </c>
      <c r="E529" s="30" t="str">
        <f ca="1">IFERROR(__xludf.DUMMYFUNCTION("""COMPUTED_VALUE"""),"")</f>
        <v/>
      </c>
      <c r="F529" s="29"/>
      <c r="G529" s="29"/>
      <c r="H529" s="30" t="str">
        <f ca="1">IFERROR(__xludf.DUMMYFUNCTION("""COMPUTED_VALUE"""),"activo")</f>
        <v>activo</v>
      </c>
      <c r="I529" s="30" t="str">
        <f ca="1">IFERROR(__xludf.DUMMYFUNCTION("""COMPUTED_VALUE"""),"circular 2")</f>
        <v>circular 2</v>
      </c>
      <c r="J529" s="29"/>
      <c r="K529" s="29"/>
      <c r="L529" s="30" t="str">
        <f ca="1">IFERROR(__xludf.DUMMYFUNCTION("""COMPUTED_VALUE"""),"No")</f>
        <v>No</v>
      </c>
      <c r="M529" s="30" t="str">
        <f ca="1">IFERROR(__xludf.DUMMYFUNCTION("""COMPUTED_VALUE"""),"6427010005")</f>
        <v>6427010005</v>
      </c>
      <c r="N529" s="30" t="str">
        <f ca="1">IFERROR(__xludf.DUMMYFUNCTION("""COMPUTED_VALUE"""),"ISIDRO CASANOVA")</f>
        <v>ISIDRO CASANOVA</v>
      </c>
      <c r="O529" s="30" t="str">
        <f ca="1">IFERROR(__xludf.DUMMYFUNCTION("""COMPUTED_VALUE"""),"6427")</f>
        <v>6427</v>
      </c>
      <c r="P529" s="30" t="str">
        <f ca="1">IFERROR(__xludf.DUMMYFUNCTION("""COMPUTED_VALUE"""),"LA MATANZA")</f>
        <v>LA MATANZA</v>
      </c>
      <c r="Q529" s="30" t="str">
        <f ca="1">IFERROR(__xludf.DUMMYFUNCTION("""COMPUTED_VALUE"""),"-34.7143474")</f>
        <v>-34.7143474</v>
      </c>
      <c r="R529" s="30" t="str">
        <f ca="1">IFERROR(__xludf.DUMMYFUNCTION("""COMPUTED_VALUE"""),"-58.59732771")</f>
        <v>-58.59732771</v>
      </c>
      <c r="S529" s="30" t="str">
        <f ca="1">IFERROR(__xludf.DUMMYFUNCTION("""COMPUTED_VALUE"""),"Municipal")</f>
        <v>Municipal</v>
      </c>
      <c r="T529" s="30" t="str">
        <f ca="1">IFERROR(__xludf.DUMMYFUNCTION("""COMPUTED_VALUE"""),"LA MATANZA")</f>
        <v>LA MATANZA</v>
      </c>
    </row>
    <row r="530" spans="1:20" ht="15.75" customHeight="1" x14ac:dyDescent="0.25">
      <c r="A530" s="30" t="str">
        <f ca="1">IFERROR(__xludf.DUMMYFUNCTION("""COMPUTED_VALUE"""),"50064272202657")</f>
        <v>50064272202657</v>
      </c>
      <c r="B530" s="30" t="str">
        <f ca="1">IFERROR(__xludf.DUMMYFUNCTION("""COMPUTED_VALUE"""),"CENTRO DE SALUD N° 7 EIZAGUIRRE DE VILLA CELINA")</f>
        <v>CENTRO DE SALUD N° 7 EIZAGUIRRE DE VILLA CELINA</v>
      </c>
      <c r="C530" s="30" t="str">
        <f ca="1">IFERROR(__xludf.DUMMYFUNCTION("""COMPUTED_VALUE"""),"Buenos Aires")</f>
        <v>Buenos Aires</v>
      </c>
      <c r="D530" s="30" t="str">
        <f ca="1">IFERROR(__xludf.DUMMYFUNCTION("""COMPUTED_VALUE"""),"6")</f>
        <v>6</v>
      </c>
      <c r="E530" s="30" t="str">
        <f ca="1">IFERROR(__xludf.DUMMYFUNCTION("""COMPUTED_VALUE"""),"")</f>
        <v/>
      </c>
      <c r="F530" s="29"/>
      <c r="G530" s="29"/>
      <c r="H530" s="30" t="str">
        <f ca="1">IFERROR(__xludf.DUMMYFUNCTION("""COMPUTED_VALUE"""),"activo")</f>
        <v>activo</v>
      </c>
      <c r="I530" s="30" t="str">
        <f ca="1">IFERROR(__xludf.DUMMYFUNCTION("""COMPUTED_VALUE"""),"circular 2")</f>
        <v>circular 2</v>
      </c>
      <c r="J530" s="29"/>
      <c r="K530" s="29"/>
      <c r="L530" s="30" t="str">
        <f ca="1">IFERROR(__xludf.DUMMYFUNCTION("""COMPUTED_VALUE"""),"No")</f>
        <v>No</v>
      </c>
      <c r="M530" s="30" t="str">
        <f ca="1">IFERROR(__xludf.DUMMYFUNCTION("""COMPUTED_VALUE"""),"6427020")</f>
        <v>6427020</v>
      </c>
      <c r="N530" s="30" t="str">
        <f ca="1">IFERROR(__xludf.DUMMYFUNCTION("""COMPUTED_VALUE"""),"VILLA CELINA")</f>
        <v>VILLA CELINA</v>
      </c>
      <c r="O530" s="30" t="str">
        <f ca="1">IFERROR(__xludf.DUMMYFUNCTION("""COMPUTED_VALUE"""),"6427")</f>
        <v>6427</v>
      </c>
      <c r="P530" s="30" t="str">
        <f ca="1">IFERROR(__xludf.DUMMYFUNCTION("""COMPUTED_VALUE"""),"LA MATANZA")</f>
        <v>LA MATANZA</v>
      </c>
      <c r="Q530" s="30" t="str">
        <f ca="1">IFERROR(__xludf.DUMMYFUNCTION("""COMPUTED_VALUE"""),"-34.69610833")</f>
        <v>-34.69610833</v>
      </c>
      <c r="R530" s="30" t="str">
        <f ca="1">IFERROR(__xludf.DUMMYFUNCTION("""COMPUTED_VALUE"""),"-58.49043846")</f>
        <v>-58.49043846</v>
      </c>
      <c r="S530" s="30" t="str">
        <f ca="1">IFERROR(__xludf.DUMMYFUNCTION("""COMPUTED_VALUE"""),"Municipal")</f>
        <v>Municipal</v>
      </c>
      <c r="T530" s="30" t="str">
        <f ca="1">IFERROR(__xludf.DUMMYFUNCTION("""COMPUTED_VALUE"""),"LA MATANZA")</f>
        <v>LA MATANZA</v>
      </c>
    </row>
    <row r="531" spans="1:20" ht="15.75" customHeight="1" x14ac:dyDescent="0.25">
      <c r="A531" s="30" t="str">
        <f ca="1">IFERROR(__xludf.DUMMYFUNCTION("""COMPUTED_VALUE"""),"53064272203130")</f>
        <v>53064272203130</v>
      </c>
      <c r="B531" s="30" t="str">
        <f ca="1">IFERROR(__xludf.DUMMYFUNCTION("""COMPUTED_VALUE"""),"UNIDAD DE SALUD EL MILAGRO")</f>
        <v>UNIDAD DE SALUD EL MILAGRO</v>
      </c>
      <c r="C531" s="30" t="str">
        <f ca="1">IFERROR(__xludf.DUMMYFUNCTION("""COMPUTED_VALUE"""),"Buenos Aires")</f>
        <v>Buenos Aires</v>
      </c>
      <c r="D531" s="30" t="str">
        <f ca="1">IFERROR(__xludf.DUMMYFUNCTION("""COMPUTED_VALUE"""),"6")</f>
        <v>6</v>
      </c>
      <c r="E531" s="30" t="str">
        <f ca="1">IFERROR(__xludf.DUMMYFUNCTION("""COMPUTED_VALUE"""),"")</f>
        <v/>
      </c>
      <c r="F531" s="29"/>
      <c r="G531" s="29"/>
      <c r="H531" s="30" t="str">
        <f ca="1">IFERROR(__xludf.DUMMYFUNCTION("""COMPUTED_VALUE"""),"inactivo")</f>
        <v>inactivo</v>
      </c>
      <c r="I531" s="30" t="str">
        <f ca="1">IFERROR(__xludf.DUMMYFUNCTION("""COMPUTED_VALUE"""),"circular 2")</f>
        <v>circular 2</v>
      </c>
      <c r="J531" s="29"/>
      <c r="K531" s="29"/>
      <c r="L531" s="30" t="str">
        <f ca="1">IFERROR(__xludf.DUMMYFUNCTION("""COMPUTED_VALUE"""),"No")</f>
        <v>No</v>
      </c>
      <c r="M531" s="30" t="str">
        <f ca="1">IFERROR(__xludf.DUMMYFUNCTION("""COMPUTED_VALUE"""),"6427010015")</f>
        <v>6427010015</v>
      </c>
      <c r="N531" s="30" t="str">
        <f ca="1">IFERROR(__xludf.DUMMYFUNCTION("""COMPUTED_VALUE"""),"VIRREY DEL PINO")</f>
        <v>VIRREY DEL PINO</v>
      </c>
      <c r="O531" s="30" t="str">
        <f ca="1">IFERROR(__xludf.DUMMYFUNCTION("""COMPUTED_VALUE"""),"6427")</f>
        <v>6427</v>
      </c>
      <c r="P531" s="30" t="str">
        <f ca="1">IFERROR(__xludf.DUMMYFUNCTION("""COMPUTED_VALUE"""),"LA MATANZA")</f>
        <v>LA MATANZA</v>
      </c>
      <c r="Q531" s="30" t="str">
        <f ca="1">IFERROR(__xludf.DUMMYFUNCTION("""COMPUTED_VALUE"""),"-34.84772579")</f>
        <v>-34.84772579</v>
      </c>
      <c r="R531" s="30" t="str">
        <f ca="1">IFERROR(__xludf.DUMMYFUNCTION("""COMPUTED_VALUE"""),"-58.63513613")</f>
        <v>-58.63513613</v>
      </c>
      <c r="S531" s="30" t="str">
        <f ca="1">IFERROR(__xludf.DUMMYFUNCTION("""COMPUTED_VALUE"""),"Municipal")</f>
        <v>Municipal</v>
      </c>
      <c r="T531" s="30" t="str">
        <f ca="1">IFERROR(__xludf.DUMMYFUNCTION("""COMPUTED_VALUE"""),"LA MATANZA")</f>
        <v>LA MATANZA</v>
      </c>
    </row>
    <row r="532" spans="1:20" ht="15.75" customHeight="1" x14ac:dyDescent="0.25">
      <c r="A532" s="30" t="str">
        <f ca="1">IFERROR(__xludf.DUMMYFUNCTION("""COMPUTED_VALUE"""),"50067632201164")</f>
        <v>50067632201164</v>
      </c>
      <c r="B532" s="30" t="str">
        <f ca="1">IFERROR(__xludf.DUMMYFUNCTION("""COMPUTED_VALUE"""),"CENTRO DE ATENCION 24 HS HUGO PANZARDI")</f>
        <v>CENTRO DE ATENCION 24 HS HUGO PANZARDI</v>
      </c>
      <c r="C532" s="30" t="str">
        <f ca="1">IFERROR(__xludf.DUMMYFUNCTION("""COMPUTED_VALUE"""),"Buenos Aires")</f>
        <v>Buenos Aires</v>
      </c>
      <c r="D532" s="30" t="str">
        <f ca="1">IFERROR(__xludf.DUMMYFUNCTION("""COMPUTED_VALUE"""),"6")</f>
        <v>6</v>
      </c>
      <c r="E532" s="30" t="str">
        <f ca="1">IFERROR(__xludf.DUMMYFUNCTION("""COMPUTED_VALUE"""),"")</f>
        <v/>
      </c>
      <c r="F532" s="29"/>
      <c r="G532" s="29"/>
      <c r="H532" s="30" t="str">
        <f ca="1">IFERROR(__xludf.DUMMYFUNCTION("""COMPUTED_VALUE"""),"inactivo")</f>
        <v>inactivo</v>
      </c>
      <c r="I532" s="30" t="str">
        <f ca="1">IFERROR(__xludf.DUMMYFUNCTION("""COMPUTED_VALUE"""),"circular 2")</f>
        <v>circular 2</v>
      </c>
      <c r="J532" s="29"/>
      <c r="K532" s="29"/>
      <c r="L532" s="30" t="str">
        <f ca="1">IFERROR(__xludf.DUMMYFUNCTION("""COMPUTED_VALUE"""),"No")</f>
        <v>No</v>
      </c>
      <c r="M532" s="30" t="str">
        <f ca="1">IFERROR(__xludf.DUMMYFUNCTION("""COMPUTED_VALUE"""),"6763050002")</f>
        <v>6763050002</v>
      </c>
      <c r="N532" s="30" t="str">
        <f ca="1">IFERROR(__xludf.DUMMYFUNCTION("""COMPUTED_VALUE"""),"SAN NICOLAS DE LOS ARROYOS")</f>
        <v>SAN NICOLAS DE LOS ARROYOS</v>
      </c>
      <c r="O532" s="30" t="str">
        <f ca="1">IFERROR(__xludf.DUMMYFUNCTION("""COMPUTED_VALUE"""),"6763")</f>
        <v>6763</v>
      </c>
      <c r="P532" s="30" t="str">
        <f ca="1">IFERROR(__xludf.DUMMYFUNCTION("""COMPUTED_VALUE"""),"SAN NICOLÁS")</f>
        <v>SAN NICOLÁS</v>
      </c>
      <c r="Q532" s="30" t="str">
        <f ca="1">IFERROR(__xludf.DUMMYFUNCTION("""COMPUTED_VALUE"""),"-33.35630519")</f>
        <v>-33.35630519</v>
      </c>
      <c r="R532" s="30" t="str">
        <f ca="1">IFERROR(__xludf.DUMMYFUNCTION("""COMPUTED_VALUE"""),"-60.20546436")</f>
        <v>-60.20546436</v>
      </c>
      <c r="S532" s="30" t="str">
        <f ca="1">IFERROR(__xludf.DUMMYFUNCTION("""COMPUTED_VALUE"""),"Municipal")</f>
        <v>Municipal</v>
      </c>
      <c r="T532" s="30" t="str">
        <f ca="1">IFERROR(__xludf.DUMMYFUNCTION("""COMPUTED_VALUE"""),"SAN NICOLÁS")</f>
        <v>SAN NICOLÁS</v>
      </c>
    </row>
    <row r="533" spans="1:20" ht="15.75" customHeight="1" x14ac:dyDescent="0.25">
      <c r="A533" s="30" t="str">
        <f ca="1">IFERROR(__xludf.DUMMYFUNCTION("""COMPUTED_VALUE"""),"50067632201459")</f>
        <v>50067632201459</v>
      </c>
      <c r="B533" s="30" t="str">
        <f ca="1">IFERROR(__xludf.DUMMYFUNCTION("""COMPUTED_VALUE"""),"CENTRO PERIFERICO DE SALUD BARRIO 7 DE SEPTIEMBRE")</f>
        <v>CENTRO PERIFERICO DE SALUD BARRIO 7 DE SEPTIEMBRE</v>
      </c>
      <c r="C533" s="30" t="str">
        <f ca="1">IFERROR(__xludf.DUMMYFUNCTION("""COMPUTED_VALUE"""),"Buenos Aires")</f>
        <v>Buenos Aires</v>
      </c>
      <c r="D533" s="30" t="str">
        <f ca="1">IFERROR(__xludf.DUMMYFUNCTION("""COMPUTED_VALUE"""),"6")</f>
        <v>6</v>
      </c>
      <c r="E533" s="30" t="str">
        <f ca="1">IFERROR(__xludf.DUMMYFUNCTION("""COMPUTED_VALUE"""),"")</f>
        <v/>
      </c>
      <c r="F533" s="29"/>
      <c r="G533" s="29"/>
      <c r="H533" s="30" t="str">
        <f ca="1">IFERROR(__xludf.DUMMYFUNCTION("""COMPUTED_VALUE"""),"inactivo")</f>
        <v>inactivo</v>
      </c>
      <c r="I533" s="30" t="str">
        <f ca="1">IFERROR(__xludf.DUMMYFUNCTION("""COMPUTED_VALUE"""),"circular 2")</f>
        <v>circular 2</v>
      </c>
      <c r="J533" s="29"/>
      <c r="K533" s="29"/>
      <c r="L533" s="30" t="str">
        <f ca="1">IFERROR(__xludf.DUMMYFUNCTION("""COMPUTED_VALUE"""),"No")</f>
        <v>No</v>
      </c>
      <c r="M533" s="30" t="str">
        <f ca="1">IFERROR(__xludf.DUMMYFUNCTION("""COMPUTED_VALUE"""),"6763050002")</f>
        <v>6763050002</v>
      </c>
      <c r="N533" s="30" t="str">
        <f ca="1">IFERROR(__xludf.DUMMYFUNCTION("""COMPUTED_VALUE"""),"SAN NICOLAS DE LOS ARROYOS")</f>
        <v>SAN NICOLAS DE LOS ARROYOS</v>
      </c>
      <c r="O533" s="30" t="str">
        <f ca="1">IFERROR(__xludf.DUMMYFUNCTION("""COMPUTED_VALUE"""),"6763")</f>
        <v>6763</v>
      </c>
      <c r="P533" s="30" t="str">
        <f ca="1">IFERROR(__xludf.DUMMYFUNCTION("""COMPUTED_VALUE"""),"SAN NICOLÁS")</f>
        <v>SAN NICOLÁS</v>
      </c>
      <c r="Q533" s="30" t="str">
        <f ca="1">IFERROR(__xludf.DUMMYFUNCTION("""COMPUTED_VALUE"""),"-33.3727624")</f>
        <v>-33.3727624</v>
      </c>
      <c r="R533" s="30" t="str">
        <f ca="1">IFERROR(__xludf.DUMMYFUNCTION("""COMPUTED_VALUE"""),"-60.1939545")</f>
        <v>-60.1939545</v>
      </c>
      <c r="S533" s="30" t="str">
        <f ca="1">IFERROR(__xludf.DUMMYFUNCTION("""COMPUTED_VALUE"""),"Municipal")</f>
        <v>Municipal</v>
      </c>
      <c r="T533" s="30" t="str">
        <f ca="1">IFERROR(__xludf.DUMMYFUNCTION("""COMPUTED_VALUE"""),"SAN NICOLÁS")</f>
        <v>SAN NICOLÁS</v>
      </c>
    </row>
    <row r="534" spans="1:20" ht="15.75" customHeight="1" x14ac:dyDescent="0.25">
      <c r="A534" s="30" t="str">
        <f ca="1">IFERROR(__xludf.DUMMYFUNCTION("""COMPUTED_VALUE"""),"CI50068402202994")</f>
        <v>CI50068402202994</v>
      </c>
      <c r="B534" s="30" t="str">
        <f ca="1">IFERROR(__xludf.DUMMYFUNCTION("""COMPUTED_VALUE"""),"CIC Santo Domingo - QUILMES")</f>
        <v>CIC Santo Domingo - QUILMES</v>
      </c>
      <c r="C534" s="30" t="str">
        <f ca="1">IFERROR(__xludf.DUMMYFUNCTION("""COMPUTED_VALUE"""),"Buenos Aires")</f>
        <v>Buenos Aires</v>
      </c>
      <c r="D534" s="30" t="str">
        <f ca="1">IFERROR(__xludf.DUMMYFUNCTION("""COMPUTED_VALUE"""),"6")</f>
        <v>6</v>
      </c>
      <c r="E534" s="30" t="str">
        <f ca="1">IFERROR(__xludf.DUMMYFUNCTION("""COMPUTED_VALUE"""),"")</f>
        <v/>
      </c>
      <c r="F534" s="30" t="str">
        <f ca="1">IFERROR(__xludf.DUMMYFUNCTION("""COMPUTED_VALUE"""),"50067632201459")</f>
        <v>50067632201459</v>
      </c>
      <c r="G534" s="29"/>
      <c r="H534" s="30" t="str">
        <f ca="1">IFERROR(__xludf.DUMMYFUNCTION("""COMPUTED_VALUE"""),"inactivo")</f>
        <v>inactivo</v>
      </c>
      <c r="I534" s="30" t="str">
        <f ca="1">IFERROR(__xludf.DUMMYFUNCTION("""COMPUTED_VALUE"""),"Este efector cambió su CI a REFES: 50066582219993")</f>
        <v>Este efector cambió su CI a REFES: 50066582219993</v>
      </c>
      <c r="J534" s="29"/>
      <c r="K534" s="29"/>
      <c r="L534" s="30" t="str">
        <f ca="1">IFERROR(__xludf.DUMMYFUNCTION("""COMPUTED_VALUE"""),"No")</f>
        <v>No</v>
      </c>
      <c r="M534" s="30" t="str">
        <f ca="1">IFERROR(__xludf.DUMMYFUNCTION("""COMPUTED_VALUE"""),"#N/A")</f>
        <v>#N/A</v>
      </c>
      <c r="N534" s="30" t="str">
        <f ca="1">IFERROR(__xludf.DUMMYFUNCTION("""COMPUTED_VALUE"""),"#N/A")</f>
        <v>#N/A</v>
      </c>
      <c r="O534" s="30" t="str">
        <f ca="1">IFERROR(__xludf.DUMMYFUNCTION("""COMPUTED_VALUE"""),"#N/A")</f>
        <v>#N/A</v>
      </c>
      <c r="P534" s="30" t="str">
        <f ca="1">IFERROR(__xludf.DUMMYFUNCTION("""COMPUTED_VALUE"""),"QUILMES")</f>
        <v>QUILMES</v>
      </c>
      <c r="Q534" s="30" t="str">
        <f ca="1">IFERROR(__xludf.DUMMYFUNCTION("""COMPUTED_VALUE"""),"#N/A")</f>
        <v>#N/A</v>
      </c>
      <c r="R534" s="30" t="str">
        <f ca="1">IFERROR(__xludf.DUMMYFUNCTION("""COMPUTED_VALUE"""),"#N/A")</f>
        <v>#N/A</v>
      </c>
      <c r="S534" s="30" t="str">
        <f ca="1">IFERROR(__xludf.DUMMYFUNCTION("""COMPUTED_VALUE"""),"#N/A")</f>
        <v>#N/A</v>
      </c>
      <c r="T534" s="30" t="str">
        <f ca="1">IFERROR(__xludf.DUMMYFUNCTION("""COMPUTED_VALUE"""),"QUILMES")</f>
        <v>QUILMES</v>
      </c>
    </row>
    <row r="535" spans="1:20" ht="15.75" customHeight="1" x14ac:dyDescent="0.25">
      <c r="A535" s="30" t="str">
        <f ca="1">IFERROR(__xludf.DUMMYFUNCTION("""COMPUTED_VALUE"""),"50067632202077")</f>
        <v>50067632202077</v>
      </c>
      <c r="B535" s="30" t="str">
        <f ca="1">IFERROR(__xludf.DUMMYFUNCTION("""COMPUTED_VALUE"""),"UNIDAD SANITARIA BARRIO ASONIA")</f>
        <v>UNIDAD SANITARIA BARRIO ASONIA</v>
      </c>
      <c r="C535" s="30" t="str">
        <f ca="1">IFERROR(__xludf.DUMMYFUNCTION("""COMPUTED_VALUE"""),"Buenos Aires")</f>
        <v>Buenos Aires</v>
      </c>
      <c r="D535" s="30" t="str">
        <f ca="1">IFERROR(__xludf.DUMMYFUNCTION("""COMPUTED_VALUE"""),"6")</f>
        <v>6</v>
      </c>
      <c r="E535" s="30" t="str">
        <f ca="1">IFERROR(__xludf.DUMMYFUNCTION("""COMPUTED_VALUE"""),"")</f>
        <v/>
      </c>
      <c r="F535" s="29"/>
      <c r="G535" s="29"/>
      <c r="H535" s="30" t="str">
        <f ca="1">IFERROR(__xludf.DUMMYFUNCTION("""COMPUTED_VALUE"""),"activo")</f>
        <v>activo</v>
      </c>
      <c r="I535" s="30" t="str">
        <f ca="1">IFERROR(__xludf.DUMMYFUNCTION("""COMPUTED_VALUE"""),"circular 2")</f>
        <v>circular 2</v>
      </c>
      <c r="J535" s="29"/>
      <c r="K535" s="29"/>
      <c r="L535" s="30" t="str">
        <f ca="1">IFERROR(__xludf.DUMMYFUNCTION("""COMPUTED_VALUE"""),"No")</f>
        <v>No</v>
      </c>
      <c r="M535" s="30" t="str">
        <f ca="1">IFERROR(__xludf.DUMMYFUNCTION("""COMPUTED_VALUE"""),"6763050002")</f>
        <v>6763050002</v>
      </c>
      <c r="N535" s="30" t="str">
        <f ca="1">IFERROR(__xludf.DUMMYFUNCTION("""COMPUTED_VALUE"""),"SAN NICOLAS DE LOS ARROYOS")</f>
        <v>SAN NICOLAS DE LOS ARROYOS</v>
      </c>
      <c r="O535" s="30" t="str">
        <f ca="1">IFERROR(__xludf.DUMMYFUNCTION("""COMPUTED_VALUE"""),"6763")</f>
        <v>6763</v>
      </c>
      <c r="P535" s="30" t="str">
        <f ca="1">IFERROR(__xludf.DUMMYFUNCTION("""COMPUTED_VALUE"""),"SAN NICOLÁS")</f>
        <v>SAN NICOLÁS</v>
      </c>
      <c r="Q535" s="30" t="str">
        <f ca="1">IFERROR(__xludf.DUMMYFUNCTION("""COMPUTED_VALUE"""),"-33.33202434")</f>
        <v>-33.33202434</v>
      </c>
      <c r="R535" s="30" t="str">
        <f ca="1">IFERROR(__xludf.DUMMYFUNCTION("""COMPUTED_VALUE"""),"-60.24037385")</f>
        <v>-60.24037385</v>
      </c>
      <c r="S535" s="30" t="str">
        <f ca="1">IFERROR(__xludf.DUMMYFUNCTION("""COMPUTED_VALUE"""),"Municipal")</f>
        <v>Municipal</v>
      </c>
      <c r="T535" s="30" t="str">
        <f ca="1">IFERROR(__xludf.DUMMYFUNCTION("""COMPUTED_VALUE"""),"SAN NICOLÁS")</f>
        <v>SAN NICOLÁS</v>
      </c>
    </row>
    <row r="536" spans="1:20" ht="15.75" customHeight="1" x14ac:dyDescent="0.25">
      <c r="A536" s="30" t="str">
        <f ca="1">IFERROR(__xludf.DUMMYFUNCTION("""COMPUTED_VALUE"""),"50067702201530")</f>
        <v>50067702201530</v>
      </c>
      <c r="B536" s="30" t="str">
        <f ca="1">IFERROR(__xludf.DUMMYFUNCTION("""COMPUTED_VALUE"""),"CIC SAN PEDRO")</f>
        <v>CIC SAN PEDRO</v>
      </c>
      <c r="C536" s="30" t="str">
        <f ca="1">IFERROR(__xludf.DUMMYFUNCTION("""COMPUTED_VALUE"""),"Buenos Aires")</f>
        <v>Buenos Aires</v>
      </c>
      <c r="D536" s="30" t="str">
        <f ca="1">IFERROR(__xludf.DUMMYFUNCTION("""COMPUTED_VALUE"""),"6")</f>
        <v>6</v>
      </c>
      <c r="E536" s="30" t="str">
        <f ca="1">IFERROR(__xludf.DUMMYFUNCTION("""COMPUTED_VALUE"""),"si")</f>
        <v>si</v>
      </c>
      <c r="F536" s="29"/>
      <c r="G536" s="29"/>
      <c r="H536" s="30" t="str">
        <f ca="1">IFERROR(__xludf.DUMMYFUNCTION("""COMPUTED_VALUE"""),"activo")</f>
        <v>activo</v>
      </c>
      <c r="I536" s="30" t="str">
        <f ca="1">IFERROR(__xludf.DUMMYFUNCTION("""COMPUTED_VALUE"""),"circular 2")</f>
        <v>circular 2</v>
      </c>
      <c r="J536" s="29"/>
      <c r="K536" s="29"/>
      <c r="L536" s="30" t="str">
        <f ca="1">IFERROR(__xludf.DUMMYFUNCTION("""COMPUTED_VALUE"""),"No")</f>
        <v>No</v>
      </c>
      <c r="M536" s="30" t="str">
        <f ca="1">IFERROR(__xludf.DUMMYFUNCTION("""COMPUTED_VALUE"""),"6770050000")</f>
        <v>6770050000</v>
      </c>
      <c r="N536" s="30" t="str">
        <f ca="1">IFERROR(__xludf.DUMMYFUNCTION("""COMPUTED_VALUE"""),"SAN PEDRO")</f>
        <v>SAN PEDRO</v>
      </c>
      <c r="O536" s="30" t="str">
        <f ca="1">IFERROR(__xludf.DUMMYFUNCTION("""COMPUTED_VALUE"""),"6770")</f>
        <v>6770</v>
      </c>
      <c r="P536" s="30" t="str">
        <f ca="1">IFERROR(__xludf.DUMMYFUNCTION("""COMPUTED_VALUE"""),"SAN PEDRO")</f>
        <v>SAN PEDRO</v>
      </c>
      <c r="Q536" s="30" t="str">
        <f ca="1">IFERROR(__xludf.DUMMYFUNCTION("""COMPUTED_VALUE"""),"-33.6806326")</f>
        <v>-33.6806326</v>
      </c>
      <c r="R536" s="30" t="str">
        <f ca="1">IFERROR(__xludf.DUMMYFUNCTION("""COMPUTED_VALUE"""),"-59.6843316")</f>
        <v>-59.6843316</v>
      </c>
      <c r="S536" s="30" t="str">
        <f ca="1">IFERROR(__xludf.DUMMYFUNCTION("""COMPUTED_VALUE"""),"Municipal")</f>
        <v>Municipal</v>
      </c>
      <c r="T536" s="30" t="str">
        <f ca="1">IFERROR(__xludf.DUMMYFUNCTION("""COMPUTED_VALUE"""),"SAN PEDRO")</f>
        <v>SAN PEDRO</v>
      </c>
    </row>
    <row r="537" spans="1:20" ht="15.75" customHeight="1" x14ac:dyDescent="0.25">
      <c r="A537" s="30" t="str">
        <f ca="1">IFERROR(__xludf.DUMMYFUNCTION("""COMPUTED_VALUE"""),"50067782201993")</f>
        <v>50067782201993</v>
      </c>
      <c r="B537" s="30" t="str">
        <f ca="1">IFERROR(__xludf.DUMMYFUNCTION("""COMPUTED_VALUE"""),"UNIDAD SANITARIA ALEJANDRO KORN (CONSULTORIO DE PEDIATRIA)")</f>
        <v>UNIDAD SANITARIA ALEJANDRO KORN (CONSULTORIO DE PEDIATRIA)</v>
      </c>
      <c r="C537" s="30" t="str">
        <f ca="1">IFERROR(__xludf.DUMMYFUNCTION("""COMPUTED_VALUE"""),"Buenos Aires")</f>
        <v>Buenos Aires</v>
      </c>
      <c r="D537" s="30" t="str">
        <f ca="1">IFERROR(__xludf.DUMMYFUNCTION("""COMPUTED_VALUE"""),"6")</f>
        <v>6</v>
      </c>
      <c r="E537" s="30" t="str">
        <f ca="1">IFERROR(__xludf.DUMMYFUNCTION("""COMPUTED_VALUE"""),"")</f>
        <v/>
      </c>
      <c r="F537" s="29"/>
      <c r="G537" s="29"/>
      <c r="H537" s="30" t="str">
        <f ca="1">IFERROR(__xludf.DUMMYFUNCTION("""COMPUTED_VALUE"""),"activo")</f>
        <v>activo</v>
      </c>
      <c r="I537" s="30" t="str">
        <f ca="1">IFERROR(__xludf.DUMMYFUNCTION("""COMPUTED_VALUE"""),"circular 2")</f>
        <v>circular 2</v>
      </c>
      <c r="J537" s="29"/>
      <c r="K537" s="29"/>
      <c r="L537" s="30" t="str">
        <f ca="1">IFERROR(__xludf.DUMMYFUNCTION("""COMPUTED_VALUE"""),"No")</f>
        <v>No</v>
      </c>
      <c r="M537" s="30" t="str">
        <f ca="1">IFERROR(__xludf.DUMMYFUNCTION("""COMPUTED_VALUE"""),"6778020001")</f>
        <v>6778020001</v>
      </c>
      <c r="N537" s="30" t="str">
        <f ca="1">IFERROR(__xludf.DUMMYFUNCTION("""COMPUTED_VALUE"""),"ALEJANDRO KORN")</f>
        <v>ALEJANDRO KORN</v>
      </c>
      <c r="O537" s="30" t="str">
        <f ca="1">IFERROR(__xludf.DUMMYFUNCTION("""COMPUTED_VALUE"""),"6778")</f>
        <v>6778</v>
      </c>
      <c r="P537" s="30" t="str">
        <f ca="1">IFERROR(__xludf.DUMMYFUNCTION("""COMPUTED_VALUE"""),"SAN VICENTE")</f>
        <v>SAN VICENTE</v>
      </c>
      <c r="Q537" s="30" t="str">
        <f ca="1">IFERROR(__xludf.DUMMYFUNCTION("""COMPUTED_VALUE"""),"-34.98465943")</f>
        <v>-34.98465943</v>
      </c>
      <c r="R537" s="30" t="str">
        <f ca="1">IFERROR(__xludf.DUMMYFUNCTION("""COMPUTED_VALUE"""),"-58.38117385")</f>
        <v>-58.38117385</v>
      </c>
      <c r="S537" s="30" t="str">
        <f ca="1">IFERROR(__xludf.DUMMYFUNCTION("""COMPUTED_VALUE"""),"Municipal")</f>
        <v>Municipal</v>
      </c>
      <c r="T537" s="30" t="str">
        <f ca="1">IFERROR(__xludf.DUMMYFUNCTION("""COMPUTED_VALUE"""),"SAN VICENTE")</f>
        <v>SAN VICENTE</v>
      </c>
    </row>
    <row r="538" spans="1:20" ht="15.75" customHeight="1" x14ac:dyDescent="0.25">
      <c r="A538" s="30" t="str">
        <f ca="1">IFERROR(__xludf.DUMMYFUNCTION("""COMPUTED_VALUE"""),"50067782202811")</f>
        <v>50067782202811</v>
      </c>
      <c r="B538" s="30" t="str">
        <f ca="1">IFERROR(__xludf.DUMMYFUNCTION("""COMPUTED_VALUE"""),"UNIDAD SANITARIA SANTA CLARA")</f>
        <v>UNIDAD SANITARIA SANTA CLARA</v>
      </c>
      <c r="C538" s="30" t="str">
        <f ca="1">IFERROR(__xludf.DUMMYFUNCTION("""COMPUTED_VALUE"""),"Buenos Aires")</f>
        <v>Buenos Aires</v>
      </c>
      <c r="D538" s="30" t="str">
        <f ca="1">IFERROR(__xludf.DUMMYFUNCTION("""COMPUTED_VALUE"""),"6")</f>
        <v>6</v>
      </c>
      <c r="E538" s="30" t="str">
        <f ca="1">IFERROR(__xludf.DUMMYFUNCTION("""COMPUTED_VALUE"""),"")</f>
        <v/>
      </c>
      <c r="F538" s="29"/>
      <c r="G538" s="29"/>
      <c r="H538" s="30" t="str">
        <f ca="1">IFERROR(__xludf.DUMMYFUNCTION("""COMPUTED_VALUE"""),"activo")</f>
        <v>activo</v>
      </c>
      <c r="I538" s="30" t="str">
        <f ca="1">IFERROR(__xludf.DUMMYFUNCTION("""COMPUTED_VALUE"""),"circular 2")</f>
        <v>circular 2</v>
      </c>
      <c r="J538" s="29"/>
      <c r="K538" s="29"/>
      <c r="L538" s="30" t="str">
        <f ca="1">IFERROR(__xludf.DUMMYFUNCTION("""COMPUTED_VALUE"""),"No")</f>
        <v>No</v>
      </c>
      <c r="M538" s="30" t="str">
        <f ca="1">IFERROR(__xludf.DUMMYFUNCTION("""COMPUTED_VALUE"""),"6778020003")</f>
        <v>6778020003</v>
      </c>
      <c r="N538" s="30" t="str">
        <f ca="1">IFERROR(__xludf.DUMMYFUNCTION("""COMPUTED_VALUE"""),"DOMSELAAR")</f>
        <v>DOMSELAAR</v>
      </c>
      <c r="O538" s="30" t="str">
        <f ca="1">IFERROR(__xludf.DUMMYFUNCTION("""COMPUTED_VALUE"""),"6778")</f>
        <v>6778</v>
      </c>
      <c r="P538" s="30" t="str">
        <f ca="1">IFERROR(__xludf.DUMMYFUNCTION("""COMPUTED_VALUE"""),"SAN VICENTE")</f>
        <v>SAN VICENTE</v>
      </c>
      <c r="Q538" s="30" t="str">
        <f ca="1">IFERROR(__xludf.DUMMYFUNCTION("""COMPUTED_VALUE"""),"-35.076468")</f>
        <v>-35.076468</v>
      </c>
      <c r="R538" s="30" t="str">
        <f ca="1">IFERROR(__xludf.DUMMYFUNCTION("""COMPUTED_VALUE"""),"-58.294001")</f>
        <v>-58.294001</v>
      </c>
      <c r="S538" s="30" t="str">
        <f ca="1">IFERROR(__xludf.DUMMYFUNCTION("""COMPUTED_VALUE"""),"Municipal")</f>
        <v>Municipal</v>
      </c>
      <c r="T538" s="30" t="str">
        <f ca="1">IFERROR(__xludf.DUMMYFUNCTION("""COMPUTED_VALUE"""),"SAN VICENTE")</f>
        <v>SAN VICENTE</v>
      </c>
    </row>
    <row r="539" spans="1:20" ht="15.75" customHeight="1" x14ac:dyDescent="0.25">
      <c r="A539" s="30" t="str">
        <f ca="1">IFERROR(__xludf.DUMMYFUNCTION("""COMPUTED_VALUE"""),"50068192201920")</f>
        <v>50068192201920</v>
      </c>
      <c r="B539" s="30" t="str">
        <f ca="1">IFERROR(__xludf.DUMMYFUNCTION("""COMPUTED_VALUE"""),"SALA DR. DANTE BERRETTINI")</f>
        <v>SALA DR. DANTE BERRETTINI</v>
      </c>
      <c r="C539" s="30" t="str">
        <f ca="1">IFERROR(__xludf.DUMMYFUNCTION("""COMPUTED_VALUE"""),"Buenos Aires")</f>
        <v>Buenos Aires</v>
      </c>
      <c r="D539" s="30" t="str">
        <f ca="1">IFERROR(__xludf.DUMMYFUNCTION("""COMPUTED_VALUE"""),"6")</f>
        <v>6</v>
      </c>
      <c r="E539" s="30" t="str">
        <f ca="1">IFERROR(__xludf.DUMMYFUNCTION("""COMPUTED_VALUE"""),"")</f>
        <v/>
      </c>
      <c r="F539" s="29"/>
      <c r="G539" s="30" t="str">
        <f ca="1">IFERROR(__xludf.DUMMYFUNCTION("""COMPUTED_VALUE"""),"50068402202549")</f>
        <v>50068402202549</v>
      </c>
      <c r="H539" s="30" t="str">
        <f ca="1">IFERROR(__xludf.DUMMYFUNCTION("""COMPUTED_VALUE"""),"inactivo")</f>
        <v>inactivo</v>
      </c>
      <c r="I539" s="30" t="str">
        <f ca="1">IFERROR(__xludf.DUMMYFUNCTION("""COMPUTED_VALUE"""),"circular 2")</f>
        <v>circular 2</v>
      </c>
      <c r="J539" s="29"/>
      <c r="K539" s="29"/>
      <c r="L539" s="30" t="str">
        <f ca="1">IFERROR(__xludf.DUMMYFUNCTION("""COMPUTED_VALUE"""),"No")</f>
        <v>No</v>
      </c>
      <c r="M539" s="30" t="str">
        <f ca="1">IFERROR(__xludf.DUMMYFUNCTION("""COMPUTED_VALUE"""),"6819040000")</f>
        <v>6819040000</v>
      </c>
      <c r="N539" s="30" t="str">
        <f ca="1">IFERROR(__xludf.DUMMYFUNCTION("""COMPUTED_VALUE"""),"TORNQUIST")</f>
        <v>TORNQUIST</v>
      </c>
      <c r="O539" s="30" t="str">
        <f ca="1">IFERROR(__xludf.DUMMYFUNCTION("""COMPUTED_VALUE"""),"6819")</f>
        <v>6819</v>
      </c>
      <c r="P539" s="30" t="str">
        <f ca="1">IFERROR(__xludf.DUMMYFUNCTION("""COMPUTED_VALUE"""),"TORNQUIST")</f>
        <v>TORNQUIST</v>
      </c>
      <c r="Q539" s="30" t="str">
        <f ca="1">IFERROR(__xludf.DUMMYFUNCTION("""COMPUTED_VALUE"""),"-38.10049597")</f>
        <v>-38.10049597</v>
      </c>
      <c r="R539" s="30" t="str">
        <f ca="1">IFERROR(__xludf.DUMMYFUNCTION("""COMPUTED_VALUE"""),"-62.22374725")</f>
        <v>-62.22374725</v>
      </c>
      <c r="S539" s="30" t="str">
        <f ca="1">IFERROR(__xludf.DUMMYFUNCTION("""COMPUTED_VALUE"""),"Municipal")</f>
        <v>Municipal</v>
      </c>
      <c r="T539" s="30" t="str">
        <f ca="1">IFERROR(__xludf.DUMMYFUNCTION("""COMPUTED_VALUE"""),"TORNQUIST")</f>
        <v>TORNQUIST</v>
      </c>
    </row>
    <row r="540" spans="1:20" ht="15.75" customHeight="1" x14ac:dyDescent="0.25">
      <c r="A540" s="30" t="str">
        <f ca="1">IFERROR(__xludf.DUMMYFUNCTION("""COMPUTED_VALUE"""),"50068402202549")</f>
        <v>50068402202549</v>
      </c>
      <c r="B540" s="30" t="str">
        <f ca="1">IFERROR(__xludf.DUMMYFUNCTION("""COMPUTED_VALUE"""),"UNIDAD SANITARIA N° 2 DE JOSE INGENIEROS")</f>
        <v>UNIDAD SANITARIA N° 2 DE JOSE INGENIEROS</v>
      </c>
      <c r="C540" s="30" t="str">
        <f ca="1">IFERROR(__xludf.DUMMYFUNCTION("""COMPUTED_VALUE"""),"Buenos Aires")</f>
        <v>Buenos Aires</v>
      </c>
      <c r="D540" s="30" t="str">
        <f ca="1">IFERROR(__xludf.DUMMYFUNCTION("""COMPUTED_VALUE"""),"6")</f>
        <v>6</v>
      </c>
      <c r="E540" s="30" t="str">
        <f ca="1">IFERROR(__xludf.DUMMYFUNCTION("""COMPUTED_VALUE"""),"")</f>
        <v/>
      </c>
      <c r="F540" s="30" t="str">
        <f ca="1">IFERROR(__xludf.DUMMYFUNCTION("""COMPUTED_VALUE"""),"50068192201920")</f>
        <v>50068192201920</v>
      </c>
      <c r="G540" s="29"/>
      <c r="H540" s="30" t="str">
        <f ca="1">IFERROR(__xludf.DUMMYFUNCTION("""COMPUTED_VALUE"""),"activo")</f>
        <v>activo</v>
      </c>
      <c r="I540" s="29"/>
      <c r="J540" s="29"/>
      <c r="K540" s="29"/>
      <c r="L540" s="30" t="str">
        <f ca="1">IFERROR(__xludf.DUMMYFUNCTION("""COMPUTED_VALUE"""),"No")</f>
        <v>No</v>
      </c>
      <c r="M540" s="30" t="str">
        <f ca="1">IFERROR(__xludf.DUMMYFUNCTION("""COMPUTED_VALUE"""),"6840010006")</f>
        <v>6840010006</v>
      </c>
      <c r="N540" s="30" t="str">
        <f ca="1">IFERROR(__xludf.DUMMYFUNCTION("""COMPUTED_VALUE"""),"JOSE INGENIEROS")</f>
        <v>JOSE INGENIEROS</v>
      </c>
      <c r="O540" s="30" t="str">
        <f ca="1">IFERROR(__xludf.DUMMYFUNCTION("""COMPUTED_VALUE"""),"6840")</f>
        <v>6840</v>
      </c>
      <c r="P540" s="30" t="str">
        <f ca="1">IFERROR(__xludf.DUMMYFUNCTION("""COMPUTED_VALUE"""),"TRES DE FEBRERO")</f>
        <v>TRES DE FEBRERO</v>
      </c>
      <c r="Q540" s="30" t="str">
        <f ca="1">IFERROR(__xludf.DUMMYFUNCTION("""COMPUTED_VALUE"""),"-34.6172093")</f>
        <v>-34.6172093</v>
      </c>
      <c r="R540" s="30" t="str">
        <f ca="1">IFERROR(__xludf.DUMMYFUNCTION("""COMPUTED_VALUE"""),"-58.5413928")</f>
        <v>-58.5413928</v>
      </c>
      <c r="S540" s="30" t="str">
        <f ca="1">IFERROR(__xludf.DUMMYFUNCTION("""COMPUTED_VALUE"""),"Municipal")</f>
        <v>Municipal</v>
      </c>
      <c r="T540" s="30" t="str">
        <f ca="1">IFERROR(__xludf.DUMMYFUNCTION("""COMPUTED_VALUE"""),"TRES DE FEBRERO")</f>
        <v>TRES DE FEBRERO</v>
      </c>
    </row>
    <row r="541" spans="1:20" ht="15.75" customHeight="1" x14ac:dyDescent="0.25">
      <c r="A541" s="30" t="str">
        <f ca="1">IFERROR(__xludf.DUMMYFUNCTION("""COMPUTED_VALUE"""),"50068262202111")</f>
        <v>50068262202111</v>
      </c>
      <c r="B541" s="30" t="str">
        <f ca="1">IFERROR(__xludf.DUMMYFUNCTION("""COMPUTED_VALUE"""),"UNIDAD SANITARIA AMEGHINO BARRIO NOROESTE")</f>
        <v>UNIDAD SANITARIA AMEGHINO BARRIO NOROESTE</v>
      </c>
      <c r="C541" s="30" t="str">
        <f ca="1">IFERROR(__xludf.DUMMYFUNCTION("""COMPUTED_VALUE"""),"Buenos Aires")</f>
        <v>Buenos Aires</v>
      </c>
      <c r="D541" s="30" t="str">
        <f ca="1">IFERROR(__xludf.DUMMYFUNCTION("""COMPUTED_VALUE"""),"6")</f>
        <v>6</v>
      </c>
      <c r="E541" s="30" t="str">
        <f ca="1">IFERROR(__xludf.DUMMYFUNCTION("""COMPUTED_VALUE"""),"")</f>
        <v/>
      </c>
      <c r="F541" s="29"/>
      <c r="G541" s="29"/>
      <c r="H541" s="30" t="str">
        <f ca="1">IFERROR(__xludf.DUMMYFUNCTION("""COMPUTED_VALUE"""),"inactivo")</f>
        <v>inactivo</v>
      </c>
      <c r="I541" s="30" t="str">
        <f ca="1">IFERROR(__xludf.DUMMYFUNCTION("""COMPUTED_VALUE"""),"circular 2")</f>
        <v>circular 2</v>
      </c>
      <c r="J541" s="29"/>
      <c r="K541" s="29"/>
      <c r="L541" s="30" t="str">
        <f ca="1">IFERROR(__xludf.DUMMYFUNCTION("""COMPUTED_VALUE"""),"No")</f>
        <v>No</v>
      </c>
      <c r="M541" s="30" t="str">
        <f ca="1">IFERROR(__xludf.DUMMYFUNCTION("""COMPUTED_VALUE"""),"6826050000")</f>
        <v>6826050000</v>
      </c>
      <c r="N541" s="30" t="str">
        <f ca="1">IFERROR(__xludf.DUMMYFUNCTION("""COMPUTED_VALUE"""),"TRENQUE LAUQUEN")</f>
        <v>TRENQUE LAUQUEN</v>
      </c>
      <c r="O541" s="30" t="str">
        <f ca="1">IFERROR(__xludf.DUMMYFUNCTION("""COMPUTED_VALUE"""),"6826")</f>
        <v>6826</v>
      </c>
      <c r="P541" s="30" t="str">
        <f ca="1">IFERROR(__xludf.DUMMYFUNCTION("""COMPUTED_VALUE"""),"TRENQUE LAUQUEN")</f>
        <v>TRENQUE LAUQUEN</v>
      </c>
      <c r="Q541" s="30" t="str">
        <f ca="1">IFERROR(__xludf.DUMMYFUNCTION("""COMPUTED_VALUE"""),"-35.9636359")</f>
        <v>-35.9636359</v>
      </c>
      <c r="R541" s="30" t="str">
        <f ca="1">IFERROR(__xludf.DUMMYFUNCTION("""COMPUTED_VALUE"""),"-62.7444379")</f>
        <v>-62.7444379</v>
      </c>
      <c r="S541" s="30" t="str">
        <f ca="1">IFERROR(__xludf.DUMMYFUNCTION("""COMPUTED_VALUE"""),"Municipal")</f>
        <v>Municipal</v>
      </c>
      <c r="T541" s="30" t="str">
        <f ca="1">IFERROR(__xludf.DUMMYFUNCTION("""COMPUTED_VALUE"""),"TRENQUE LAUQUEN")</f>
        <v>TRENQUE LAUQUEN</v>
      </c>
    </row>
    <row r="542" spans="1:20" ht="15.75" customHeight="1" x14ac:dyDescent="0.25">
      <c r="A542" s="30" t="str">
        <f ca="1">IFERROR(__xludf.DUMMYFUNCTION("""COMPUTED_VALUE"""),"50068262206954")</f>
        <v>50068262206954</v>
      </c>
      <c r="B542" s="30" t="str">
        <f ca="1">IFERROR(__xludf.DUMMYFUNCTION("""COMPUTED_VALUE"""),"CENTRO DE SALUD RAMON CARRILLO")</f>
        <v>CENTRO DE SALUD RAMON CARRILLO</v>
      </c>
      <c r="C542" s="30" t="str">
        <f ca="1">IFERROR(__xludf.DUMMYFUNCTION("""COMPUTED_VALUE"""),"Buenos Aires")</f>
        <v>Buenos Aires</v>
      </c>
      <c r="D542" s="30" t="str">
        <f ca="1">IFERROR(__xludf.DUMMYFUNCTION("""COMPUTED_VALUE"""),"6")</f>
        <v>6</v>
      </c>
      <c r="E542" s="30" t="str">
        <f ca="1">IFERROR(__xludf.DUMMYFUNCTION("""COMPUTED_VALUE"""),"")</f>
        <v/>
      </c>
      <c r="F542" s="29"/>
      <c r="G542" s="29"/>
      <c r="H542" s="30" t="str">
        <f ca="1">IFERROR(__xludf.DUMMYFUNCTION("""COMPUTED_VALUE"""),"inactivo")</f>
        <v>inactivo</v>
      </c>
      <c r="I542" s="30" t="str">
        <f ca="1">IFERROR(__xludf.DUMMYFUNCTION("""COMPUTED_VALUE"""),"circular 2//  Se dio de baja mediante nota enviada el 31-3-2022")</f>
        <v>circular 2//  Se dio de baja mediante nota enviada el 31-3-2022</v>
      </c>
      <c r="J542" s="29"/>
      <c r="K542" s="29"/>
      <c r="L542" s="30" t="str">
        <f ca="1">IFERROR(__xludf.DUMMYFUNCTION("""COMPUTED_VALUE"""),"No")</f>
        <v>No</v>
      </c>
      <c r="M542" s="30" t="str">
        <f ca="1">IFERROR(__xludf.DUMMYFUNCTION("""COMPUTED_VALUE"""),"6826050000")</f>
        <v>6826050000</v>
      </c>
      <c r="N542" s="30" t="str">
        <f ca="1">IFERROR(__xludf.DUMMYFUNCTION("""COMPUTED_VALUE"""),"TRENQUE LAUQUEN")</f>
        <v>TRENQUE LAUQUEN</v>
      </c>
      <c r="O542" s="30" t="str">
        <f ca="1">IFERROR(__xludf.DUMMYFUNCTION("""COMPUTED_VALUE"""),"6826")</f>
        <v>6826</v>
      </c>
      <c r="P542" s="30" t="str">
        <f ca="1">IFERROR(__xludf.DUMMYFUNCTION("""COMPUTED_VALUE"""),"TRENQUE LAUQUEN")</f>
        <v>TRENQUE LAUQUEN</v>
      </c>
      <c r="Q542" s="30" t="str">
        <f ca="1">IFERROR(__xludf.DUMMYFUNCTION("""COMPUTED_VALUE"""),"-35.96042705")</f>
        <v>-35.96042705</v>
      </c>
      <c r="R542" s="30" t="str">
        <f ca="1">IFERROR(__xludf.DUMMYFUNCTION("""COMPUTED_VALUE"""),"-62.72178411")</f>
        <v>-62.72178411</v>
      </c>
      <c r="S542" s="30" t="str">
        <f ca="1">IFERROR(__xludf.DUMMYFUNCTION("""COMPUTED_VALUE"""),"Municipal")</f>
        <v>Municipal</v>
      </c>
      <c r="T542" s="30" t="str">
        <f ca="1">IFERROR(__xludf.DUMMYFUNCTION("""COMPUTED_VALUE"""),"TRENQUE LAUQUEN")</f>
        <v>TRENQUE LAUQUEN</v>
      </c>
    </row>
    <row r="543" spans="1:20" ht="15.75" customHeight="1" x14ac:dyDescent="0.25">
      <c r="A543" s="30" t="str">
        <f ca="1">IFERROR(__xludf.DUMMYFUNCTION("""COMPUTED_VALUE"""),"50068262202093")</f>
        <v>50068262202093</v>
      </c>
      <c r="B543" s="30" t="str">
        <f ca="1">IFERROR(__xludf.DUMMYFUNCTION("""COMPUTED_VALUE"""),"UNIDAD SANITARIA BARRIO INDIO TROMPA Y ESPERANZA")</f>
        <v>UNIDAD SANITARIA BARRIO INDIO TROMPA Y ESPERANZA</v>
      </c>
      <c r="C543" s="30" t="str">
        <f ca="1">IFERROR(__xludf.DUMMYFUNCTION("""COMPUTED_VALUE"""),"Buenos Aires")</f>
        <v>Buenos Aires</v>
      </c>
      <c r="D543" s="30" t="str">
        <f ca="1">IFERROR(__xludf.DUMMYFUNCTION("""COMPUTED_VALUE"""),"6")</f>
        <v>6</v>
      </c>
      <c r="E543" s="30" t="str">
        <f ca="1">IFERROR(__xludf.DUMMYFUNCTION("""COMPUTED_VALUE"""),"")</f>
        <v/>
      </c>
      <c r="F543" s="29"/>
      <c r="G543" s="29"/>
      <c r="H543" s="30" t="str">
        <f ca="1">IFERROR(__xludf.DUMMYFUNCTION("""COMPUTED_VALUE"""),"inactivo")</f>
        <v>inactivo</v>
      </c>
      <c r="I543" s="30" t="str">
        <f ca="1">IFERROR(__xludf.DUMMYFUNCTION("""COMPUTED_VALUE"""),"circular 2//  Se dio de baja mediante nota enviada el 31-3-2022")</f>
        <v>circular 2//  Se dio de baja mediante nota enviada el 31-3-2022</v>
      </c>
      <c r="J543" s="29"/>
      <c r="K543" s="29"/>
      <c r="L543" s="30" t="str">
        <f ca="1">IFERROR(__xludf.DUMMYFUNCTION("""COMPUTED_VALUE"""),"No")</f>
        <v>No</v>
      </c>
      <c r="M543" s="30" t="str">
        <f ca="1">IFERROR(__xludf.DUMMYFUNCTION("""COMPUTED_VALUE"""),"6826050000")</f>
        <v>6826050000</v>
      </c>
      <c r="N543" s="30" t="str">
        <f ca="1">IFERROR(__xludf.DUMMYFUNCTION("""COMPUTED_VALUE"""),"TRENQUE LAUQUEN")</f>
        <v>TRENQUE LAUQUEN</v>
      </c>
      <c r="O543" s="30" t="str">
        <f ca="1">IFERROR(__xludf.DUMMYFUNCTION("""COMPUTED_VALUE"""),"6826")</f>
        <v>6826</v>
      </c>
      <c r="P543" s="30" t="str">
        <f ca="1">IFERROR(__xludf.DUMMYFUNCTION("""COMPUTED_VALUE"""),"TRENQUE LAUQUEN")</f>
        <v>TRENQUE LAUQUEN</v>
      </c>
      <c r="Q543" s="30" t="str">
        <f ca="1">IFERROR(__xludf.DUMMYFUNCTION("""COMPUTED_VALUE"""),"-35.98499507")</f>
        <v>-35.98499507</v>
      </c>
      <c r="R543" s="30" t="str">
        <f ca="1">IFERROR(__xludf.DUMMYFUNCTION("""COMPUTED_VALUE"""),"-62.73491621")</f>
        <v>-62.73491621</v>
      </c>
      <c r="S543" s="30" t="str">
        <f ca="1">IFERROR(__xludf.DUMMYFUNCTION("""COMPUTED_VALUE"""),"Municipal")</f>
        <v>Municipal</v>
      </c>
      <c r="T543" s="30" t="str">
        <f ca="1">IFERROR(__xludf.DUMMYFUNCTION("""COMPUTED_VALUE"""),"TRENQUE LAUQUEN")</f>
        <v>TRENQUE LAUQUEN</v>
      </c>
    </row>
    <row r="544" spans="1:20" ht="15.75" customHeight="1" x14ac:dyDescent="0.25">
      <c r="A544" s="30" t="str">
        <f ca="1">IFERROR(__xludf.DUMMYFUNCTION("""COMPUTED_VALUE"""),"50068332202759")</f>
        <v>50068332202759</v>
      </c>
      <c r="B544" s="30" t="str">
        <f ca="1">IFERROR(__xludf.DUMMYFUNCTION("""COMPUTED_VALUE"""),"SALA DE PRIMEROS AUXILIOS RUTA 3 SUR")</f>
        <v>SALA DE PRIMEROS AUXILIOS RUTA 3 SUR</v>
      </c>
      <c r="C544" s="30" t="str">
        <f ca="1">IFERROR(__xludf.DUMMYFUNCTION("""COMPUTED_VALUE"""),"Buenos Aires")</f>
        <v>Buenos Aires</v>
      </c>
      <c r="D544" s="30" t="str">
        <f ca="1">IFERROR(__xludf.DUMMYFUNCTION("""COMPUTED_VALUE"""),"6")</f>
        <v>6</v>
      </c>
      <c r="E544" s="30" t="str">
        <f ca="1">IFERROR(__xludf.DUMMYFUNCTION("""COMPUTED_VALUE"""),"")</f>
        <v/>
      </c>
      <c r="F544" s="29"/>
      <c r="G544" s="29"/>
      <c r="H544" s="30" t="str">
        <f ca="1">IFERROR(__xludf.DUMMYFUNCTION("""COMPUTED_VALUE"""),"inactivo")</f>
        <v>inactivo</v>
      </c>
      <c r="I544" s="30" t="str">
        <f ca="1">IFERROR(__xludf.DUMMYFUNCTION("""COMPUTED_VALUE"""),"circular 2//  Se dio de baja mediante nota enviada el 31-3-2022")</f>
        <v>circular 2//  Se dio de baja mediante nota enviada el 31-3-2022</v>
      </c>
      <c r="J544" s="29"/>
      <c r="K544" s="29"/>
      <c r="L544" s="30" t="str">
        <f ca="1">IFERROR(__xludf.DUMMYFUNCTION("""COMPUTED_VALUE"""),"No")</f>
        <v>No</v>
      </c>
      <c r="M544" s="30" t="str">
        <f ca="1">IFERROR(__xludf.DUMMYFUNCTION("""COMPUTED_VALUE"""),"6833100000")</f>
        <v>6833100000</v>
      </c>
      <c r="N544" s="30" t="str">
        <f ca="1">IFERROR(__xludf.DUMMYFUNCTION("""COMPUTED_VALUE"""),"TRES ARROYOS")</f>
        <v>TRES ARROYOS</v>
      </c>
      <c r="O544" s="30" t="str">
        <f ca="1">IFERROR(__xludf.DUMMYFUNCTION("""COMPUTED_VALUE"""),"6833")</f>
        <v>6833</v>
      </c>
      <c r="P544" s="30" t="str">
        <f ca="1">IFERROR(__xludf.DUMMYFUNCTION("""COMPUTED_VALUE"""),"TRES ARROYOS")</f>
        <v>TRES ARROYOS</v>
      </c>
      <c r="Q544" s="30" t="str">
        <f ca="1">IFERROR(__xludf.DUMMYFUNCTION("""COMPUTED_VALUE"""),"-38.3664918")</f>
        <v>-38.3664918</v>
      </c>
      <c r="R544" s="30" t="str">
        <f ca="1">IFERROR(__xludf.DUMMYFUNCTION("""COMPUTED_VALUE"""),"-60.2970815")</f>
        <v>-60.2970815</v>
      </c>
      <c r="S544" s="30" t="str">
        <f ca="1">IFERROR(__xludf.DUMMYFUNCTION("""COMPUTED_VALUE"""),"Municipal")</f>
        <v>Municipal</v>
      </c>
      <c r="T544" s="30" t="str">
        <f ca="1">IFERROR(__xludf.DUMMYFUNCTION("""COMPUTED_VALUE"""),"TRES ARROYOS")</f>
        <v>TRES ARROYOS</v>
      </c>
    </row>
    <row r="545" spans="1:20" ht="15.75" customHeight="1" x14ac:dyDescent="0.25">
      <c r="A545" s="30" t="str">
        <f ca="1">IFERROR(__xludf.DUMMYFUNCTION("""COMPUTED_VALUE"""),"50068332202297")</f>
        <v>50068332202297</v>
      </c>
      <c r="B545" s="30" t="str">
        <f ca="1">IFERROR(__xludf.DUMMYFUNCTION("""COMPUTED_VALUE"""),"UNIDAD SANITARIA FONAVI TERM. DE TRES ARROYOS")</f>
        <v>UNIDAD SANITARIA FONAVI TERM. DE TRES ARROYOS</v>
      </c>
      <c r="C545" s="30" t="str">
        <f ca="1">IFERROR(__xludf.DUMMYFUNCTION("""COMPUTED_VALUE"""),"Buenos Aires")</f>
        <v>Buenos Aires</v>
      </c>
      <c r="D545" s="30" t="str">
        <f ca="1">IFERROR(__xludf.DUMMYFUNCTION("""COMPUTED_VALUE"""),"6")</f>
        <v>6</v>
      </c>
      <c r="E545" s="30" t="str">
        <f ca="1">IFERROR(__xludf.DUMMYFUNCTION("""COMPUTED_VALUE"""),"")</f>
        <v/>
      </c>
      <c r="F545" s="29"/>
      <c r="G545" s="29"/>
      <c r="H545" s="30" t="str">
        <f ca="1">IFERROR(__xludf.DUMMYFUNCTION("""COMPUTED_VALUE"""),"inactivo")</f>
        <v>inactivo</v>
      </c>
      <c r="I545" s="30" t="str">
        <f ca="1">IFERROR(__xludf.DUMMYFUNCTION("""COMPUTED_VALUE"""),"circular 2//  Se dio de baja mediante nota enviada el 31-3-2022")</f>
        <v>circular 2//  Se dio de baja mediante nota enviada el 31-3-2022</v>
      </c>
      <c r="J545" s="29"/>
      <c r="K545" s="29"/>
      <c r="L545" s="30" t="str">
        <f ca="1">IFERROR(__xludf.DUMMYFUNCTION("""COMPUTED_VALUE"""),"No")</f>
        <v>No</v>
      </c>
      <c r="M545" s="30" t="str">
        <f ca="1">IFERROR(__xludf.DUMMYFUNCTION("""COMPUTED_VALUE"""),"6833100000")</f>
        <v>6833100000</v>
      </c>
      <c r="N545" s="30" t="str">
        <f ca="1">IFERROR(__xludf.DUMMYFUNCTION("""COMPUTED_VALUE"""),"TRES ARROYOS")</f>
        <v>TRES ARROYOS</v>
      </c>
      <c r="O545" s="30" t="str">
        <f ca="1">IFERROR(__xludf.DUMMYFUNCTION("""COMPUTED_VALUE"""),"6833")</f>
        <v>6833</v>
      </c>
      <c r="P545" s="30" t="str">
        <f ca="1">IFERROR(__xludf.DUMMYFUNCTION("""COMPUTED_VALUE"""),"TRES ARROYOS")</f>
        <v>TRES ARROYOS</v>
      </c>
      <c r="Q545" s="30" t="str">
        <f ca="1">IFERROR(__xludf.DUMMYFUNCTION("""COMPUTED_VALUE"""),"-38.36549084")</f>
        <v>-38.36549084</v>
      </c>
      <c r="R545" s="30" t="str">
        <f ca="1">IFERROR(__xludf.DUMMYFUNCTION("""COMPUTED_VALUE"""),"-60.28296733")</f>
        <v>-60.28296733</v>
      </c>
      <c r="S545" s="30" t="str">
        <f ca="1">IFERROR(__xludf.DUMMYFUNCTION("""COMPUTED_VALUE"""),"Municipal")</f>
        <v>Municipal</v>
      </c>
      <c r="T545" s="30" t="str">
        <f ca="1">IFERROR(__xludf.DUMMYFUNCTION("""COMPUTED_VALUE"""),"TRES ARROYOS")</f>
        <v>TRES ARROYOS</v>
      </c>
    </row>
    <row r="546" spans="1:20" ht="15.75" customHeight="1" x14ac:dyDescent="0.25">
      <c r="A546" s="30" t="str">
        <f ca="1">IFERROR(__xludf.DUMMYFUNCTION("""COMPUTED_VALUE"""),"50068682201337")</f>
        <v>50068682201337</v>
      </c>
      <c r="B546" s="30" t="str">
        <f ca="1">IFERROR(__xludf.DUMMYFUNCTION("""COMPUTED_VALUE"""),"CENTRO DE SALUD NORTE")</f>
        <v>CENTRO DE SALUD NORTE</v>
      </c>
      <c r="C546" s="30" t="str">
        <f ca="1">IFERROR(__xludf.DUMMYFUNCTION("""COMPUTED_VALUE"""),"Buenos Aires")</f>
        <v>Buenos Aires</v>
      </c>
      <c r="D546" s="30" t="str">
        <f ca="1">IFERROR(__xludf.DUMMYFUNCTION("""COMPUTED_VALUE"""),"6")</f>
        <v>6</v>
      </c>
      <c r="E546" s="30" t="str">
        <f ca="1">IFERROR(__xludf.DUMMYFUNCTION("""COMPUTED_VALUE"""),"")</f>
        <v/>
      </c>
      <c r="F546" s="29"/>
      <c r="G546" s="29"/>
      <c r="H546" s="30" t="str">
        <f ca="1">IFERROR(__xludf.DUMMYFUNCTION("""COMPUTED_VALUE"""),"inactivo")</f>
        <v>inactivo</v>
      </c>
      <c r="I546" s="30" t="str">
        <f ca="1">IFERROR(__xludf.DUMMYFUNCTION("""COMPUTED_VALUE"""),"circular 2")</f>
        <v>circular 2</v>
      </c>
      <c r="J546" s="29"/>
      <c r="K546" s="29"/>
      <c r="L546" s="30" t="str">
        <f ca="1">IFERROR(__xludf.DUMMYFUNCTION("""COMPUTED_VALUE"""),"No")</f>
        <v>No</v>
      </c>
      <c r="M546" s="30" t="str">
        <f ca="1">IFERROR(__xludf.DUMMYFUNCTION("""COMPUTED_VALUE"""),"6868020000")</f>
        <v>6868020000</v>
      </c>
      <c r="N546" s="30" t="str">
        <f ca="1">IFERROR(__xludf.DUMMYFUNCTION("""COMPUTED_VALUE"""),"VILLA GESELL")</f>
        <v>VILLA GESELL</v>
      </c>
      <c r="O546" s="30" t="str">
        <f ca="1">IFERROR(__xludf.DUMMYFUNCTION("""COMPUTED_VALUE"""),"6868")</f>
        <v>6868</v>
      </c>
      <c r="P546" s="30" t="str">
        <f ca="1">IFERROR(__xludf.DUMMYFUNCTION("""COMPUTED_VALUE"""),"VILLA GESELL")</f>
        <v>VILLA GESELL</v>
      </c>
      <c r="Q546" s="30" t="str">
        <f ca="1">IFERROR(__xludf.DUMMYFUNCTION("""COMPUTED_VALUE"""),"-37.2536567")</f>
        <v>-37.2536567</v>
      </c>
      <c r="R546" s="30" t="str">
        <f ca="1">IFERROR(__xludf.DUMMYFUNCTION("""COMPUTED_VALUE"""),"-56.9854173")</f>
        <v>-56.9854173</v>
      </c>
      <c r="S546" s="30" t="str">
        <f ca="1">IFERROR(__xludf.DUMMYFUNCTION("""COMPUTED_VALUE"""),"Municipal")</f>
        <v>Municipal</v>
      </c>
      <c r="T546" s="30" t="str">
        <f ca="1">IFERROR(__xludf.DUMMYFUNCTION("""COMPUTED_VALUE"""),"VILLA GESELL")</f>
        <v>VILLA GESELL</v>
      </c>
    </row>
    <row r="547" spans="1:20" ht="15.75" customHeight="1" x14ac:dyDescent="0.25">
      <c r="A547" s="30" t="str">
        <f ca="1">IFERROR(__xludf.DUMMYFUNCTION("""COMPUTED_VALUE"""),"CI50068402202995")</f>
        <v>CI50068402202995</v>
      </c>
      <c r="B547" s="30" t="str">
        <f ca="1">IFERROR(__xludf.DUMMYFUNCTION("""COMPUTED_VALUE"""),"Caps nº 14 (ex 15) – TRES DE FEBRERO")</f>
        <v>Caps nº 14 (ex 15) – TRES DE FEBRERO</v>
      </c>
      <c r="C547" s="30" t="str">
        <f ca="1">IFERROR(__xludf.DUMMYFUNCTION("""COMPUTED_VALUE"""),"Buenos Aires")</f>
        <v>Buenos Aires</v>
      </c>
      <c r="D547" s="30" t="str">
        <f ca="1">IFERROR(__xludf.DUMMYFUNCTION("""COMPUTED_VALUE"""),"6")</f>
        <v>6</v>
      </c>
      <c r="E547" s="30" t="str">
        <f ca="1">IFERROR(__xludf.DUMMYFUNCTION("""COMPUTED_VALUE"""),"")</f>
        <v/>
      </c>
      <c r="F547" s="30" t="str">
        <f ca="1">IFERROR(__xludf.DUMMYFUNCTION("""COMPUTED_VALUE"""),"50068682201337")</f>
        <v>50068682201337</v>
      </c>
      <c r="G547" s="29"/>
      <c r="H547" s="30" t="str">
        <f ca="1">IFERROR(__xludf.DUMMYFUNCTION("""COMPUTED_VALUE"""),"activo")</f>
        <v>activo</v>
      </c>
      <c r="I547" s="29"/>
      <c r="J547" s="29"/>
      <c r="K547" s="29"/>
      <c r="L547" s="30" t="str">
        <f ca="1">IFERROR(__xludf.DUMMYFUNCTION("""COMPUTED_VALUE"""),"No")</f>
        <v>No</v>
      </c>
      <c r="M547" s="30" t="str">
        <f ca="1">IFERROR(__xludf.DUMMYFUNCTION("""COMPUTED_VALUE"""),"#N/A")</f>
        <v>#N/A</v>
      </c>
      <c r="N547" s="30" t="str">
        <f ca="1">IFERROR(__xludf.DUMMYFUNCTION("""COMPUTED_VALUE"""),"CIUDADELA SUR")</f>
        <v>CIUDADELA SUR</v>
      </c>
      <c r="O547" s="30" t="str">
        <f ca="1">IFERROR(__xludf.DUMMYFUNCTION("""COMPUTED_VALUE"""),"#N/A")</f>
        <v>#N/A</v>
      </c>
      <c r="P547" s="30" t="str">
        <f ca="1">IFERROR(__xludf.DUMMYFUNCTION("""COMPUTED_VALUE"""),"TRES DE FEBRERO")</f>
        <v>TRES DE FEBRERO</v>
      </c>
      <c r="Q547" s="30" t="str">
        <f ca="1">IFERROR(__xludf.DUMMYFUNCTION("""COMPUTED_VALUE"""),"#N/A")</f>
        <v>#N/A</v>
      </c>
      <c r="R547" s="30" t="str">
        <f ca="1">IFERROR(__xludf.DUMMYFUNCTION("""COMPUTED_VALUE"""),"#N/A")</f>
        <v>#N/A</v>
      </c>
      <c r="S547" s="30" t="str">
        <f ca="1">IFERROR(__xludf.DUMMYFUNCTION("""COMPUTED_VALUE"""),"#N/A")</f>
        <v>#N/A</v>
      </c>
      <c r="T547" s="30" t="str">
        <f ca="1">IFERROR(__xludf.DUMMYFUNCTION("""COMPUTED_VALUE"""),"TRES DE FEBRERO")</f>
        <v>TRES DE FEBRERO</v>
      </c>
    </row>
    <row r="548" spans="1:20" ht="15.75" customHeight="1" x14ac:dyDescent="0.25">
      <c r="A548" s="30" t="str">
        <f ca="1">IFERROR(__xludf.DUMMYFUNCTION("""COMPUTED_VALUE"""),"50068752201078")</f>
        <v>50068752201078</v>
      </c>
      <c r="B548" s="30" t="str">
        <f ca="1">IFERROR(__xludf.DUMMYFUNCTION("""COMPUTED_VALUE"""),"CAPS N° 3 DE MEDANOS")</f>
        <v>CAPS N° 3 DE MEDANOS</v>
      </c>
      <c r="C548" s="30" t="str">
        <f ca="1">IFERROR(__xludf.DUMMYFUNCTION("""COMPUTED_VALUE"""),"Buenos Aires")</f>
        <v>Buenos Aires</v>
      </c>
      <c r="D548" s="30" t="str">
        <f ca="1">IFERROR(__xludf.DUMMYFUNCTION("""COMPUTED_VALUE"""),"6")</f>
        <v>6</v>
      </c>
      <c r="E548" s="30" t="str">
        <f ca="1">IFERROR(__xludf.DUMMYFUNCTION("""COMPUTED_VALUE"""),"")</f>
        <v/>
      </c>
      <c r="F548" s="29"/>
      <c r="G548" s="30" t="str">
        <f ca="1">IFERROR(__xludf.DUMMYFUNCTION("""COMPUTED_VALUE"""),"50068402202670")</f>
        <v>50068402202670</v>
      </c>
      <c r="H548" s="30" t="str">
        <f ca="1">IFERROR(__xludf.DUMMYFUNCTION("""COMPUTED_VALUE"""),"inactivo")</f>
        <v>inactivo</v>
      </c>
      <c r="I548" s="30" t="str">
        <f ca="1">IFERROR(__xludf.DUMMYFUNCTION("""COMPUTED_VALUE"""),"circular 2")</f>
        <v>circular 2</v>
      </c>
      <c r="J548" s="29"/>
      <c r="K548" s="29"/>
      <c r="L548" s="30" t="str">
        <f ca="1">IFERROR(__xludf.DUMMYFUNCTION("""COMPUTED_VALUE"""),"No")</f>
        <v>No</v>
      </c>
      <c r="M548" s="30" t="str">
        <f ca="1">IFERROR(__xludf.DUMMYFUNCTION("""COMPUTED_VALUE"""),"6875060002")</f>
        <v>6875060002</v>
      </c>
      <c r="N548" s="30" t="str">
        <f ca="1">IFERROR(__xludf.DUMMYFUNCTION("""COMPUTED_VALUE"""),"MEDANOS")</f>
        <v>MEDANOS</v>
      </c>
      <c r="O548" s="30" t="str">
        <f ca="1">IFERROR(__xludf.DUMMYFUNCTION("""COMPUTED_VALUE"""),"6875")</f>
        <v>6875</v>
      </c>
      <c r="P548" s="30" t="str">
        <f ca="1">IFERROR(__xludf.DUMMYFUNCTION("""COMPUTED_VALUE"""),"VILLARINO")</f>
        <v>VILLARINO</v>
      </c>
      <c r="Q548" s="30" t="str">
        <f ca="1">IFERROR(__xludf.DUMMYFUNCTION("""COMPUTED_VALUE"""),"-38.8294829")</f>
        <v>-38.8294829</v>
      </c>
      <c r="R548" s="30" t="str">
        <f ca="1">IFERROR(__xludf.DUMMYFUNCTION("""COMPUTED_VALUE"""),"-62.7021726")</f>
        <v>-62.7021726</v>
      </c>
      <c r="S548" s="30" t="str">
        <f ca="1">IFERROR(__xludf.DUMMYFUNCTION("""COMPUTED_VALUE"""),"Municipal")</f>
        <v>Municipal</v>
      </c>
      <c r="T548" s="30" t="str">
        <f ca="1">IFERROR(__xludf.DUMMYFUNCTION("""COMPUTED_VALUE"""),"VILLARINO")</f>
        <v>VILLARINO</v>
      </c>
    </row>
    <row r="549" spans="1:20" ht="15.75" customHeight="1" x14ac:dyDescent="0.25">
      <c r="A549" s="30" t="str">
        <f ca="1">IFERROR(__xludf.DUMMYFUNCTION("""COMPUTED_VALUE"""),"50068402202670")</f>
        <v>50068402202670</v>
      </c>
      <c r="B549" s="30" t="str">
        <f ca="1">IFERROR(__xludf.DUMMYFUNCTION("""COMPUTED_VALUE"""),"UNIDAD SANITARIA N° 8 VILLA MATHEU DE TRES DE FEBRERO")</f>
        <v>UNIDAD SANITARIA N° 8 VILLA MATHEU DE TRES DE FEBRERO</v>
      </c>
      <c r="C549" s="30" t="str">
        <f ca="1">IFERROR(__xludf.DUMMYFUNCTION("""COMPUTED_VALUE"""),"Buenos Aires")</f>
        <v>Buenos Aires</v>
      </c>
      <c r="D549" s="30" t="str">
        <f ca="1">IFERROR(__xludf.DUMMYFUNCTION("""COMPUTED_VALUE"""),"6")</f>
        <v>6</v>
      </c>
      <c r="E549" s="30" t="str">
        <f ca="1">IFERROR(__xludf.DUMMYFUNCTION("""COMPUTED_VALUE"""),"")</f>
        <v/>
      </c>
      <c r="F549" s="30" t="str">
        <f ca="1">IFERROR(__xludf.DUMMYFUNCTION("""COMPUTED_VALUE"""),"50068752201078")</f>
        <v>50068752201078</v>
      </c>
      <c r="G549" s="29"/>
      <c r="H549" s="30" t="str">
        <f ca="1">IFERROR(__xludf.DUMMYFUNCTION("""COMPUTED_VALUE"""),"activo")</f>
        <v>activo</v>
      </c>
      <c r="I549" s="29"/>
      <c r="J549" s="29"/>
      <c r="K549" s="29"/>
      <c r="L549" s="30" t="str">
        <f ca="1">IFERROR(__xludf.DUMMYFUNCTION("""COMPUTED_VALUE"""),"No")</f>
        <v>No</v>
      </c>
      <c r="M549" s="30" t="str">
        <f ca="1">IFERROR(__xludf.DUMMYFUNCTION("""COMPUTED_VALUE"""),"6840010001")</f>
        <v>6840010001</v>
      </c>
      <c r="N549" s="30" t="str">
        <f ca="1">IFERROR(__xludf.DUMMYFUNCTION("""COMPUTED_VALUE"""),"CASEROS")</f>
        <v>CASEROS</v>
      </c>
      <c r="O549" s="30" t="str">
        <f ca="1">IFERROR(__xludf.DUMMYFUNCTION("""COMPUTED_VALUE"""),"6840")</f>
        <v>6840</v>
      </c>
      <c r="P549" s="30" t="str">
        <f ca="1">IFERROR(__xludf.DUMMYFUNCTION("""COMPUTED_VALUE"""),"TRES DE FEBRERO")</f>
        <v>TRES DE FEBRERO</v>
      </c>
      <c r="Q549" s="30" t="str">
        <f ca="1">IFERROR(__xludf.DUMMYFUNCTION("""COMPUTED_VALUE"""),"-34.6125631")</f>
        <v>-34.6125631</v>
      </c>
      <c r="R549" s="30" t="str">
        <f ca="1">IFERROR(__xludf.DUMMYFUNCTION("""COMPUTED_VALUE"""),"-58.5769271")</f>
        <v>-58.5769271</v>
      </c>
      <c r="S549" s="30" t="str">
        <f ca="1">IFERROR(__xludf.DUMMYFUNCTION("""COMPUTED_VALUE"""),"Municipal")</f>
        <v>Municipal</v>
      </c>
      <c r="T549" s="30" t="str">
        <f ca="1">IFERROR(__xludf.DUMMYFUNCTION("""COMPUTED_VALUE"""),"TRES DE FEBRERO")</f>
        <v>TRES DE FEBRERO</v>
      </c>
    </row>
    <row r="550" spans="1:20" ht="15.75" customHeight="1" x14ac:dyDescent="0.25">
      <c r="A550" s="30" t="str">
        <f ca="1">IFERROR(__xludf.DUMMYFUNCTION("""COMPUTED_VALUE"""),"50068822202213")</f>
        <v>50068822202213</v>
      </c>
      <c r="B550" s="30" t="str">
        <f ca="1">IFERROR(__xludf.DUMMYFUNCTION("""COMPUTED_VALUE"""),"UNIDAD SANITARIA DR. ALEOTTI")</f>
        <v>UNIDAD SANITARIA DR. ALEOTTI</v>
      </c>
      <c r="C550" s="30" t="str">
        <f ca="1">IFERROR(__xludf.DUMMYFUNCTION("""COMPUTED_VALUE"""),"Buenos Aires")</f>
        <v>Buenos Aires</v>
      </c>
      <c r="D550" s="30" t="str">
        <f ca="1">IFERROR(__xludf.DUMMYFUNCTION("""COMPUTED_VALUE"""),"6")</f>
        <v>6</v>
      </c>
      <c r="E550" s="30" t="str">
        <f ca="1">IFERROR(__xludf.DUMMYFUNCTION("""COMPUTED_VALUE"""),"")</f>
        <v/>
      </c>
      <c r="F550" s="29"/>
      <c r="G550" s="30" t="str">
        <f ca="1">IFERROR(__xludf.DUMMYFUNCTION("""COMPUTED_VALUE"""),"50068402201443")</f>
        <v>50068402201443</v>
      </c>
      <c r="H550" s="30" t="str">
        <f ca="1">IFERROR(__xludf.DUMMYFUNCTION("""COMPUTED_VALUE"""),"inactivo")</f>
        <v>inactivo</v>
      </c>
      <c r="I550" s="30" t="str">
        <f ca="1">IFERROR(__xludf.DUMMYFUNCTION("""COMPUTED_VALUE"""),"circular 2")</f>
        <v>circular 2</v>
      </c>
      <c r="J550" s="29"/>
      <c r="K550" s="29"/>
      <c r="L550" s="30" t="str">
        <f ca="1">IFERROR(__xludf.DUMMYFUNCTION("""COMPUTED_VALUE"""),"No")</f>
        <v>No</v>
      </c>
      <c r="M550" s="30" t="str">
        <f ca="1">IFERROR(__xludf.DUMMYFUNCTION("""COMPUTED_VALUE"""),"6882040000")</f>
        <v>6882040000</v>
      </c>
      <c r="N550" s="30" t="str">
        <f ca="1">IFERROR(__xludf.DUMMYFUNCTION("""COMPUTED_VALUE"""),"LIMA")</f>
        <v>LIMA</v>
      </c>
      <c r="O550" s="30" t="str">
        <f ca="1">IFERROR(__xludf.DUMMYFUNCTION("""COMPUTED_VALUE"""),"6882")</f>
        <v>6882</v>
      </c>
      <c r="P550" s="30" t="str">
        <f ca="1">IFERROR(__xludf.DUMMYFUNCTION("""COMPUTED_VALUE"""),"ZÁRATE")</f>
        <v>ZÁRATE</v>
      </c>
      <c r="Q550" s="30" t="str">
        <f ca="1">IFERROR(__xludf.DUMMYFUNCTION("""COMPUTED_VALUE"""),"-34.042942")</f>
        <v>-34.042942</v>
      </c>
      <c r="R550" s="30" t="str">
        <f ca="1">IFERROR(__xludf.DUMMYFUNCTION("""COMPUTED_VALUE"""),"-59.197628")</f>
        <v>-59.197628</v>
      </c>
      <c r="S550" s="30" t="str">
        <f ca="1">IFERROR(__xludf.DUMMYFUNCTION("""COMPUTED_VALUE"""),"Municipal")</f>
        <v>Municipal</v>
      </c>
      <c r="T550" s="30" t="str">
        <f ca="1">IFERROR(__xludf.DUMMYFUNCTION("""COMPUTED_VALUE"""),"ZÁRATE")</f>
        <v>ZÁRATE</v>
      </c>
    </row>
    <row r="551" spans="1:20" ht="15.75" customHeight="1" x14ac:dyDescent="0.25">
      <c r="A551" s="30" t="str">
        <f ca="1">IFERROR(__xludf.DUMMYFUNCTION("""COMPUTED_VALUE"""),"50068402201443")</f>
        <v>50068402201443</v>
      </c>
      <c r="B551" s="30" t="str">
        <f ca="1">IFERROR(__xludf.DUMMYFUNCTION("""COMPUTED_VALUE"""),"CENTRO MUNICIPAL N° 10 DE SALUD CASEROS")</f>
        <v>CENTRO MUNICIPAL N° 10 DE SALUD CASEROS</v>
      </c>
      <c r="C551" s="30" t="str">
        <f ca="1">IFERROR(__xludf.DUMMYFUNCTION("""COMPUTED_VALUE"""),"Buenos Aires")</f>
        <v>Buenos Aires</v>
      </c>
      <c r="D551" s="30" t="str">
        <f ca="1">IFERROR(__xludf.DUMMYFUNCTION("""COMPUTED_VALUE"""),"6")</f>
        <v>6</v>
      </c>
      <c r="E551" s="30" t="str">
        <f ca="1">IFERROR(__xludf.DUMMYFUNCTION("""COMPUTED_VALUE"""),"")</f>
        <v/>
      </c>
      <c r="F551" s="30" t="str">
        <f ca="1">IFERROR(__xludf.DUMMYFUNCTION("""COMPUTED_VALUE"""),"50068822202213")</f>
        <v>50068822202213</v>
      </c>
      <c r="G551" s="29"/>
      <c r="H551" s="30" t="str">
        <f ca="1">IFERROR(__xludf.DUMMYFUNCTION("""COMPUTED_VALUE"""),"activo")</f>
        <v>activo</v>
      </c>
      <c r="I551" s="29"/>
      <c r="J551" s="29"/>
      <c r="K551" s="29"/>
      <c r="L551" s="30" t="str">
        <f ca="1">IFERROR(__xludf.DUMMYFUNCTION("""COMPUTED_VALUE"""),"No")</f>
        <v>No</v>
      </c>
      <c r="M551" s="30" t="str">
        <f ca="1">IFERROR(__xludf.DUMMYFUNCTION("""COMPUTED_VALUE"""),"6840010001")</f>
        <v>6840010001</v>
      </c>
      <c r="N551" s="30" t="str">
        <f ca="1">IFERROR(__xludf.DUMMYFUNCTION("""COMPUTED_VALUE"""),"CASEROS")</f>
        <v>CASEROS</v>
      </c>
      <c r="O551" s="30" t="str">
        <f ca="1">IFERROR(__xludf.DUMMYFUNCTION("""COMPUTED_VALUE"""),"6840")</f>
        <v>6840</v>
      </c>
      <c r="P551" s="30" t="str">
        <f ca="1">IFERROR(__xludf.DUMMYFUNCTION("""COMPUTED_VALUE"""),"TRES DE FEBRERO")</f>
        <v>TRES DE FEBRERO</v>
      </c>
      <c r="Q551" s="30" t="str">
        <f ca="1">IFERROR(__xludf.DUMMYFUNCTION("""COMPUTED_VALUE"""),"-34.6035702")</f>
        <v>-34.6035702</v>
      </c>
      <c r="R551" s="30" t="str">
        <f ca="1">IFERROR(__xludf.DUMMYFUNCTION("""COMPUTED_VALUE"""),"-58.5678036")</f>
        <v>-58.5678036</v>
      </c>
      <c r="S551" s="30" t="str">
        <f ca="1">IFERROR(__xludf.DUMMYFUNCTION("""COMPUTED_VALUE"""),"Municipal")</f>
        <v>Municipal</v>
      </c>
      <c r="T551" s="30" t="str">
        <f ca="1">IFERROR(__xludf.DUMMYFUNCTION("""COMPUTED_VALUE"""),"TRES DE FEBRERO")</f>
        <v>TRES DE FEBRERO</v>
      </c>
    </row>
    <row r="552" spans="1:20" ht="15.75" customHeight="1" x14ac:dyDescent="0.25">
      <c r="A552" s="30" t="str">
        <f ca="1">IFERROR(__xludf.DUMMYFUNCTION("""COMPUTED_VALUE"""),"50068822202191")</f>
        <v>50068822202191</v>
      </c>
      <c r="B552" s="30" t="str">
        <f ca="1">IFERROR(__xludf.DUMMYFUNCTION("""COMPUTED_VALUE"""),"UNIDAD SANITARIA COVEPAM")</f>
        <v>UNIDAD SANITARIA COVEPAM</v>
      </c>
      <c r="C552" s="30" t="str">
        <f ca="1">IFERROR(__xludf.DUMMYFUNCTION("""COMPUTED_VALUE"""),"Buenos Aires")</f>
        <v>Buenos Aires</v>
      </c>
      <c r="D552" s="30" t="str">
        <f ca="1">IFERROR(__xludf.DUMMYFUNCTION("""COMPUTED_VALUE"""),"6")</f>
        <v>6</v>
      </c>
      <c r="E552" s="30" t="str">
        <f ca="1">IFERROR(__xludf.DUMMYFUNCTION("""COMPUTED_VALUE"""),"si")</f>
        <v>si</v>
      </c>
      <c r="F552" s="29"/>
      <c r="G552" s="30" t="str">
        <f ca="1">IFERROR(__xludf.DUMMYFUNCTION("""COMPUTED_VALUE"""),"50068402202653")</f>
        <v>50068402202653</v>
      </c>
      <c r="H552" s="30" t="str">
        <f ca="1">IFERROR(__xludf.DUMMYFUNCTION("""COMPUTED_VALUE"""),"inactivo")</f>
        <v>inactivo</v>
      </c>
      <c r="I552" s="30" t="str">
        <f ca="1">IFERROR(__xludf.DUMMYFUNCTION("""COMPUTED_VALUE"""),"circular 2")</f>
        <v>circular 2</v>
      </c>
      <c r="J552" s="29"/>
      <c r="K552" s="29"/>
      <c r="L552" s="30" t="str">
        <f ca="1">IFERROR(__xludf.DUMMYFUNCTION("""COMPUTED_VALUE"""),"No")</f>
        <v>No</v>
      </c>
      <c r="M552" s="30" t="str">
        <f ca="1">IFERROR(__xludf.DUMMYFUNCTION("""COMPUTED_VALUE"""),"6882050000")</f>
        <v>6882050000</v>
      </c>
      <c r="N552" s="30" t="str">
        <f ca="1">IFERROR(__xludf.DUMMYFUNCTION("""COMPUTED_VALUE"""),"ZARATE")</f>
        <v>ZARATE</v>
      </c>
      <c r="O552" s="30" t="str">
        <f ca="1">IFERROR(__xludf.DUMMYFUNCTION("""COMPUTED_VALUE"""),"6882")</f>
        <v>6882</v>
      </c>
      <c r="P552" s="30" t="str">
        <f ca="1">IFERROR(__xludf.DUMMYFUNCTION("""COMPUTED_VALUE"""),"ZÁRATE")</f>
        <v>ZÁRATE</v>
      </c>
      <c r="Q552" s="30" t="str">
        <f ca="1">IFERROR(__xludf.DUMMYFUNCTION("""COMPUTED_VALUE"""),"-34.0950284")</f>
        <v>-34.0950284</v>
      </c>
      <c r="R552" s="30" t="str">
        <f ca="1">IFERROR(__xludf.DUMMYFUNCTION("""COMPUTED_VALUE"""),"-59.0479453")</f>
        <v>-59.0479453</v>
      </c>
      <c r="S552" s="30" t="str">
        <f ca="1">IFERROR(__xludf.DUMMYFUNCTION("""COMPUTED_VALUE"""),"Municipal")</f>
        <v>Municipal</v>
      </c>
      <c r="T552" s="30" t="str">
        <f ca="1">IFERROR(__xludf.DUMMYFUNCTION("""COMPUTED_VALUE"""),"ZÁRATE")</f>
        <v>ZÁRATE</v>
      </c>
    </row>
    <row r="553" spans="1:20" ht="15.75" customHeight="1" x14ac:dyDescent="0.25">
      <c r="A553" s="30" t="str">
        <f ca="1">IFERROR(__xludf.DUMMYFUNCTION("""COMPUTED_VALUE"""),"50068402202653")</f>
        <v>50068402202653</v>
      </c>
      <c r="B553" s="30" t="str">
        <f ca="1">IFERROR(__xludf.DUMMYFUNCTION("""COMPUTED_VALUE"""),"UNIDAD SANITARIA N° 7 DE EL PALOMAR")</f>
        <v>UNIDAD SANITARIA N° 7 DE EL PALOMAR</v>
      </c>
      <c r="C553" s="30" t="str">
        <f ca="1">IFERROR(__xludf.DUMMYFUNCTION("""COMPUTED_VALUE"""),"Buenos Aires")</f>
        <v>Buenos Aires</v>
      </c>
      <c r="D553" s="30" t="str">
        <f ca="1">IFERROR(__xludf.DUMMYFUNCTION("""COMPUTED_VALUE"""),"6")</f>
        <v>6</v>
      </c>
      <c r="E553" s="30" t="str">
        <f ca="1">IFERROR(__xludf.DUMMYFUNCTION("""COMPUTED_VALUE"""),"")</f>
        <v/>
      </c>
      <c r="F553" s="30" t="str">
        <f ca="1">IFERROR(__xludf.DUMMYFUNCTION("""COMPUTED_VALUE"""),"50068822202191")</f>
        <v>50068822202191</v>
      </c>
      <c r="G553" s="29"/>
      <c r="H553" s="30" t="str">
        <f ca="1">IFERROR(__xludf.DUMMYFUNCTION("""COMPUTED_VALUE"""),"activo")</f>
        <v>activo</v>
      </c>
      <c r="I553" s="29"/>
      <c r="J553" s="29"/>
      <c r="K553" s="29"/>
      <c r="L553" s="30" t="str">
        <f ca="1">IFERROR(__xludf.DUMMYFUNCTION("""COMPUTED_VALUE"""),"No")</f>
        <v>No</v>
      </c>
      <c r="M553" s="30" t="str">
        <f ca="1">IFERROR(__xludf.DUMMYFUNCTION("""COMPUTED_VALUE"""),"6840010003")</f>
        <v>6840010003</v>
      </c>
      <c r="N553" s="30" t="str">
        <f ca="1">IFERROR(__xludf.DUMMYFUNCTION("""COMPUTED_VALUE"""),"CIUDAD JARDIN LOMAS DEL PALOMAR")</f>
        <v>CIUDAD JARDIN LOMAS DEL PALOMAR</v>
      </c>
      <c r="O553" s="30" t="str">
        <f ca="1">IFERROR(__xludf.DUMMYFUNCTION("""COMPUTED_VALUE"""),"6840")</f>
        <v>6840</v>
      </c>
      <c r="P553" s="30" t="str">
        <f ca="1">IFERROR(__xludf.DUMMYFUNCTION("""COMPUTED_VALUE"""),"TRES DE FEBRERO")</f>
        <v>TRES DE FEBRERO</v>
      </c>
      <c r="Q553" s="30" t="str">
        <f ca="1">IFERROR(__xludf.DUMMYFUNCTION("""COMPUTED_VALUE"""),"-34.5977916")</f>
        <v>-34.5977916</v>
      </c>
      <c r="R553" s="30" t="str">
        <f ca="1">IFERROR(__xludf.DUMMYFUNCTION("""COMPUTED_VALUE"""),"-58.5950621")</f>
        <v>-58.5950621</v>
      </c>
      <c r="S553" s="30" t="str">
        <f ca="1">IFERROR(__xludf.DUMMYFUNCTION("""COMPUTED_VALUE"""),"Municipal")</f>
        <v>Municipal</v>
      </c>
      <c r="T553" s="30" t="str">
        <f ca="1">IFERROR(__xludf.DUMMYFUNCTION("""COMPUTED_VALUE"""),"TRES DE FEBRERO")</f>
        <v>TRES DE FEBRERO</v>
      </c>
    </row>
    <row r="554" spans="1:20" ht="15.75" customHeight="1" x14ac:dyDescent="0.25">
      <c r="A554" s="30" t="str">
        <f ca="1">IFERROR(__xludf.DUMMYFUNCTION("""COMPUTED_VALUE"""),"50068822201885")</f>
        <v>50068822201885</v>
      </c>
      <c r="B554" s="30" t="str">
        <f ca="1">IFERROR(__xludf.DUMMYFUNCTION("""COMPUTED_VALUE"""),"CAPS UNIDAD SANITARIA SAN MARTIN DE PORRES")</f>
        <v>CAPS UNIDAD SANITARIA SAN MARTIN DE PORRES</v>
      </c>
      <c r="C554" s="30" t="str">
        <f ca="1">IFERROR(__xludf.DUMMYFUNCTION("""COMPUTED_VALUE"""),"Buenos Aires")</f>
        <v>Buenos Aires</v>
      </c>
      <c r="D554" s="30" t="str">
        <f ca="1">IFERROR(__xludf.DUMMYFUNCTION("""COMPUTED_VALUE"""),"6")</f>
        <v>6</v>
      </c>
      <c r="E554" s="30" t="str">
        <f ca="1">IFERROR(__xludf.DUMMYFUNCTION("""COMPUTED_VALUE"""),"si")</f>
        <v>si</v>
      </c>
      <c r="F554" s="29"/>
      <c r="G554" s="30" t="str">
        <f ca="1">IFERROR(__xludf.DUMMYFUNCTION("""COMPUTED_VALUE"""),"50068402202638")</f>
        <v>50068402202638</v>
      </c>
      <c r="H554" s="30" t="str">
        <f ca="1">IFERROR(__xludf.DUMMYFUNCTION("""COMPUTED_VALUE"""),"inactivo")</f>
        <v>inactivo</v>
      </c>
      <c r="I554" s="30" t="str">
        <f ca="1">IFERROR(__xludf.DUMMYFUNCTION("""COMPUTED_VALUE"""),"circular 2")</f>
        <v>circular 2</v>
      </c>
      <c r="J554" s="29"/>
      <c r="K554" s="29"/>
      <c r="L554" s="30" t="str">
        <f ca="1">IFERROR(__xludf.DUMMYFUNCTION("""COMPUTED_VALUE"""),"No")</f>
        <v>No</v>
      </c>
      <c r="M554" s="30" t="str">
        <f ca="1">IFERROR(__xludf.DUMMYFUNCTION("""COMPUTED_VALUE"""),"6882050000")</f>
        <v>6882050000</v>
      </c>
      <c r="N554" s="30" t="str">
        <f ca="1">IFERROR(__xludf.DUMMYFUNCTION("""COMPUTED_VALUE"""),"ZARATE")</f>
        <v>ZARATE</v>
      </c>
      <c r="O554" s="30" t="str">
        <f ca="1">IFERROR(__xludf.DUMMYFUNCTION("""COMPUTED_VALUE"""),"6882")</f>
        <v>6882</v>
      </c>
      <c r="P554" s="30" t="str">
        <f ca="1">IFERROR(__xludf.DUMMYFUNCTION("""COMPUTED_VALUE"""),"ZÁRATE")</f>
        <v>ZÁRATE</v>
      </c>
      <c r="Q554" s="30" t="str">
        <f ca="1">IFERROR(__xludf.DUMMYFUNCTION("""COMPUTED_VALUE"""),"-34.108817")</f>
        <v>-34.108817</v>
      </c>
      <c r="R554" s="30" t="str">
        <f ca="1">IFERROR(__xludf.DUMMYFUNCTION("""COMPUTED_VALUE"""),"-59.0292952")</f>
        <v>-59.0292952</v>
      </c>
      <c r="S554" s="30" t="str">
        <f ca="1">IFERROR(__xludf.DUMMYFUNCTION("""COMPUTED_VALUE"""),"Municipal")</f>
        <v>Municipal</v>
      </c>
      <c r="T554" s="30" t="str">
        <f ca="1">IFERROR(__xludf.DUMMYFUNCTION("""COMPUTED_VALUE"""),"ZÁRATE")</f>
        <v>ZÁRATE</v>
      </c>
    </row>
    <row r="555" spans="1:20" ht="15.75" customHeight="1" x14ac:dyDescent="0.25">
      <c r="A555" s="30" t="str">
        <f ca="1">IFERROR(__xludf.DUMMYFUNCTION("""COMPUTED_VALUE"""),"50068822201860")</f>
        <v>50068822201860</v>
      </c>
      <c r="B555" s="30" t="str">
        <f ca="1">IFERROR(__xludf.DUMMYFUNCTION("""COMPUTED_VALUE"""),"SALA DE PRIMEROS AUXILIOS MARIANO MORENO")</f>
        <v>SALA DE PRIMEROS AUXILIOS MARIANO MORENO</v>
      </c>
      <c r="C555" s="30" t="str">
        <f ca="1">IFERROR(__xludf.DUMMYFUNCTION("""COMPUTED_VALUE"""),"Buenos Aires")</f>
        <v>Buenos Aires</v>
      </c>
      <c r="D555" s="30" t="str">
        <f ca="1">IFERROR(__xludf.DUMMYFUNCTION("""COMPUTED_VALUE"""),"6")</f>
        <v>6</v>
      </c>
      <c r="E555" s="30" t="str">
        <f ca="1">IFERROR(__xludf.DUMMYFUNCTION("""COMPUTED_VALUE"""),"")</f>
        <v/>
      </c>
      <c r="F555" s="29"/>
      <c r="G555" s="30" t="str">
        <f ca="1">IFERROR(__xludf.DUMMYFUNCTION("""COMPUTED_VALUE"""),"50068612202262")</f>
        <v>50068612202262</v>
      </c>
      <c r="H555" s="30" t="str">
        <f ca="1">IFERROR(__xludf.DUMMYFUNCTION("""COMPUTED_VALUE"""),"inactivo")</f>
        <v>inactivo</v>
      </c>
      <c r="I555" s="30" t="str">
        <f ca="1">IFERROR(__xludf.DUMMYFUNCTION("""COMPUTED_VALUE"""),"circular 2")</f>
        <v>circular 2</v>
      </c>
      <c r="J555" s="29"/>
      <c r="K555" s="29"/>
      <c r="L555" s="30" t="str">
        <f ca="1">IFERROR(__xludf.DUMMYFUNCTION("""COMPUTED_VALUE"""),"No")</f>
        <v>No</v>
      </c>
      <c r="M555" s="30" t="str">
        <f ca="1">IFERROR(__xludf.DUMMYFUNCTION("""COMPUTED_VALUE"""),"6882050000")</f>
        <v>6882050000</v>
      </c>
      <c r="N555" s="30" t="str">
        <f ca="1">IFERROR(__xludf.DUMMYFUNCTION("""COMPUTED_VALUE"""),"ZARATE")</f>
        <v>ZARATE</v>
      </c>
      <c r="O555" s="30" t="str">
        <f ca="1">IFERROR(__xludf.DUMMYFUNCTION("""COMPUTED_VALUE"""),"6882")</f>
        <v>6882</v>
      </c>
      <c r="P555" s="30" t="str">
        <f ca="1">IFERROR(__xludf.DUMMYFUNCTION("""COMPUTED_VALUE"""),"ZÁRATE")</f>
        <v>ZÁRATE</v>
      </c>
      <c r="Q555" s="30" t="str">
        <f ca="1">IFERROR(__xludf.DUMMYFUNCTION("""COMPUTED_VALUE"""),"-34.1144131")</f>
        <v>-34.1144131</v>
      </c>
      <c r="R555" s="30" t="str">
        <f ca="1">IFERROR(__xludf.DUMMYFUNCTION("""COMPUTED_VALUE"""),"-59.0293634")</f>
        <v>-59.0293634</v>
      </c>
      <c r="S555" s="30" t="str">
        <f ca="1">IFERROR(__xludf.DUMMYFUNCTION("""COMPUTED_VALUE"""),"Municipal")</f>
        <v>Municipal</v>
      </c>
      <c r="T555" s="30" t="str">
        <f ca="1">IFERROR(__xludf.DUMMYFUNCTION("""COMPUTED_VALUE"""),"ZÁRATE")</f>
        <v>ZÁRATE</v>
      </c>
    </row>
    <row r="556" spans="1:20" ht="15.75" customHeight="1" x14ac:dyDescent="0.25">
      <c r="A556" s="30" t="str">
        <f ca="1">IFERROR(__xludf.DUMMYFUNCTION("""COMPUTED_VALUE"""),"50068612202262")</f>
        <v>50068612202262</v>
      </c>
      <c r="B556" s="30" t="str">
        <f ca="1">IFERROR(__xludf.DUMMYFUNCTION("""COMPUTED_VALUE"""),"UNIDAD SANITARIA EL CEIBO")</f>
        <v>UNIDAD SANITARIA EL CEIBO</v>
      </c>
      <c r="C556" s="30" t="str">
        <f ca="1">IFERROR(__xludf.DUMMYFUNCTION("""COMPUTED_VALUE"""),"Buenos Aires")</f>
        <v>Buenos Aires</v>
      </c>
      <c r="D556" s="30" t="str">
        <f ca="1">IFERROR(__xludf.DUMMYFUNCTION("""COMPUTED_VALUE"""),"6")</f>
        <v>6</v>
      </c>
      <c r="E556" s="30" t="str">
        <f ca="1">IFERROR(__xludf.DUMMYFUNCTION("""COMPUTED_VALUE"""),"")</f>
        <v/>
      </c>
      <c r="F556" s="30" t="str">
        <f ca="1">IFERROR(__xludf.DUMMYFUNCTION("""COMPUTED_VALUE"""),"50068822201860")</f>
        <v>50068822201860</v>
      </c>
      <c r="G556" s="29"/>
      <c r="H556" s="30" t="str">
        <f ca="1">IFERROR(__xludf.DUMMYFUNCTION("""COMPUTED_VALUE"""),"inactivo")</f>
        <v>inactivo</v>
      </c>
      <c r="I556" s="29"/>
      <c r="J556" s="29"/>
      <c r="K556" s="29"/>
      <c r="L556" s="30" t="str">
        <f ca="1">IFERROR(__xludf.DUMMYFUNCTION("""COMPUTED_VALUE"""),"No")</f>
        <v>No</v>
      </c>
      <c r="M556" s="30" t="str">
        <f ca="1">IFERROR(__xludf.DUMMYFUNCTION("""COMPUTED_VALUE"""),"6861010004")</f>
        <v>6861010004</v>
      </c>
      <c r="N556" s="30" t="str">
        <f ca="1">IFERROR(__xludf.DUMMYFUNCTION("""COMPUTED_VALUE"""),"LA LUCILA")</f>
        <v>LA LUCILA</v>
      </c>
      <c r="O556" s="30" t="str">
        <f ca="1">IFERROR(__xludf.DUMMYFUNCTION("""COMPUTED_VALUE"""),"6861")</f>
        <v>6861</v>
      </c>
      <c r="P556" s="30" t="str">
        <f ca="1">IFERROR(__xludf.DUMMYFUNCTION("""COMPUTED_VALUE"""),"VICENTE LÓPEZ")</f>
        <v>VICENTE LÓPEZ</v>
      </c>
      <c r="Q556" s="30" t="str">
        <f ca="1">IFERROR(__xludf.DUMMYFUNCTION("""COMPUTED_VALUE"""),"-34.4967456")</f>
        <v>-34.4967456</v>
      </c>
      <c r="R556" s="30" t="str">
        <f ca="1">IFERROR(__xludf.DUMMYFUNCTION("""COMPUTED_VALUE"""),"-58.4824564")</f>
        <v>-58.4824564</v>
      </c>
      <c r="S556" s="30" t="str">
        <f ca="1">IFERROR(__xludf.DUMMYFUNCTION("""COMPUTED_VALUE"""),"Municipal")</f>
        <v>Municipal</v>
      </c>
      <c r="T556" s="30" t="str">
        <f ca="1">IFERROR(__xludf.DUMMYFUNCTION("""COMPUTED_VALUE"""),"VICENTE LÓPEZ")</f>
        <v>VICENTE LÓPEZ</v>
      </c>
    </row>
    <row r="557" spans="1:20" ht="15.75" customHeight="1" x14ac:dyDescent="0.25">
      <c r="A557" s="30" t="str">
        <f ca="1">IFERROR(__xludf.DUMMYFUNCTION("""COMPUTED_VALUE"""),"50064132202184")</f>
        <v>50064132202184</v>
      </c>
      <c r="B557" s="30" t="str">
        <f ca="1">IFERROR(__xludf.DUMMYFUNCTION("""COMPUTED_VALUE"""),"UNIDAD SANITARIA COMUNITARIA N° 5 BARRIO SAN JORGE")</f>
        <v>UNIDAD SANITARIA COMUNITARIA N° 5 BARRIO SAN JORGE</v>
      </c>
      <c r="C557" s="30" t="str">
        <f ca="1">IFERROR(__xludf.DUMMYFUNCTION("""COMPUTED_VALUE"""),"Buenos Aires")</f>
        <v>Buenos Aires</v>
      </c>
      <c r="D557" s="30" t="str">
        <f ca="1">IFERROR(__xludf.DUMMYFUNCTION("""COMPUTED_VALUE"""),"6")</f>
        <v>6</v>
      </c>
      <c r="E557" s="30" t="str">
        <f ca="1">IFERROR(__xludf.DUMMYFUNCTION("""COMPUTED_VALUE"""),"")</f>
        <v/>
      </c>
      <c r="F557" s="29"/>
      <c r="G557" s="29"/>
      <c r="H557" s="30" t="str">
        <f ca="1">IFERROR(__xludf.DUMMYFUNCTION("""COMPUTED_VALUE"""),"activo")</f>
        <v>activo</v>
      </c>
      <c r="I557" s="30" t="str">
        <f ca="1">IFERROR(__xludf.DUMMYFUNCTION("""COMPUTED_VALUE"""),"circular 2")</f>
        <v>circular 2</v>
      </c>
      <c r="J557" s="29"/>
      <c r="K557" s="29"/>
      <c r="L557" s="30" t="str">
        <f ca="1">IFERROR(__xludf.DUMMYFUNCTION("""COMPUTED_VALUE"""),"No")</f>
        <v>No</v>
      </c>
      <c r="M557" s="30" t="str">
        <f ca="1">IFERROR(__xludf.DUMMYFUNCTION("""COMPUTED_VALUE"""),"6413050000")</f>
        <v>6413050000</v>
      </c>
      <c r="N557" s="30" t="str">
        <f ca="1">IFERROR(__xludf.DUMMYFUNCTION("""COMPUTED_VALUE"""),"JUNIN")</f>
        <v>JUNIN</v>
      </c>
      <c r="O557" s="30" t="str">
        <f ca="1">IFERROR(__xludf.DUMMYFUNCTION("""COMPUTED_VALUE"""),"6413")</f>
        <v>6413</v>
      </c>
      <c r="P557" s="30" t="str">
        <f ca="1">IFERROR(__xludf.DUMMYFUNCTION("""COMPUTED_VALUE"""),"JUNÍN")</f>
        <v>JUNÍN</v>
      </c>
      <c r="Q557" s="30" t="str">
        <f ca="1">IFERROR(__xludf.DUMMYFUNCTION("""COMPUTED_VALUE"""),"-34.589252")</f>
        <v>-34.589252</v>
      </c>
      <c r="R557" s="30" t="str">
        <f ca="1">IFERROR(__xludf.DUMMYFUNCTION("""COMPUTED_VALUE"""),"-60.97303")</f>
        <v>-60.97303</v>
      </c>
      <c r="S557" s="30" t="str">
        <f ca="1">IFERROR(__xludf.DUMMYFUNCTION("""COMPUTED_VALUE"""),"Municipal")</f>
        <v>Municipal</v>
      </c>
      <c r="T557" s="30" t="str">
        <f ca="1">IFERROR(__xludf.DUMMYFUNCTION("""COMPUTED_VALUE"""),"JUNÍN")</f>
        <v>JUNÍN</v>
      </c>
    </row>
    <row r="558" spans="1:20" ht="15.75" customHeight="1" x14ac:dyDescent="0.25">
      <c r="A558" s="30" t="str">
        <f ca="1">IFERROR(__xludf.DUMMYFUNCTION("""COMPUTED_VALUE"""),"50064132202186")</f>
        <v>50064132202186</v>
      </c>
      <c r="B558" s="30" t="str">
        <f ca="1">IFERROR(__xludf.DUMMYFUNCTION("""COMPUTED_VALUE"""),"CAPS N° 3 PRADO ESPAÑOL")</f>
        <v>CAPS N° 3 PRADO ESPAÑOL</v>
      </c>
      <c r="C558" s="30" t="str">
        <f ca="1">IFERROR(__xludf.DUMMYFUNCTION("""COMPUTED_VALUE"""),"Buenos Aires")</f>
        <v>Buenos Aires</v>
      </c>
      <c r="D558" s="30" t="str">
        <f ca="1">IFERROR(__xludf.DUMMYFUNCTION("""COMPUTED_VALUE"""),"6")</f>
        <v>6</v>
      </c>
      <c r="E558" s="30" t="str">
        <f ca="1">IFERROR(__xludf.DUMMYFUNCTION("""COMPUTED_VALUE"""),"")</f>
        <v/>
      </c>
      <c r="F558" s="29"/>
      <c r="G558" s="29"/>
      <c r="H558" s="30" t="str">
        <f ca="1">IFERROR(__xludf.DUMMYFUNCTION("""COMPUTED_VALUE"""),"activo")</f>
        <v>activo</v>
      </c>
      <c r="I558" s="30" t="str">
        <f ca="1">IFERROR(__xludf.DUMMYFUNCTION("""COMPUTED_VALUE"""),"circular 2")</f>
        <v>circular 2</v>
      </c>
      <c r="J558" s="29"/>
      <c r="K558" s="29"/>
      <c r="L558" s="30" t="str">
        <f ca="1">IFERROR(__xludf.DUMMYFUNCTION("""COMPUTED_VALUE"""),"No")</f>
        <v>No</v>
      </c>
      <c r="M558" s="30" t="str">
        <f ca="1">IFERROR(__xludf.DUMMYFUNCTION("""COMPUTED_VALUE"""),"6413050000")</f>
        <v>6413050000</v>
      </c>
      <c r="N558" s="30" t="str">
        <f ca="1">IFERROR(__xludf.DUMMYFUNCTION("""COMPUTED_VALUE"""),"JUNIN")</f>
        <v>JUNIN</v>
      </c>
      <c r="O558" s="30" t="str">
        <f ca="1">IFERROR(__xludf.DUMMYFUNCTION("""COMPUTED_VALUE"""),"6413")</f>
        <v>6413</v>
      </c>
      <c r="P558" s="30" t="str">
        <f ca="1">IFERROR(__xludf.DUMMYFUNCTION("""COMPUTED_VALUE"""),"JUNÍN")</f>
        <v>JUNÍN</v>
      </c>
      <c r="Q558" s="30" t="str">
        <f ca="1">IFERROR(__xludf.DUMMYFUNCTION("""COMPUTED_VALUE"""),"-34.593579")</f>
        <v>-34.593579</v>
      </c>
      <c r="R558" s="30" t="str">
        <f ca="1">IFERROR(__xludf.DUMMYFUNCTION("""COMPUTED_VALUE"""),"-60.928119")</f>
        <v>-60.928119</v>
      </c>
      <c r="S558" s="30" t="str">
        <f ca="1">IFERROR(__xludf.DUMMYFUNCTION("""COMPUTED_VALUE"""),"Municipal")</f>
        <v>Municipal</v>
      </c>
      <c r="T558" s="30" t="str">
        <f ca="1">IFERROR(__xludf.DUMMYFUNCTION("""COMPUTED_VALUE"""),"JUNÍN")</f>
        <v>JUNÍN</v>
      </c>
    </row>
    <row r="559" spans="1:20" ht="15.75" customHeight="1" x14ac:dyDescent="0.25">
      <c r="A559" s="30" t="str">
        <f ca="1">IFERROR(__xludf.DUMMYFUNCTION("""COMPUTED_VALUE"""),"50062702201326")</f>
        <v>50062702201326</v>
      </c>
      <c r="B559" s="30" t="str">
        <f ca="1">IFERROR(__xludf.DUMMYFUNCTION("""COMPUTED_VALUE"""),"CENTRO DE SALUD Nº 5")</f>
        <v>CENTRO DE SALUD Nº 5</v>
      </c>
      <c r="C559" s="30" t="str">
        <f ca="1">IFERROR(__xludf.DUMMYFUNCTION("""COMPUTED_VALUE"""),"Buenos Aires")</f>
        <v>Buenos Aires</v>
      </c>
      <c r="D559" s="30" t="str">
        <f ca="1">IFERROR(__xludf.DUMMYFUNCTION("""COMPUTED_VALUE"""),"6")</f>
        <v>6</v>
      </c>
      <c r="E559" s="30" t="str">
        <f ca="1">IFERROR(__xludf.DUMMYFUNCTION("""COMPUTED_VALUE"""),"")</f>
        <v/>
      </c>
      <c r="F559" s="29"/>
      <c r="G559" s="29"/>
      <c r="H559" s="30" t="str">
        <f ca="1">IFERROR(__xludf.DUMMYFUNCTION("""COMPUTED_VALUE"""),"activo")</f>
        <v>activo</v>
      </c>
      <c r="I559" s="30" t="str">
        <f ca="1">IFERROR(__xludf.DUMMYFUNCTION("""COMPUTED_VALUE"""),"Se encontro en el CAI 2019-no figuraba en universo. Este efector era el mismo que el Caps 5 / Pediatria")</f>
        <v>Se encontro en el CAI 2019-no figuraba en universo. Este efector era el mismo que el Caps 5 / Pediatria</v>
      </c>
      <c r="J559" s="29"/>
      <c r="K559" s="29"/>
      <c r="L559" s="30" t="str">
        <f ca="1">IFERROR(__xludf.DUMMYFUNCTION("""COMPUTED_VALUE"""),"No")</f>
        <v>No</v>
      </c>
      <c r="M559" s="30" t="str">
        <f ca="1">IFERROR(__xludf.DUMMYFUNCTION("""COMPUTED_VALUE"""),"6270010006")</f>
        <v>6270010006</v>
      </c>
      <c r="N559" s="30" t="str">
        <f ca="1">IFERROR(__xludf.DUMMYFUNCTION("""COMPUTED_VALUE"""),"TRISTAN SUAREZ")</f>
        <v>TRISTAN SUAREZ</v>
      </c>
      <c r="O559" s="30" t="str">
        <f ca="1">IFERROR(__xludf.DUMMYFUNCTION("""COMPUTED_VALUE"""),"6270")</f>
        <v>6270</v>
      </c>
      <c r="P559" s="30" t="str">
        <f ca="1">IFERROR(__xludf.DUMMYFUNCTION("""COMPUTED_VALUE"""),"EZEIZA")</f>
        <v>EZEIZA</v>
      </c>
      <c r="Q559" s="30" t="str">
        <f ca="1">IFERROR(__xludf.DUMMYFUNCTION("""COMPUTED_VALUE"""),"-34.89367996")</f>
        <v>-34.89367996</v>
      </c>
      <c r="R559" s="30" t="str">
        <f ca="1">IFERROR(__xludf.DUMMYFUNCTION("""COMPUTED_VALUE"""),"-58.56841564")</f>
        <v>-58.56841564</v>
      </c>
      <c r="S559" s="30" t="str">
        <f ca="1">IFERROR(__xludf.DUMMYFUNCTION("""COMPUTED_VALUE"""),"Municipal")</f>
        <v>Municipal</v>
      </c>
      <c r="T559" s="30" t="str">
        <f ca="1">IFERROR(__xludf.DUMMYFUNCTION("""COMPUTED_VALUE"""),"EZEIZA")</f>
        <v>EZEIZA</v>
      </c>
    </row>
    <row r="560" spans="1:20" ht="15.75" customHeight="1" x14ac:dyDescent="0.25">
      <c r="A560" s="30" t="str">
        <f ca="1">IFERROR(__xludf.DUMMYFUNCTION("""COMPUTED_VALUE"""),"50068402201407")</f>
        <v>50068402201407</v>
      </c>
      <c r="B560" s="30" t="str">
        <f ca="1">IFERROR(__xludf.DUMMYFUNCTION("""COMPUTED_VALUE"""),"CENTRO MATERNO INFANTIL N° 3 DE TRES DE FEBRERO")</f>
        <v>CENTRO MATERNO INFANTIL N° 3 DE TRES DE FEBRERO</v>
      </c>
      <c r="C560" s="30" t="str">
        <f ca="1">IFERROR(__xludf.DUMMYFUNCTION("""COMPUTED_VALUE"""),"Buenos Aires")</f>
        <v>Buenos Aires</v>
      </c>
      <c r="D560" s="30" t="str">
        <f ca="1">IFERROR(__xludf.DUMMYFUNCTION("""COMPUTED_VALUE"""),"6")</f>
        <v>6</v>
      </c>
      <c r="E560" s="30" t="str">
        <f ca="1">IFERROR(__xludf.DUMMYFUNCTION("""COMPUTED_VALUE"""),"")</f>
        <v/>
      </c>
      <c r="F560" s="29"/>
      <c r="G560" s="29"/>
      <c r="H560" s="30" t="str">
        <f ca="1">IFERROR(__xludf.DUMMYFUNCTION("""COMPUTED_VALUE"""),"activo")</f>
        <v>activo</v>
      </c>
      <c r="I560" s="30" t="str">
        <f ca="1">IFERROR(__xludf.DUMMYFUNCTION("""COMPUTED_VALUE"""),"Se encontro en el CAI 2019-no figuraba en universo")</f>
        <v>Se encontro en el CAI 2019-no figuraba en universo</v>
      </c>
      <c r="J560" s="29"/>
      <c r="K560" s="29"/>
      <c r="L560" s="30" t="str">
        <f ca="1">IFERROR(__xludf.DUMMYFUNCTION("""COMPUTED_VALUE"""),"No")</f>
        <v>No</v>
      </c>
      <c r="M560" s="30" t="str">
        <f ca="1">IFERROR(__xludf.DUMMYFUNCTION("""COMPUTED_VALUE"""),"6840010015")</f>
        <v>6840010015</v>
      </c>
      <c r="N560" s="30" t="str">
        <f ca="1">IFERROR(__xludf.DUMMYFUNCTION("""COMPUTED_VALUE"""),"VILLA RAFFO")</f>
        <v>VILLA RAFFO</v>
      </c>
      <c r="O560" s="30" t="str">
        <f ca="1">IFERROR(__xludf.DUMMYFUNCTION("""COMPUTED_VALUE"""),"6840")</f>
        <v>6840</v>
      </c>
      <c r="P560" s="30" t="str">
        <f ca="1">IFERROR(__xludf.DUMMYFUNCTION("""COMPUTED_VALUE"""),"TRES DE FEBRERO")</f>
        <v>TRES DE FEBRERO</v>
      </c>
      <c r="Q560" s="30" t="str">
        <f ca="1">IFERROR(__xludf.DUMMYFUNCTION("""COMPUTED_VALUE"""),"-34.6066577")</f>
        <v>-34.6066577</v>
      </c>
      <c r="R560" s="30" t="str">
        <f ca="1">IFERROR(__xludf.DUMMYFUNCTION("""COMPUTED_VALUE"""),"-58.53403831")</f>
        <v>-58.53403831</v>
      </c>
      <c r="S560" s="30" t="str">
        <f ca="1">IFERROR(__xludf.DUMMYFUNCTION("""COMPUTED_VALUE"""),"Municipal")</f>
        <v>Municipal</v>
      </c>
      <c r="T560" s="30" t="str">
        <f ca="1">IFERROR(__xludf.DUMMYFUNCTION("""COMPUTED_VALUE"""),"TRES DE FEBRERO")</f>
        <v>TRES DE FEBRERO</v>
      </c>
    </row>
    <row r="561" spans="1:20" ht="15.75" customHeight="1" x14ac:dyDescent="0.25">
      <c r="A561" s="30" t="str">
        <f ca="1">IFERROR(__xludf.DUMMYFUNCTION("""COMPUTED_VALUE"""),"10100352124009")</f>
        <v>10100352124009</v>
      </c>
      <c r="B561" s="30" t="str">
        <f ca="1">IFERROR(__xludf.DUMMYFUNCTION("""COMPUTED_VALUE"""),"ESTABLECIMIENTO SANITARIO PERIFERICO DE ENFERMERIA HUALFIN")</f>
        <v>ESTABLECIMIENTO SANITARIO PERIFERICO DE ENFERMERIA HUALFIN</v>
      </c>
      <c r="C561" s="30" t="str">
        <f ca="1">IFERROR(__xludf.DUMMYFUNCTION("""COMPUTED_VALUE"""),"Catamarca")</f>
        <v>Catamarca</v>
      </c>
      <c r="D561" s="30" t="str">
        <f ca="1">IFERROR(__xludf.DUMMYFUNCTION("""COMPUTED_VALUE"""),"10")</f>
        <v>10</v>
      </c>
      <c r="E561" s="30" t="str">
        <f ca="1">IFERROR(__xludf.DUMMYFUNCTION("""COMPUTED_VALUE"""),"si")</f>
        <v>si</v>
      </c>
      <c r="F561" s="29"/>
      <c r="G561" s="29"/>
      <c r="H561" s="30" t="str">
        <f ca="1">IFERROR(__xludf.DUMMYFUNCTION("""COMPUTED_VALUE"""),"activo")</f>
        <v>activo</v>
      </c>
      <c r="I561" s="29"/>
      <c r="J561" s="29"/>
      <c r="K561" s="29"/>
      <c r="L561" s="30" t="str">
        <f ca="1">IFERROR(__xludf.DUMMYFUNCTION("""COMPUTED_VALUE"""),"No")</f>
        <v>No</v>
      </c>
      <c r="M561" s="30" t="str">
        <f ca="1">IFERROR(__xludf.DUMMYFUNCTION("""COMPUTED_VALUE"""),"10035070000")</f>
        <v>10035070000</v>
      </c>
      <c r="N561" s="30" t="str">
        <f ca="1">IFERROR(__xludf.DUMMYFUNCTION("""COMPUTED_VALUE"""),"HUALFIN")</f>
        <v>HUALFIN</v>
      </c>
      <c r="O561" s="30" t="str">
        <f ca="1">IFERROR(__xludf.DUMMYFUNCTION("""COMPUTED_VALUE"""),"1035")</f>
        <v>1035</v>
      </c>
      <c r="P561" s="30" t="str">
        <f ca="1">IFERROR(__xludf.DUMMYFUNCTION("""COMPUTED_VALUE"""),"BELÉN")</f>
        <v>BELÉN</v>
      </c>
      <c r="Q561" s="30" t="str">
        <f ca="1">IFERROR(__xludf.DUMMYFUNCTION("""COMPUTED_VALUE"""),"-27.22410468")</f>
        <v>-27.22410468</v>
      </c>
      <c r="R561" s="30" t="str">
        <f ca="1">IFERROR(__xludf.DUMMYFUNCTION("""COMPUTED_VALUE"""),"-66.85455322")</f>
        <v>-66.85455322</v>
      </c>
      <c r="S561" s="30" t="str">
        <f ca="1">IFERROR(__xludf.DUMMYFUNCTION("""COMPUTED_VALUE"""),"Provincial")</f>
        <v>Provincial</v>
      </c>
      <c r="T561" s="30" t="str">
        <f ca="1">IFERROR(__xludf.DUMMYFUNCTION("""COMPUTED_VALUE"""),"-")</f>
        <v>-</v>
      </c>
    </row>
    <row r="562" spans="1:20" ht="15.75" customHeight="1" x14ac:dyDescent="0.25">
      <c r="A562" s="30" t="str">
        <f ca="1">IFERROR(__xludf.DUMMYFUNCTION("""COMPUTED_VALUE"""),"10100422124026")</f>
        <v>10100422124026</v>
      </c>
      <c r="B562" s="30" t="str">
        <f ca="1">IFERROR(__xludf.DUMMYFUNCTION("""COMPUTED_VALUE"""),"ESTABLECIMIENTO SANITARIO DISTRITAL HOSPITAL DE CHUMBICHA DR. ROBERTO RAMON CARRO")</f>
        <v>ESTABLECIMIENTO SANITARIO DISTRITAL HOSPITAL DE CHUMBICHA DR. ROBERTO RAMON CARRO</v>
      </c>
      <c r="C562" s="30" t="str">
        <f ca="1">IFERROR(__xludf.DUMMYFUNCTION("""COMPUTED_VALUE"""),"Catamarca")</f>
        <v>Catamarca</v>
      </c>
      <c r="D562" s="30" t="str">
        <f ca="1">IFERROR(__xludf.DUMMYFUNCTION("""COMPUTED_VALUE"""),"10")</f>
        <v>10</v>
      </c>
      <c r="E562" s="30" t="str">
        <f ca="1">IFERROR(__xludf.DUMMYFUNCTION("""COMPUTED_VALUE"""),"si")</f>
        <v>si</v>
      </c>
      <c r="F562" s="29"/>
      <c r="G562" s="29"/>
      <c r="H562" s="30" t="str">
        <f ca="1">IFERROR(__xludf.DUMMYFUNCTION("""COMPUTED_VALUE"""),"activo")</f>
        <v>activo</v>
      </c>
      <c r="I562" s="29"/>
      <c r="J562" s="29"/>
      <c r="K562" s="29"/>
      <c r="L562" s="30" t="str">
        <f ca="1">IFERROR(__xludf.DUMMYFUNCTION("""COMPUTED_VALUE"""),"No")</f>
        <v>No</v>
      </c>
      <c r="M562" s="30" t="str">
        <f ca="1">IFERROR(__xludf.DUMMYFUNCTION("""COMPUTED_VALUE"""),"10042040000")</f>
        <v>10042040000</v>
      </c>
      <c r="N562" s="30" t="str">
        <f ca="1">IFERROR(__xludf.DUMMYFUNCTION("""COMPUTED_VALUE"""),"CHUMBICHA")</f>
        <v>CHUMBICHA</v>
      </c>
      <c r="O562" s="30" t="str">
        <f ca="1">IFERROR(__xludf.DUMMYFUNCTION("""COMPUTED_VALUE"""),"1042")</f>
        <v>1042</v>
      </c>
      <c r="P562" s="30" t="str">
        <f ca="1">IFERROR(__xludf.DUMMYFUNCTION("""COMPUTED_VALUE"""),"CAPAYÁN")</f>
        <v>CAPAYÁN</v>
      </c>
      <c r="Q562" s="30" t="str">
        <f ca="1">IFERROR(__xludf.DUMMYFUNCTION("""COMPUTED_VALUE"""),"-28.85189088")</f>
        <v>-28.85189088</v>
      </c>
      <c r="R562" s="30" t="str">
        <f ca="1">IFERROR(__xludf.DUMMYFUNCTION("""COMPUTED_VALUE"""),"-66.23382568")</f>
        <v>-66.23382568</v>
      </c>
      <c r="S562" s="30" t="str">
        <f ca="1">IFERROR(__xludf.DUMMYFUNCTION("""COMPUTED_VALUE"""),"Provincial")</f>
        <v>Provincial</v>
      </c>
      <c r="T562" s="30" t="str">
        <f ca="1">IFERROR(__xludf.DUMMYFUNCTION("""COMPUTED_VALUE"""),"-")</f>
        <v>-</v>
      </c>
    </row>
    <row r="563" spans="1:20" ht="15.75" customHeight="1" x14ac:dyDescent="0.25">
      <c r="A563" s="30" t="str">
        <f ca="1">IFERROR(__xludf.DUMMYFUNCTION("""COMPUTED_VALUE"""),"10100702124022")</f>
        <v>10100702124022</v>
      </c>
      <c r="B563" s="30" t="str">
        <f ca="1">IFERROR(__xludf.DUMMYFUNCTION("""COMPUTED_VALUE"""),"ESTABLECIMIENTO SANITARIO SECCIONAL SAN ANTONIO DE LA PAZ")</f>
        <v>ESTABLECIMIENTO SANITARIO SECCIONAL SAN ANTONIO DE LA PAZ</v>
      </c>
      <c r="C563" s="30" t="str">
        <f ca="1">IFERROR(__xludf.DUMMYFUNCTION("""COMPUTED_VALUE"""),"Catamarca")</f>
        <v>Catamarca</v>
      </c>
      <c r="D563" s="30" t="str">
        <f ca="1">IFERROR(__xludf.DUMMYFUNCTION("""COMPUTED_VALUE"""),"10")</f>
        <v>10</v>
      </c>
      <c r="E563" s="30" t="str">
        <f ca="1">IFERROR(__xludf.DUMMYFUNCTION("""COMPUTED_VALUE"""),"")</f>
        <v/>
      </c>
      <c r="F563" s="29"/>
      <c r="G563" s="29"/>
      <c r="H563" s="30" t="str">
        <f ca="1">IFERROR(__xludf.DUMMYFUNCTION("""COMPUTED_VALUE"""),"activo")</f>
        <v>activo</v>
      </c>
      <c r="I563" s="29"/>
      <c r="J563" s="29"/>
      <c r="K563" s="29"/>
      <c r="L563" s="30" t="str">
        <f ca="1">IFERROR(__xludf.DUMMYFUNCTION("""COMPUTED_VALUE"""),"No")</f>
        <v>No</v>
      </c>
      <c r="M563" s="30" t="str">
        <f ca="1">IFERROR(__xludf.DUMMYFUNCTION("""COMPUTED_VALUE"""),"10070150000")</f>
        <v>10070150000</v>
      </c>
      <c r="N563" s="30" t="str">
        <f ca="1">IFERROR(__xludf.DUMMYFUNCTION("""COMPUTED_VALUE"""),"SAN ANTONIO")</f>
        <v>SAN ANTONIO</v>
      </c>
      <c r="O563" s="30" t="str">
        <f ca="1">IFERROR(__xludf.DUMMYFUNCTION("""COMPUTED_VALUE"""),"1070")</f>
        <v>1070</v>
      </c>
      <c r="P563" s="30" t="str">
        <f ca="1">IFERROR(__xludf.DUMMYFUNCTION("""COMPUTED_VALUE"""),"LA PAZ")</f>
        <v>LA PAZ</v>
      </c>
      <c r="Q563" s="30" t="str">
        <f ca="1">IFERROR(__xludf.DUMMYFUNCTION("""COMPUTED_VALUE"""),"-28.93244887")</f>
        <v>-28.93244887</v>
      </c>
      <c r="R563" s="30" t="str">
        <f ca="1">IFERROR(__xludf.DUMMYFUNCTION("""COMPUTED_VALUE"""),"-65.07888794")</f>
        <v>-65.07888794</v>
      </c>
      <c r="S563" s="30" t="str">
        <f ca="1">IFERROR(__xludf.DUMMYFUNCTION("""COMPUTED_VALUE"""),"Provincial")</f>
        <v>Provincial</v>
      </c>
      <c r="T563" s="30" t="str">
        <f ca="1">IFERROR(__xludf.DUMMYFUNCTION("""COMPUTED_VALUE"""),"-")</f>
        <v>-</v>
      </c>
    </row>
    <row r="564" spans="1:20" ht="15.75" customHeight="1" x14ac:dyDescent="0.25">
      <c r="A564" s="30" t="str">
        <f ca="1">IFERROR(__xludf.DUMMYFUNCTION("""COMPUTED_VALUE"""),"10100772124025")</f>
        <v>10100772124025</v>
      </c>
      <c r="B564" s="30" t="str">
        <f ca="1">IFERROR(__xludf.DUMMYFUNCTION("""COMPUTED_VALUE"""),"ESTABLECIMIENTO SANITARIO DISTRITAL LA MERCED")</f>
        <v>ESTABLECIMIENTO SANITARIO DISTRITAL LA MERCED</v>
      </c>
      <c r="C564" s="30" t="str">
        <f ca="1">IFERROR(__xludf.DUMMYFUNCTION("""COMPUTED_VALUE"""),"Catamarca")</f>
        <v>Catamarca</v>
      </c>
      <c r="D564" s="30" t="str">
        <f ca="1">IFERROR(__xludf.DUMMYFUNCTION("""COMPUTED_VALUE"""),"10")</f>
        <v>10</v>
      </c>
      <c r="E564" s="30" t="str">
        <f ca="1">IFERROR(__xludf.DUMMYFUNCTION("""COMPUTED_VALUE"""),"")</f>
        <v/>
      </c>
      <c r="F564" s="29"/>
      <c r="G564" s="29"/>
      <c r="H564" s="30" t="str">
        <f ca="1">IFERROR(__xludf.DUMMYFUNCTION("""COMPUTED_VALUE"""),"activo")</f>
        <v>activo</v>
      </c>
      <c r="I564" s="29"/>
      <c r="J564" s="29"/>
      <c r="K564" s="29"/>
      <c r="L564" s="30" t="str">
        <f ca="1">IFERROR(__xludf.DUMMYFUNCTION("""COMPUTED_VALUE"""),"No")</f>
        <v>No</v>
      </c>
      <c r="M564" s="30" t="str">
        <f ca="1">IFERROR(__xludf.DUMMYFUNCTION("""COMPUTED_VALUE"""),"10077050000")</f>
        <v>10077050000</v>
      </c>
      <c r="N564" s="30" t="str">
        <f ca="1">IFERROR(__xludf.DUMMYFUNCTION("""COMPUTED_VALUE"""),"LA MERCED")</f>
        <v>LA MERCED</v>
      </c>
      <c r="O564" s="30" t="str">
        <f ca="1">IFERROR(__xludf.DUMMYFUNCTION("""COMPUTED_VALUE"""),"1077")</f>
        <v>1077</v>
      </c>
      <c r="P564" s="30" t="str">
        <f ca="1">IFERROR(__xludf.DUMMYFUNCTION("""COMPUTED_VALUE"""),"PACLÍN")</f>
        <v>PACLÍN</v>
      </c>
      <c r="Q564" s="30" t="str">
        <f ca="1">IFERROR(__xludf.DUMMYFUNCTION("""COMPUTED_VALUE"""),"-28.17129643")</f>
        <v>-28.17129643</v>
      </c>
      <c r="R564" s="30" t="str">
        <f ca="1">IFERROR(__xludf.DUMMYFUNCTION("""COMPUTED_VALUE"""),"-65.67214966")</f>
        <v>-65.67214966</v>
      </c>
      <c r="S564" s="30" t="str">
        <f ca="1">IFERROR(__xludf.DUMMYFUNCTION("""COMPUTED_VALUE"""),"Provincial")</f>
        <v>Provincial</v>
      </c>
      <c r="T564" s="30" t="str">
        <f ca="1">IFERROR(__xludf.DUMMYFUNCTION("""COMPUTED_VALUE"""),"-")</f>
        <v>-</v>
      </c>
    </row>
    <row r="565" spans="1:20" ht="15.75" customHeight="1" x14ac:dyDescent="0.25">
      <c r="A565" s="30" t="str">
        <f ca="1">IFERROR(__xludf.DUMMYFUNCTION("""COMPUTED_VALUE"""),"10100842124007")</f>
        <v>10100842124007</v>
      </c>
      <c r="B565" s="30" t="str">
        <f ca="1">IFERROR(__xludf.DUMMYFUNCTION("""COMPUTED_VALUE"""),"ESTABLECIMIENTO SANITARIO DISTRITAL ROBERTO RAMON CARRO (POMAN)")</f>
        <v>ESTABLECIMIENTO SANITARIO DISTRITAL ROBERTO RAMON CARRO (POMAN)</v>
      </c>
      <c r="C565" s="30" t="str">
        <f ca="1">IFERROR(__xludf.DUMMYFUNCTION("""COMPUTED_VALUE"""),"Catamarca")</f>
        <v>Catamarca</v>
      </c>
      <c r="D565" s="30" t="str">
        <f ca="1">IFERROR(__xludf.DUMMYFUNCTION("""COMPUTED_VALUE"""),"10")</f>
        <v>10</v>
      </c>
      <c r="E565" s="30" t="str">
        <f ca="1">IFERROR(__xludf.DUMMYFUNCTION("""COMPUTED_VALUE"""),"")</f>
        <v/>
      </c>
      <c r="F565" s="29"/>
      <c r="G565" s="29"/>
      <c r="H565" s="30" t="str">
        <f ca="1">IFERROR(__xludf.DUMMYFUNCTION("""COMPUTED_VALUE"""),"activo")</f>
        <v>activo</v>
      </c>
      <c r="I565" s="29"/>
      <c r="J565" s="29"/>
      <c r="K565" s="29"/>
      <c r="L565" s="30" t="str">
        <f ca="1">IFERROR(__xludf.DUMMYFUNCTION("""COMPUTED_VALUE"""),"No")</f>
        <v>No</v>
      </c>
      <c r="M565" s="30" t="str">
        <f ca="1">IFERROR(__xludf.DUMMYFUNCTION("""COMPUTED_VALUE"""),"10084070000")</f>
        <v>10084070000</v>
      </c>
      <c r="N565" s="30" t="str">
        <f ca="1">IFERROR(__xludf.DUMMYFUNCTION("""COMPUTED_VALUE"""),"POMAN")</f>
        <v>POMAN</v>
      </c>
      <c r="O565" s="30" t="str">
        <f ca="1">IFERROR(__xludf.DUMMYFUNCTION("""COMPUTED_VALUE"""),"1084")</f>
        <v>1084</v>
      </c>
      <c r="P565" s="30" t="str">
        <f ca="1">IFERROR(__xludf.DUMMYFUNCTION("""COMPUTED_VALUE"""),"POMÁN")</f>
        <v>POMÁN</v>
      </c>
      <c r="Q565" s="30" t="str">
        <f ca="1">IFERROR(__xludf.DUMMYFUNCTION("""COMPUTED_VALUE"""),"-28.40529275")</f>
        <v>-28.40529275</v>
      </c>
      <c r="R565" s="30" t="str">
        <f ca="1">IFERROR(__xludf.DUMMYFUNCTION("""COMPUTED_VALUE"""),"-66.2159729")</f>
        <v>-66.2159729</v>
      </c>
      <c r="S565" s="30" t="str">
        <f ca="1">IFERROR(__xludf.DUMMYFUNCTION("""COMPUTED_VALUE"""),"Provincial")</f>
        <v>Provincial</v>
      </c>
      <c r="T565" s="30" t="str">
        <f ca="1">IFERROR(__xludf.DUMMYFUNCTION("""COMPUTED_VALUE"""),"-")</f>
        <v>-</v>
      </c>
    </row>
    <row r="566" spans="1:20" ht="15.75" customHeight="1" x14ac:dyDescent="0.25">
      <c r="A566" s="30" t="str">
        <f ca="1">IFERROR(__xludf.DUMMYFUNCTION("""COMPUTED_VALUE"""),"10100842124027")</f>
        <v>10100842124027</v>
      </c>
      <c r="B566" s="30" t="str">
        <f ca="1">IFERROR(__xludf.DUMMYFUNCTION("""COMPUTED_VALUE"""),"ESTABLECIMIENTO SANITARIO DISTRITAL HOSPITAL  SEÑOR DEL MILAGRO DE SAUJIL")</f>
        <v>ESTABLECIMIENTO SANITARIO DISTRITAL HOSPITAL  SEÑOR DEL MILAGRO DE SAUJIL</v>
      </c>
      <c r="C566" s="30" t="str">
        <f ca="1">IFERROR(__xludf.DUMMYFUNCTION("""COMPUTED_VALUE"""),"Catamarca")</f>
        <v>Catamarca</v>
      </c>
      <c r="D566" s="30" t="str">
        <f ca="1">IFERROR(__xludf.DUMMYFUNCTION("""COMPUTED_VALUE"""),"10")</f>
        <v>10</v>
      </c>
      <c r="E566" s="30" t="str">
        <f ca="1">IFERROR(__xludf.DUMMYFUNCTION("""COMPUTED_VALUE"""),"")</f>
        <v/>
      </c>
      <c r="F566" s="29"/>
      <c r="G566" s="29"/>
      <c r="H566" s="30" t="str">
        <f ca="1">IFERROR(__xludf.DUMMYFUNCTION("""COMPUTED_VALUE"""),"inactivo")</f>
        <v>inactivo</v>
      </c>
      <c r="I566" s="29"/>
      <c r="J566" s="29"/>
      <c r="K566" s="29"/>
      <c r="L566" s="30" t="str">
        <f ca="1">IFERROR(__xludf.DUMMYFUNCTION("""COMPUTED_VALUE"""),"No")</f>
        <v>No</v>
      </c>
      <c r="M566" s="30" t="str">
        <f ca="1">IFERROR(__xludf.DUMMYFUNCTION("""COMPUTED_VALUE"""),"10084100000")</f>
        <v>10084100000</v>
      </c>
      <c r="N566" s="30" t="str">
        <f ca="1">IFERROR(__xludf.DUMMYFUNCTION("""COMPUTED_VALUE"""),"SAUJIL")</f>
        <v>SAUJIL</v>
      </c>
      <c r="O566" s="30" t="str">
        <f ca="1">IFERROR(__xludf.DUMMYFUNCTION("""COMPUTED_VALUE"""),"1084")</f>
        <v>1084</v>
      </c>
      <c r="P566" s="30" t="str">
        <f ca="1">IFERROR(__xludf.DUMMYFUNCTION("""COMPUTED_VALUE"""),"POMÁN")</f>
        <v>POMÁN</v>
      </c>
      <c r="Q566" s="30" t="str">
        <f ca="1">IFERROR(__xludf.DUMMYFUNCTION("""COMPUTED_VALUE"""),"-28.18703322")</f>
        <v>-28.18703322</v>
      </c>
      <c r="R566" s="30" t="str">
        <f ca="1">IFERROR(__xludf.DUMMYFUNCTION("""COMPUTED_VALUE"""),"-66.24893188")</f>
        <v>-66.24893188</v>
      </c>
      <c r="S566" s="30" t="str">
        <f ca="1">IFERROR(__xludf.DUMMYFUNCTION("""COMPUTED_VALUE"""),"Provincial")</f>
        <v>Provincial</v>
      </c>
      <c r="T566" s="30" t="str">
        <f ca="1">IFERROR(__xludf.DUMMYFUNCTION("""COMPUTED_VALUE"""),"-")</f>
        <v>-</v>
      </c>
    </row>
    <row r="567" spans="1:20" ht="15.75" customHeight="1" x14ac:dyDescent="0.25">
      <c r="A567" s="30" t="str">
        <f ca="1">IFERROR(__xludf.DUMMYFUNCTION("""COMPUTED_VALUE"""),"10101052124005")</f>
        <v>10101052124005</v>
      </c>
      <c r="B567" s="30" t="str">
        <f ca="1">IFERROR(__xludf.DUMMYFUNCTION("""COMPUTED_VALUE"""),"ESTABLECIMIENTO SANITARIO DISTRITAL DR. LUIS AGOTE FIAMBALA")</f>
        <v>ESTABLECIMIENTO SANITARIO DISTRITAL DR. LUIS AGOTE FIAMBALA</v>
      </c>
      <c r="C567" s="30" t="str">
        <f ca="1">IFERROR(__xludf.DUMMYFUNCTION("""COMPUTED_VALUE"""),"Catamarca")</f>
        <v>Catamarca</v>
      </c>
      <c r="D567" s="30" t="str">
        <f ca="1">IFERROR(__xludf.DUMMYFUNCTION("""COMPUTED_VALUE"""),"10")</f>
        <v>10</v>
      </c>
      <c r="E567" s="30" t="str">
        <f ca="1">IFERROR(__xludf.DUMMYFUNCTION("""COMPUTED_VALUE"""),"")</f>
        <v/>
      </c>
      <c r="F567" s="29"/>
      <c r="G567" s="29"/>
      <c r="H567" s="30" t="str">
        <f ca="1">IFERROR(__xludf.DUMMYFUNCTION("""COMPUTED_VALUE"""),"activo")</f>
        <v>activo</v>
      </c>
      <c r="I567" s="29"/>
      <c r="J567" s="29"/>
      <c r="K567" s="29"/>
      <c r="L567" s="30" t="str">
        <f ca="1">IFERROR(__xludf.DUMMYFUNCTION("""COMPUTED_VALUE"""),"No")</f>
        <v>No</v>
      </c>
      <c r="M567" s="30" t="str">
        <f ca="1">IFERROR(__xludf.DUMMYFUNCTION("""COMPUTED_VALUE"""),"10105110001")</f>
        <v>10105110001</v>
      </c>
      <c r="N567" s="30" t="str">
        <f ca="1">IFERROR(__xludf.DUMMYFUNCTION("""COMPUTED_VALUE"""),"FIAMBALA")</f>
        <v>FIAMBALA</v>
      </c>
      <c r="O567" s="30" t="str">
        <f ca="1">IFERROR(__xludf.DUMMYFUNCTION("""COMPUTED_VALUE"""),"10105")</f>
        <v>10105</v>
      </c>
      <c r="P567" s="30" t="str">
        <f ca="1">IFERROR(__xludf.DUMMYFUNCTION("""COMPUTED_VALUE"""),"TINOGASTA")</f>
        <v>TINOGASTA</v>
      </c>
      <c r="Q567" s="30" t="str">
        <f ca="1">IFERROR(__xludf.DUMMYFUNCTION("""COMPUTED_VALUE"""),"-27.70055197")</f>
        <v>-27.70055197</v>
      </c>
      <c r="R567" s="30" t="str">
        <f ca="1">IFERROR(__xludf.DUMMYFUNCTION("""COMPUTED_VALUE"""),"-67.63183594")</f>
        <v>-67.63183594</v>
      </c>
      <c r="S567" s="30" t="str">
        <f ca="1">IFERROR(__xludf.DUMMYFUNCTION("""COMPUTED_VALUE"""),"Provincial")</f>
        <v>Provincial</v>
      </c>
      <c r="T567" s="30" t="str">
        <f ca="1">IFERROR(__xludf.DUMMYFUNCTION("""COMPUTED_VALUE"""),"-")</f>
        <v>-</v>
      </c>
    </row>
    <row r="568" spans="1:20" ht="15.75" customHeight="1" x14ac:dyDescent="0.25">
      <c r="A568" s="30" t="str">
        <f ca="1">IFERROR(__xludf.DUMMYFUNCTION("""COMPUTED_VALUE"""),"50100352124157")</f>
        <v>50100352124157</v>
      </c>
      <c r="B568" s="30" t="str">
        <f ca="1">IFERROR(__xludf.DUMMYFUNCTION("""COMPUTED_VALUE"""),"ESTABLECIMIENTO SANITARIO PERIFERICO DE ENFERMERIA PUERTA DE CORRAL QUEMADO")</f>
        <v>ESTABLECIMIENTO SANITARIO PERIFERICO DE ENFERMERIA PUERTA DE CORRAL QUEMADO</v>
      </c>
      <c r="C568" s="30" t="str">
        <f ca="1">IFERROR(__xludf.DUMMYFUNCTION("""COMPUTED_VALUE"""),"Catamarca")</f>
        <v>Catamarca</v>
      </c>
      <c r="D568" s="30" t="str">
        <f ca="1">IFERROR(__xludf.DUMMYFUNCTION("""COMPUTED_VALUE"""),"10")</f>
        <v>10</v>
      </c>
      <c r="E568" s="30" t="str">
        <f ca="1">IFERROR(__xludf.DUMMYFUNCTION("""COMPUTED_VALUE"""),"")</f>
        <v/>
      </c>
      <c r="F568" s="29"/>
      <c r="G568" s="29"/>
      <c r="H568" s="30" t="str">
        <f ca="1">IFERROR(__xludf.DUMMYFUNCTION("""COMPUTED_VALUE"""),"activo")</f>
        <v>activo</v>
      </c>
      <c r="I568" s="29"/>
      <c r="J568" s="29"/>
      <c r="K568" s="29"/>
      <c r="L568" s="30" t="str">
        <f ca="1">IFERROR(__xludf.DUMMYFUNCTION("""COMPUTED_VALUE"""),"No")</f>
        <v>No</v>
      </c>
      <c r="M568" s="30" t="str">
        <f ca="1">IFERROR(__xludf.DUMMYFUNCTION("""COMPUTED_VALUE"""),"10035130000")</f>
        <v>10035130000</v>
      </c>
      <c r="N568" s="30" t="str">
        <f ca="1">IFERROR(__xludf.DUMMYFUNCTION("""COMPUTED_VALUE"""),"PUERTA DE CORRAL QUEMADO")</f>
        <v>PUERTA DE CORRAL QUEMADO</v>
      </c>
      <c r="O568" s="30" t="str">
        <f ca="1">IFERROR(__xludf.DUMMYFUNCTION("""COMPUTED_VALUE"""),"1035")</f>
        <v>1035</v>
      </c>
      <c r="P568" s="30" t="str">
        <f ca="1">IFERROR(__xludf.DUMMYFUNCTION("""COMPUTED_VALUE"""),"BELÉN")</f>
        <v>BELÉN</v>
      </c>
      <c r="Q568" s="30" t="str">
        <f ca="1">IFERROR(__xludf.DUMMYFUNCTION("""COMPUTED_VALUE"""),"-27.23631564")</f>
        <v>-27.23631564</v>
      </c>
      <c r="R568" s="30" t="str">
        <f ca="1">IFERROR(__xludf.DUMMYFUNCTION("""COMPUTED_VALUE"""),"-66.96372986")</f>
        <v>-66.96372986</v>
      </c>
      <c r="S568" s="30" t="str">
        <f ca="1">IFERROR(__xludf.DUMMYFUNCTION("""COMPUTED_VALUE"""),"Provincial")</f>
        <v>Provincial</v>
      </c>
      <c r="T568" s="30" t="str">
        <f ca="1">IFERROR(__xludf.DUMMYFUNCTION("""COMPUTED_VALUE"""),"-")</f>
        <v>-</v>
      </c>
    </row>
    <row r="569" spans="1:20" ht="15.75" customHeight="1" x14ac:dyDescent="0.25">
      <c r="A569" s="30" t="str">
        <f ca="1">IFERROR(__xludf.DUMMYFUNCTION("""COMPUTED_VALUE"""),"50100492124053")</f>
        <v>50100492124053</v>
      </c>
      <c r="B569" s="30" t="str">
        <f ca="1">IFERROR(__xludf.DUMMYFUNCTION("""COMPUTED_VALUE"""),"ESTABLECIMIENTO SANITARIO PERIFERICO ALTOS DE CHOYA")</f>
        <v>ESTABLECIMIENTO SANITARIO PERIFERICO ALTOS DE CHOYA</v>
      </c>
      <c r="C569" s="30" t="str">
        <f ca="1">IFERROR(__xludf.DUMMYFUNCTION("""COMPUTED_VALUE"""),"Catamarca")</f>
        <v>Catamarca</v>
      </c>
      <c r="D569" s="30" t="str">
        <f ca="1">IFERROR(__xludf.DUMMYFUNCTION("""COMPUTED_VALUE"""),"10")</f>
        <v>10</v>
      </c>
      <c r="E569" s="30" t="str">
        <f ca="1">IFERROR(__xludf.DUMMYFUNCTION("""COMPUTED_VALUE"""),"")</f>
        <v/>
      </c>
      <c r="F569" s="29"/>
      <c r="G569" s="29"/>
      <c r="H569" s="30" t="str">
        <f ca="1">IFERROR(__xludf.DUMMYFUNCTION("""COMPUTED_VALUE"""),"activo")</f>
        <v>activo</v>
      </c>
      <c r="I569" s="29"/>
      <c r="J569" s="29"/>
      <c r="K569" s="29"/>
      <c r="L569" s="30" t="str">
        <f ca="1">IFERROR(__xludf.DUMMYFUNCTION("""COMPUTED_VALUE"""),"No")</f>
        <v>No</v>
      </c>
      <c r="M569" s="30" t="str">
        <f ca="1">IFERROR(__xludf.DUMMYFUNCTION("""COMPUTED_VALUE"""),"10049030000")</f>
        <v>10049030000</v>
      </c>
      <c r="N569" s="30" t="str">
        <f ca="1">IFERROR(__xludf.DUMMYFUNCTION("""COMPUTED_VALUE"""),"SAN FERNANDO DEL VALLE DE CATAMARCA")</f>
        <v>SAN FERNANDO DEL VALLE DE CATAMARCA</v>
      </c>
      <c r="O569" s="30" t="str">
        <f ca="1">IFERROR(__xludf.DUMMYFUNCTION("""COMPUTED_VALUE"""),"1049")</f>
        <v>1049</v>
      </c>
      <c r="P569" s="30" t="str">
        <f ca="1">IFERROR(__xludf.DUMMYFUNCTION("""COMPUTED_VALUE"""),"CAPITAL")</f>
        <v>CAPITAL</v>
      </c>
      <c r="Q569" s="30" t="str">
        <f ca="1">IFERROR(__xludf.DUMMYFUNCTION("""COMPUTED_VALUE"""),"-28.44352511")</f>
        <v>-28.44352511</v>
      </c>
      <c r="R569" s="30" t="str">
        <f ca="1">IFERROR(__xludf.DUMMYFUNCTION("""COMPUTED_VALUE"""),"-65.77306509")</f>
        <v>-65.77306509</v>
      </c>
      <c r="S569" s="30" t="str">
        <f ca="1">IFERROR(__xludf.DUMMYFUNCTION("""COMPUTED_VALUE"""),"Provincial")</f>
        <v>Provincial</v>
      </c>
      <c r="T569" s="30" t="str">
        <f ca="1">IFERROR(__xludf.DUMMYFUNCTION("""COMPUTED_VALUE"""),"-")</f>
        <v>-</v>
      </c>
    </row>
    <row r="570" spans="1:20" ht="15.75" customHeight="1" x14ac:dyDescent="0.25">
      <c r="A570" s="30" t="str">
        <f ca="1">IFERROR(__xludf.DUMMYFUNCTION("""COMPUTED_VALUE"""),"50100492124061")</f>
        <v>50100492124061</v>
      </c>
      <c r="B570" s="30" t="str">
        <f ca="1">IFERROR(__xludf.DUMMYFUNCTION("""COMPUTED_VALUE"""),"ESTABLECIMIENTO SANITARIO PERIFERICO APOLO")</f>
        <v>ESTABLECIMIENTO SANITARIO PERIFERICO APOLO</v>
      </c>
      <c r="C570" s="30" t="str">
        <f ca="1">IFERROR(__xludf.DUMMYFUNCTION("""COMPUTED_VALUE"""),"Catamarca")</f>
        <v>Catamarca</v>
      </c>
      <c r="D570" s="30" t="str">
        <f ca="1">IFERROR(__xludf.DUMMYFUNCTION("""COMPUTED_VALUE"""),"10")</f>
        <v>10</v>
      </c>
      <c r="E570" s="30" t="str">
        <f ca="1">IFERROR(__xludf.DUMMYFUNCTION("""COMPUTED_VALUE"""),"")</f>
        <v/>
      </c>
      <c r="F570" s="29"/>
      <c r="G570" s="29"/>
      <c r="H570" s="30" t="str">
        <f ca="1">IFERROR(__xludf.DUMMYFUNCTION("""COMPUTED_VALUE"""),"activo")</f>
        <v>activo</v>
      </c>
      <c r="I570" s="29"/>
      <c r="J570" s="29"/>
      <c r="K570" s="29"/>
      <c r="L570" s="30" t="str">
        <f ca="1">IFERROR(__xludf.DUMMYFUNCTION("""COMPUTED_VALUE"""),"No")</f>
        <v>No</v>
      </c>
      <c r="M570" s="30" t="str">
        <f ca="1">IFERROR(__xludf.DUMMYFUNCTION("""COMPUTED_VALUE"""),"10049030000")</f>
        <v>10049030000</v>
      </c>
      <c r="N570" s="30" t="str">
        <f ca="1">IFERROR(__xludf.DUMMYFUNCTION("""COMPUTED_VALUE"""),"SAN FERNANDO DEL VALLE DE CATAMARCA")</f>
        <v>SAN FERNANDO DEL VALLE DE CATAMARCA</v>
      </c>
      <c r="O570" s="30" t="str">
        <f ca="1">IFERROR(__xludf.DUMMYFUNCTION("""COMPUTED_VALUE"""),"1049")</f>
        <v>1049</v>
      </c>
      <c r="P570" s="30" t="str">
        <f ca="1">IFERROR(__xludf.DUMMYFUNCTION("""COMPUTED_VALUE"""),"CAPITAL")</f>
        <v>CAPITAL</v>
      </c>
      <c r="Q570" s="30" t="str">
        <f ca="1">IFERROR(__xludf.DUMMYFUNCTION("""COMPUTED_VALUE"""),"-28.4799036")</f>
        <v>-28.4799036</v>
      </c>
      <c r="R570" s="30" t="str">
        <f ca="1">IFERROR(__xludf.DUMMYFUNCTION("""COMPUTED_VALUE"""),"-65.7970216")</f>
        <v>-65.7970216</v>
      </c>
      <c r="S570" s="30" t="str">
        <f ca="1">IFERROR(__xludf.DUMMYFUNCTION("""COMPUTED_VALUE"""),"Provincial")</f>
        <v>Provincial</v>
      </c>
      <c r="T570" s="30" t="str">
        <f ca="1">IFERROR(__xludf.DUMMYFUNCTION("""COMPUTED_VALUE"""),"-")</f>
        <v>-</v>
      </c>
    </row>
    <row r="571" spans="1:20" ht="15.75" customHeight="1" x14ac:dyDescent="0.25">
      <c r="A571" s="30" t="str">
        <f ca="1">IFERROR(__xludf.DUMMYFUNCTION("""COMPUTED_VALUE"""),"50100492124071")</f>
        <v>50100492124071</v>
      </c>
      <c r="B571" s="30" t="str">
        <f ca="1">IFERROR(__xludf.DUMMYFUNCTION("""COMPUTED_VALUE"""),"CAPS DR. CARLOS BRAVO")</f>
        <v>CAPS DR. CARLOS BRAVO</v>
      </c>
      <c r="C571" s="30" t="str">
        <f ca="1">IFERROR(__xludf.DUMMYFUNCTION("""COMPUTED_VALUE"""),"Catamarca")</f>
        <v>Catamarca</v>
      </c>
      <c r="D571" s="30" t="str">
        <f ca="1">IFERROR(__xludf.DUMMYFUNCTION("""COMPUTED_VALUE"""),"10")</f>
        <v>10</v>
      </c>
      <c r="E571" s="30" t="str">
        <f ca="1">IFERROR(__xludf.DUMMYFUNCTION("""COMPUTED_VALUE"""),"")</f>
        <v/>
      </c>
      <c r="F571" s="29"/>
      <c r="G571" s="29"/>
      <c r="H571" s="30" t="str">
        <f ca="1">IFERROR(__xludf.DUMMYFUNCTION("""COMPUTED_VALUE"""),"activo")</f>
        <v>activo</v>
      </c>
      <c r="I571" s="29"/>
      <c r="J571" s="29"/>
      <c r="K571" s="29"/>
      <c r="L571" s="30" t="str">
        <f ca="1">IFERROR(__xludf.DUMMYFUNCTION("""COMPUTED_VALUE"""),"No")</f>
        <v>No</v>
      </c>
      <c r="M571" s="30" t="str">
        <f ca="1">IFERROR(__xludf.DUMMYFUNCTION("""COMPUTED_VALUE"""),"10049030000")</f>
        <v>10049030000</v>
      </c>
      <c r="N571" s="30" t="str">
        <f ca="1">IFERROR(__xludf.DUMMYFUNCTION("""COMPUTED_VALUE"""),"SAN FERNANDO DEL VALLE DE CATAMARCA")</f>
        <v>SAN FERNANDO DEL VALLE DE CATAMARCA</v>
      </c>
      <c r="O571" s="30" t="str">
        <f ca="1">IFERROR(__xludf.DUMMYFUNCTION("""COMPUTED_VALUE"""),"1049")</f>
        <v>1049</v>
      </c>
      <c r="P571" s="30" t="str">
        <f ca="1">IFERROR(__xludf.DUMMYFUNCTION("""COMPUTED_VALUE"""),"CAPITAL")</f>
        <v>CAPITAL</v>
      </c>
      <c r="Q571" s="30" t="str">
        <f ca="1">IFERROR(__xludf.DUMMYFUNCTION("""COMPUTED_VALUE"""),"-28.4940506")</f>
        <v>-28.4940506</v>
      </c>
      <c r="R571" s="30" t="str">
        <f ca="1">IFERROR(__xludf.DUMMYFUNCTION("""COMPUTED_VALUE"""),"-65.7827442")</f>
        <v>-65.7827442</v>
      </c>
      <c r="S571" s="30" t="str">
        <f ca="1">IFERROR(__xludf.DUMMYFUNCTION("""COMPUTED_VALUE"""),"Provincial")</f>
        <v>Provincial</v>
      </c>
      <c r="T571" s="30" t="str">
        <f ca="1">IFERROR(__xludf.DUMMYFUNCTION("""COMPUTED_VALUE"""),"-")</f>
        <v>-</v>
      </c>
    </row>
    <row r="572" spans="1:20" ht="15.75" customHeight="1" x14ac:dyDescent="0.25">
      <c r="A572" s="30" t="str">
        <f ca="1">IFERROR(__xludf.DUMMYFUNCTION("""COMPUTED_VALUE"""),"50100492124084")</f>
        <v>50100492124084</v>
      </c>
      <c r="B572" s="30" t="str">
        <f ca="1">IFERROR(__xludf.DUMMYFUNCTION("""COMPUTED_VALUE"""),"CAPS EDGARDO ACUÑA")</f>
        <v>CAPS EDGARDO ACUÑA</v>
      </c>
      <c r="C572" s="30" t="str">
        <f ca="1">IFERROR(__xludf.DUMMYFUNCTION("""COMPUTED_VALUE"""),"Catamarca")</f>
        <v>Catamarca</v>
      </c>
      <c r="D572" s="30" t="str">
        <f ca="1">IFERROR(__xludf.DUMMYFUNCTION("""COMPUTED_VALUE"""),"10")</f>
        <v>10</v>
      </c>
      <c r="E572" s="30" t="str">
        <f ca="1">IFERROR(__xludf.DUMMYFUNCTION("""COMPUTED_VALUE"""),"")</f>
        <v/>
      </c>
      <c r="F572" s="29"/>
      <c r="G572" s="29"/>
      <c r="H572" s="30" t="str">
        <f ca="1">IFERROR(__xludf.DUMMYFUNCTION("""COMPUTED_VALUE"""),"activo")</f>
        <v>activo</v>
      </c>
      <c r="I572" s="29"/>
      <c r="J572" s="29"/>
      <c r="K572" s="29"/>
      <c r="L572" s="30" t="str">
        <f ca="1">IFERROR(__xludf.DUMMYFUNCTION("""COMPUTED_VALUE"""),"No")</f>
        <v>No</v>
      </c>
      <c r="M572" s="30" t="str">
        <f ca="1">IFERROR(__xludf.DUMMYFUNCTION("""COMPUTED_VALUE"""),"10049030000")</f>
        <v>10049030000</v>
      </c>
      <c r="N572" s="30" t="str">
        <f ca="1">IFERROR(__xludf.DUMMYFUNCTION("""COMPUTED_VALUE"""),"SAN FERNANDO DEL VALLE DE CATAMARCA")</f>
        <v>SAN FERNANDO DEL VALLE DE CATAMARCA</v>
      </c>
      <c r="O572" s="30" t="str">
        <f ca="1">IFERROR(__xludf.DUMMYFUNCTION("""COMPUTED_VALUE"""),"1049")</f>
        <v>1049</v>
      </c>
      <c r="P572" s="30" t="str">
        <f ca="1">IFERROR(__xludf.DUMMYFUNCTION("""COMPUTED_VALUE"""),"CAPITAL")</f>
        <v>CAPITAL</v>
      </c>
      <c r="Q572" s="30" t="str">
        <f ca="1">IFERROR(__xludf.DUMMYFUNCTION("""COMPUTED_VALUE"""),"-28.450886")</f>
        <v>-28.450886</v>
      </c>
      <c r="R572" s="30" t="str">
        <f ca="1">IFERROR(__xludf.DUMMYFUNCTION("""COMPUTED_VALUE"""),"-65.78207")</f>
        <v>-65.78207</v>
      </c>
      <c r="S572" s="30" t="str">
        <f ca="1">IFERROR(__xludf.DUMMYFUNCTION("""COMPUTED_VALUE"""),"Provincial")</f>
        <v>Provincial</v>
      </c>
      <c r="T572" s="30" t="str">
        <f ca="1">IFERROR(__xludf.DUMMYFUNCTION("""COMPUTED_VALUE"""),"-")</f>
        <v>-</v>
      </c>
    </row>
    <row r="573" spans="1:20" ht="15.75" customHeight="1" x14ac:dyDescent="0.25">
      <c r="A573" s="30" t="str">
        <f ca="1">IFERROR(__xludf.DUMMYFUNCTION("""COMPUTED_VALUE"""),"50100492124211")</f>
        <v>50100492124211</v>
      </c>
      <c r="B573" s="30" t="str">
        <f ca="1">IFERROR(__xludf.DUMMYFUNCTION("""COMPUTED_VALUE"""),"ESTABLECIMIENTO SANITARIO PERIFERICO DR. FARIAS TAIRE")</f>
        <v>ESTABLECIMIENTO SANITARIO PERIFERICO DR. FARIAS TAIRE</v>
      </c>
      <c r="C573" s="30" t="str">
        <f ca="1">IFERROR(__xludf.DUMMYFUNCTION("""COMPUTED_VALUE"""),"Catamarca")</f>
        <v>Catamarca</v>
      </c>
      <c r="D573" s="30" t="str">
        <f ca="1">IFERROR(__xludf.DUMMYFUNCTION("""COMPUTED_VALUE"""),"10")</f>
        <v>10</v>
      </c>
      <c r="E573" s="30" t="str">
        <f ca="1">IFERROR(__xludf.DUMMYFUNCTION("""COMPUTED_VALUE"""),"")</f>
        <v/>
      </c>
      <c r="F573" s="29"/>
      <c r="G573" s="29"/>
      <c r="H573" s="30" t="str">
        <f ca="1">IFERROR(__xludf.DUMMYFUNCTION("""COMPUTED_VALUE"""),"activo")</f>
        <v>activo</v>
      </c>
      <c r="I573" s="29"/>
      <c r="J573" s="29"/>
      <c r="K573" s="29"/>
      <c r="L573" s="30" t="str">
        <f ca="1">IFERROR(__xludf.DUMMYFUNCTION("""COMPUTED_VALUE"""),"No")</f>
        <v>No</v>
      </c>
      <c r="M573" s="30" t="str">
        <f ca="1">IFERROR(__xludf.DUMMYFUNCTION("""COMPUTED_VALUE"""),"10049030000")</f>
        <v>10049030000</v>
      </c>
      <c r="N573" s="30" t="str">
        <f ca="1">IFERROR(__xludf.DUMMYFUNCTION("""COMPUTED_VALUE"""),"SAN FERNANDO DEL VALLE DE CATAMARCA")</f>
        <v>SAN FERNANDO DEL VALLE DE CATAMARCA</v>
      </c>
      <c r="O573" s="30" t="str">
        <f ca="1">IFERROR(__xludf.DUMMYFUNCTION("""COMPUTED_VALUE"""),"1049")</f>
        <v>1049</v>
      </c>
      <c r="P573" s="30" t="str">
        <f ca="1">IFERROR(__xludf.DUMMYFUNCTION("""COMPUTED_VALUE"""),"CAPITAL")</f>
        <v>CAPITAL</v>
      </c>
      <c r="Q573" s="30" t="str">
        <f ca="1">IFERROR(__xludf.DUMMYFUNCTION("""COMPUTED_VALUE"""),"-28.49613334")</f>
        <v>-28.49613334</v>
      </c>
      <c r="R573" s="30" t="str">
        <f ca="1">IFERROR(__xludf.DUMMYFUNCTION("""COMPUTED_VALUE"""),"-65.80263376")</f>
        <v>-65.80263376</v>
      </c>
      <c r="S573" s="30" t="str">
        <f ca="1">IFERROR(__xludf.DUMMYFUNCTION("""COMPUTED_VALUE"""),"Provincial")</f>
        <v>Provincial</v>
      </c>
      <c r="T573" s="30" t="str">
        <f ca="1">IFERROR(__xludf.DUMMYFUNCTION("""COMPUTED_VALUE"""),"-")</f>
        <v>-</v>
      </c>
    </row>
    <row r="574" spans="1:20" ht="15.75" customHeight="1" x14ac:dyDescent="0.25">
      <c r="A574" s="30" t="str">
        <f ca="1">IFERROR(__xludf.DUMMYFUNCTION("""COMPUTED_VALUE"""),"50100492124248")</f>
        <v>50100492124248</v>
      </c>
      <c r="B574" s="30" t="str">
        <f ca="1">IFERROR(__xludf.DUMMYFUNCTION("""COMPUTED_VALUE"""),"ESTABLECIMIENTO SANITARIO PERIFERICO LIBERTADOR II")</f>
        <v>ESTABLECIMIENTO SANITARIO PERIFERICO LIBERTADOR II</v>
      </c>
      <c r="C574" s="30" t="str">
        <f ca="1">IFERROR(__xludf.DUMMYFUNCTION("""COMPUTED_VALUE"""),"Catamarca")</f>
        <v>Catamarca</v>
      </c>
      <c r="D574" s="30" t="str">
        <f ca="1">IFERROR(__xludf.DUMMYFUNCTION("""COMPUTED_VALUE"""),"10")</f>
        <v>10</v>
      </c>
      <c r="E574" s="30" t="str">
        <f ca="1">IFERROR(__xludf.DUMMYFUNCTION("""COMPUTED_VALUE"""),"")</f>
        <v/>
      </c>
      <c r="F574" s="29"/>
      <c r="G574" s="29"/>
      <c r="H574" s="30" t="str">
        <f ca="1">IFERROR(__xludf.DUMMYFUNCTION("""COMPUTED_VALUE"""),"activo")</f>
        <v>activo</v>
      </c>
      <c r="I574" s="29"/>
      <c r="J574" s="29"/>
      <c r="K574" s="29"/>
      <c r="L574" s="30" t="str">
        <f ca="1">IFERROR(__xludf.DUMMYFUNCTION("""COMPUTED_VALUE"""),"No")</f>
        <v>No</v>
      </c>
      <c r="M574" s="30" t="str">
        <f ca="1">IFERROR(__xludf.DUMMYFUNCTION("""COMPUTED_VALUE"""),"10049030000")</f>
        <v>10049030000</v>
      </c>
      <c r="N574" s="30" t="str">
        <f ca="1">IFERROR(__xludf.DUMMYFUNCTION("""COMPUTED_VALUE"""),"SAN FERNANDO DEL VALLE DE CATAMARCA")</f>
        <v>SAN FERNANDO DEL VALLE DE CATAMARCA</v>
      </c>
      <c r="O574" s="30" t="str">
        <f ca="1">IFERROR(__xludf.DUMMYFUNCTION("""COMPUTED_VALUE"""),"1049")</f>
        <v>1049</v>
      </c>
      <c r="P574" s="30" t="str">
        <f ca="1">IFERROR(__xludf.DUMMYFUNCTION("""COMPUTED_VALUE"""),"CAPITAL")</f>
        <v>CAPITAL</v>
      </c>
      <c r="Q574" s="30" t="str">
        <f ca="1">IFERROR(__xludf.DUMMYFUNCTION("""COMPUTED_VALUE"""),"-28.487173")</f>
        <v>-28.487173</v>
      </c>
      <c r="R574" s="30" t="str">
        <f ca="1">IFERROR(__xludf.DUMMYFUNCTION("""COMPUTED_VALUE"""),"-65.792429")</f>
        <v>-65.792429</v>
      </c>
      <c r="S574" s="30" t="str">
        <f ca="1">IFERROR(__xludf.DUMMYFUNCTION("""COMPUTED_VALUE"""),"Provincial")</f>
        <v>Provincial</v>
      </c>
      <c r="T574" s="30" t="str">
        <f ca="1">IFERROR(__xludf.DUMMYFUNCTION("""COMPUTED_VALUE"""),"-")</f>
        <v>-</v>
      </c>
    </row>
    <row r="575" spans="1:20" ht="15.75" customHeight="1" x14ac:dyDescent="0.25">
      <c r="A575" s="30" t="str">
        <f ca="1">IFERROR(__xludf.DUMMYFUNCTION("""COMPUTED_VALUE"""),"50100492124324")</f>
        <v>50100492124324</v>
      </c>
      <c r="B575" s="30" t="str">
        <f ca="1">IFERROR(__xludf.DUMMYFUNCTION("""COMPUTED_VALUE"""),"ESTABLECIMIENTO SANITARIO PERIFERICO 500 VIVIENDAS")</f>
        <v>ESTABLECIMIENTO SANITARIO PERIFERICO 500 VIVIENDAS</v>
      </c>
      <c r="C575" s="30" t="str">
        <f ca="1">IFERROR(__xludf.DUMMYFUNCTION("""COMPUTED_VALUE"""),"Catamarca")</f>
        <v>Catamarca</v>
      </c>
      <c r="D575" s="30" t="str">
        <f ca="1">IFERROR(__xludf.DUMMYFUNCTION("""COMPUTED_VALUE"""),"10")</f>
        <v>10</v>
      </c>
      <c r="E575" s="30" t="str">
        <f ca="1">IFERROR(__xludf.DUMMYFUNCTION("""COMPUTED_VALUE"""),"")</f>
        <v/>
      </c>
      <c r="F575" s="29"/>
      <c r="G575" s="29"/>
      <c r="H575" s="30" t="str">
        <f ca="1">IFERROR(__xludf.DUMMYFUNCTION("""COMPUTED_VALUE"""),"activo")</f>
        <v>activo</v>
      </c>
      <c r="I575" s="29"/>
      <c r="J575" s="29"/>
      <c r="K575" s="29"/>
      <c r="L575" s="30" t="str">
        <f ca="1">IFERROR(__xludf.DUMMYFUNCTION("""COMPUTED_VALUE"""),"No")</f>
        <v>No</v>
      </c>
      <c r="M575" s="30" t="str">
        <f ca="1">IFERROR(__xludf.DUMMYFUNCTION("""COMPUTED_VALUE"""),"10049030000")</f>
        <v>10049030000</v>
      </c>
      <c r="N575" s="30" t="str">
        <f ca="1">IFERROR(__xludf.DUMMYFUNCTION("""COMPUTED_VALUE"""),"SAN FERNANDO DEL VALLE DE CATAMARCA")</f>
        <v>SAN FERNANDO DEL VALLE DE CATAMARCA</v>
      </c>
      <c r="O575" s="30" t="str">
        <f ca="1">IFERROR(__xludf.DUMMYFUNCTION("""COMPUTED_VALUE"""),"1049")</f>
        <v>1049</v>
      </c>
      <c r="P575" s="30" t="str">
        <f ca="1">IFERROR(__xludf.DUMMYFUNCTION("""COMPUTED_VALUE"""),"CAPITAL")</f>
        <v>CAPITAL</v>
      </c>
      <c r="Q575" s="30" t="str">
        <f ca="1">IFERROR(__xludf.DUMMYFUNCTION("""COMPUTED_VALUE"""),"-28.4349721")</f>
        <v>-28.4349721</v>
      </c>
      <c r="R575" s="30" t="str">
        <f ca="1">IFERROR(__xludf.DUMMYFUNCTION("""COMPUTED_VALUE"""),"-65.7833568")</f>
        <v>-65.7833568</v>
      </c>
      <c r="S575" s="30" t="str">
        <f ca="1">IFERROR(__xludf.DUMMYFUNCTION("""COMPUTED_VALUE"""),"Provincial")</f>
        <v>Provincial</v>
      </c>
      <c r="T575" s="30" t="str">
        <f ca="1">IFERROR(__xludf.DUMMYFUNCTION("""COMPUTED_VALUE"""),"-")</f>
        <v>-</v>
      </c>
    </row>
    <row r="576" spans="1:20" ht="15.75" customHeight="1" x14ac:dyDescent="0.25">
      <c r="A576" s="30" t="str">
        <f ca="1">IFERROR(__xludf.DUMMYFUNCTION("""COMPUTED_VALUE"""),"50100352124174")</f>
        <v>50100352124174</v>
      </c>
      <c r="B576" s="30" t="str">
        <f ca="1">IFERROR(__xludf.DUMMYFUNCTION("""COMPUTED_VALUE"""),"ESTABLECIMIENTO SANITARIO PERIFERICO ENFERMERIA LAGUNA BLANCA")</f>
        <v>ESTABLECIMIENTO SANITARIO PERIFERICO ENFERMERIA LAGUNA BLANCA</v>
      </c>
      <c r="C576" s="30" t="str">
        <f ca="1">IFERROR(__xludf.DUMMYFUNCTION("""COMPUTED_VALUE"""),"Catamarca")</f>
        <v>Catamarca</v>
      </c>
      <c r="D576" s="30" t="str">
        <f ca="1">IFERROR(__xludf.DUMMYFUNCTION("""COMPUTED_VALUE"""),"10")</f>
        <v>10</v>
      </c>
      <c r="E576" s="30" t="str">
        <f ca="1">IFERROR(__xludf.DUMMYFUNCTION("""COMPUTED_VALUE"""),"si")</f>
        <v>si</v>
      </c>
      <c r="F576" s="30" t="str">
        <f ca="1">IFERROR(__xludf.DUMMYFUNCTION("""COMPUTED_VALUE"""),"50100282124421")</f>
        <v>50100282124421</v>
      </c>
      <c r="G576" s="29"/>
      <c r="H576" s="30" t="str">
        <f ca="1">IFERROR(__xludf.DUMMYFUNCTION("""COMPUTED_VALUE"""),"activo")</f>
        <v>activo</v>
      </c>
      <c r="I576" s="29"/>
      <c r="J576" s="29"/>
      <c r="K576" s="29"/>
      <c r="L576" s="30" t="str">
        <f ca="1">IFERROR(__xludf.DUMMYFUNCTION("""COMPUTED_VALUE"""),"No")</f>
        <v>No</v>
      </c>
      <c r="M576" s="30" t="str">
        <f ca="1">IFERROR(__xludf.DUMMYFUNCTION("""COMPUTED_VALUE"""),"10035000062")</f>
        <v>10035000062</v>
      </c>
      <c r="N576" s="30" t="str">
        <f ca="1">IFERROR(__xludf.DUMMYFUNCTION("""COMPUTED_VALUE"""),"LAGUNA BLANCA")</f>
        <v>LAGUNA BLANCA</v>
      </c>
      <c r="O576" s="30" t="str">
        <f ca="1">IFERROR(__xludf.DUMMYFUNCTION("""COMPUTED_VALUE"""),"1035")</f>
        <v>1035</v>
      </c>
      <c r="P576" s="30" t="str">
        <f ca="1">IFERROR(__xludf.DUMMYFUNCTION("""COMPUTED_VALUE"""),"BELÉN")</f>
        <v>BELÉN</v>
      </c>
      <c r="Q576" s="30" t="str">
        <f ca="1">IFERROR(__xludf.DUMMYFUNCTION("""COMPUTED_VALUE"""),"-26.60756045")</f>
        <v>-26.60756045</v>
      </c>
      <c r="R576" s="30" t="str">
        <f ca="1">IFERROR(__xludf.DUMMYFUNCTION("""COMPUTED_VALUE"""),"-66.91669464")</f>
        <v>-66.91669464</v>
      </c>
      <c r="S576" s="30" t="str">
        <f ca="1">IFERROR(__xludf.DUMMYFUNCTION("""COMPUTED_VALUE"""),"Provincial")</f>
        <v>Provincial</v>
      </c>
      <c r="T576" s="30" t="str">
        <f ca="1">IFERROR(__xludf.DUMMYFUNCTION("""COMPUTED_VALUE"""),"-")</f>
        <v>-</v>
      </c>
    </row>
    <row r="577" spans="1:20" ht="15.75" customHeight="1" x14ac:dyDescent="0.25">
      <c r="A577" s="30" t="str">
        <f ca="1">IFERROR(__xludf.DUMMYFUNCTION("""COMPUTED_VALUE"""),"50100282124421")</f>
        <v>50100282124421</v>
      </c>
      <c r="B577" s="30" t="str">
        <f ca="1">IFERROR(__xludf.DUMMYFUNCTION("""COMPUTED_VALUE"""),"ESTABLECIMIENTO SANITARIO PERIFERICO ANTOFALLA")</f>
        <v>ESTABLECIMIENTO SANITARIO PERIFERICO ANTOFALLA</v>
      </c>
      <c r="C577" s="30" t="str">
        <f ca="1">IFERROR(__xludf.DUMMYFUNCTION("""COMPUTED_VALUE"""),"Catamarca")</f>
        <v>Catamarca</v>
      </c>
      <c r="D577" s="30" t="str">
        <f ca="1">IFERROR(__xludf.DUMMYFUNCTION("""COMPUTED_VALUE"""),"10")</f>
        <v>10</v>
      </c>
      <c r="E577" s="30" t="str">
        <f ca="1">IFERROR(__xludf.DUMMYFUNCTION("""COMPUTED_VALUE"""),"si")</f>
        <v>si</v>
      </c>
      <c r="F577" s="29"/>
      <c r="G577" s="30" t="str">
        <f ca="1">IFERROR(__xludf.DUMMYFUNCTION("""COMPUTED_VALUE"""),"50100352124174")</f>
        <v>50100352124174</v>
      </c>
      <c r="H577" s="30" t="str">
        <f ca="1">IFERROR(__xludf.DUMMYFUNCTION("""COMPUTED_VALUE"""),"inactivo")</f>
        <v>inactivo</v>
      </c>
      <c r="I577" s="29"/>
      <c r="J577" s="29"/>
      <c r="K577" s="29"/>
      <c r="L577" s="30" t="str">
        <f ca="1">IFERROR(__xludf.DUMMYFUNCTION("""COMPUTED_VALUE"""),"No")</f>
        <v>No</v>
      </c>
      <c r="M577" s="30" t="str">
        <f ca="1">IFERROR(__xludf.DUMMYFUNCTION("""COMPUTED_VALUE"""),"10028020000")</f>
        <v>10028020000</v>
      </c>
      <c r="N577" s="30" t="str">
        <f ca="1">IFERROR(__xludf.DUMMYFUNCTION("""COMPUTED_VALUE"""),"ANTOFALLA")</f>
        <v>ANTOFALLA</v>
      </c>
      <c r="O577" s="30" t="str">
        <f ca="1">IFERROR(__xludf.DUMMYFUNCTION("""COMPUTED_VALUE"""),"1028")</f>
        <v>1028</v>
      </c>
      <c r="P577" s="30" t="str">
        <f ca="1">IFERROR(__xludf.DUMMYFUNCTION("""COMPUTED_VALUE"""),"ANTOFAGASTA DE LA SIERRA")</f>
        <v>ANTOFAGASTA DE LA SIERRA</v>
      </c>
      <c r="Q577" s="30" t="str">
        <f ca="1">IFERROR(__xludf.DUMMYFUNCTION("""COMPUTED_VALUE"""),"-25.51517874")</f>
        <v>-25.51517874</v>
      </c>
      <c r="R577" s="30" t="str">
        <f ca="1">IFERROR(__xludf.DUMMYFUNCTION("""COMPUTED_VALUE"""),"-67.68127441")</f>
        <v>-67.68127441</v>
      </c>
      <c r="S577" s="30" t="str">
        <f ca="1">IFERROR(__xludf.DUMMYFUNCTION("""COMPUTED_VALUE"""),"Provincial")</f>
        <v>Provincial</v>
      </c>
      <c r="T577" s="30" t="str">
        <f ca="1">IFERROR(__xludf.DUMMYFUNCTION("""COMPUTED_VALUE"""),"-")</f>
        <v>-</v>
      </c>
    </row>
    <row r="578" spans="1:20" ht="15.75" customHeight="1" x14ac:dyDescent="0.25">
      <c r="A578" s="30" t="str">
        <f ca="1">IFERROR(__xludf.DUMMYFUNCTION("""COMPUTED_VALUE"""),"50100492224310")</f>
        <v>50100492224310</v>
      </c>
      <c r="B578" s="30" t="str">
        <f ca="1">IFERROR(__xludf.DUMMYFUNCTION("""COMPUTED_VALUE"""),"SANIDAD MUNICIPAL")</f>
        <v>SANIDAD MUNICIPAL</v>
      </c>
      <c r="C578" s="30" t="str">
        <f ca="1">IFERROR(__xludf.DUMMYFUNCTION("""COMPUTED_VALUE"""),"Catamarca")</f>
        <v>Catamarca</v>
      </c>
      <c r="D578" s="30" t="str">
        <f ca="1">IFERROR(__xludf.DUMMYFUNCTION("""COMPUTED_VALUE"""),"10")</f>
        <v>10</v>
      </c>
      <c r="E578" s="30" t="str">
        <f ca="1">IFERROR(__xludf.DUMMYFUNCTION("""COMPUTED_VALUE"""),"")</f>
        <v/>
      </c>
      <c r="F578" s="29"/>
      <c r="G578" s="29"/>
      <c r="H578" s="30" t="str">
        <f ca="1">IFERROR(__xludf.DUMMYFUNCTION("""COMPUTED_VALUE"""),"inactivo")</f>
        <v>inactivo</v>
      </c>
      <c r="I578" s="30" t="str">
        <f ca="1">IFERROR(__xludf.DUMMYFUNCTION("""COMPUTED_VALUE"""),"fuera de la circular 2")</f>
        <v>fuera de la circular 2</v>
      </c>
      <c r="J578" s="29"/>
      <c r="K578" s="29"/>
      <c r="L578" s="30" t="str">
        <f ca="1">IFERROR(__xludf.DUMMYFUNCTION("""COMPUTED_VALUE"""),"No")</f>
        <v>No</v>
      </c>
      <c r="M578" s="30" t="str">
        <f ca="1">IFERROR(__xludf.DUMMYFUNCTION("""COMPUTED_VALUE"""),"10049030000")</f>
        <v>10049030000</v>
      </c>
      <c r="N578" s="30" t="str">
        <f ca="1">IFERROR(__xludf.DUMMYFUNCTION("""COMPUTED_VALUE"""),"SAN FERNANDO DEL VALLE DE CATAMARCA")</f>
        <v>SAN FERNANDO DEL VALLE DE CATAMARCA</v>
      </c>
      <c r="O578" s="30" t="str">
        <f ca="1">IFERROR(__xludf.DUMMYFUNCTION("""COMPUTED_VALUE"""),"1049")</f>
        <v>1049</v>
      </c>
      <c r="P578" s="30" t="str">
        <f ca="1">IFERROR(__xludf.DUMMYFUNCTION("""COMPUTED_VALUE"""),"CAPITAL")</f>
        <v>CAPITAL</v>
      </c>
      <c r="Q578" s="30" t="str">
        <f ca="1">IFERROR(__xludf.DUMMYFUNCTION("""COMPUTED_VALUE"""),"-28.4739009")</f>
        <v>-28.4739009</v>
      </c>
      <c r="R578" s="30" t="str">
        <f ca="1">IFERROR(__xludf.DUMMYFUNCTION("""COMPUTED_VALUE"""),"-65.7781341")</f>
        <v>-65.7781341</v>
      </c>
      <c r="S578" s="30" t="str">
        <f ca="1">IFERROR(__xludf.DUMMYFUNCTION("""COMPUTED_VALUE"""),"Municipal")</f>
        <v>Municipal</v>
      </c>
      <c r="T578" s="29"/>
    </row>
    <row r="579" spans="1:20" ht="15.75" customHeight="1" x14ac:dyDescent="0.25">
      <c r="A579" s="30" t="str">
        <f ca="1">IFERROR(__xludf.DUMMYFUNCTION("""COMPUTED_VALUE"""),"10100912124031")</f>
        <v>10100912124031</v>
      </c>
      <c r="B579" s="30" t="str">
        <f ca="1">IFERROR(__xludf.DUMMYFUNCTION("""COMPUTED_VALUE"""),"HOSPITAL SANITARIO ZONAL DE SANTA MARIA DR. LUIS ALBERTO VARGAS")</f>
        <v>HOSPITAL SANITARIO ZONAL DE SANTA MARIA DR. LUIS ALBERTO VARGAS</v>
      </c>
      <c r="C579" s="30" t="str">
        <f ca="1">IFERROR(__xludf.DUMMYFUNCTION("""COMPUTED_VALUE"""),"Catamarca")</f>
        <v>Catamarca</v>
      </c>
      <c r="D579" s="30" t="str">
        <f ca="1">IFERROR(__xludf.DUMMYFUNCTION("""COMPUTED_VALUE"""),"10")</f>
        <v>10</v>
      </c>
      <c r="E579" s="30" t="str">
        <f ca="1">IFERROR(__xludf.DUMMYFUNCTION("""COMPUTED_VALUE"""),"si")</f>
        <v>si</v>
      </c>
      <c r="F579" s="29"/>
      <c r="G579" s="29"/>
      <c r="H579" s="30" t="str">
        <f ca="1">IFERROR(__xludf.DUMMYFUNCTION("""COMPUTED_VALUE"""),"activo")</f>
        <v>activo</v>
      </c>
      <c r="I579" s="29"/>
      <c r="J579" s="29"/>
      <c r="K579" s="29"/>
      <c r="L579" s="30" t="str">
        <f ca="1">IFERROR(__xludf.DUMMYFUNCTION("""COMPUTED_VALUE"""),"No")</f>
        <v>No</v>
      </c>
      <c r="M579" s="30" t="str">
        <f ca="1">IFERROR(__xludf.DUMMYFUNCTION("""COMPUTED_VALUE"""),"10091150000")</f>
        <v>10091150000</v>
      </c>
      <c r="N579" s="30" t="str">
        <f ca="1">IFERROR(__xludf.DUMMYFUNCTION("""COMPUTED_VALUE"""),"SANTA MARIA")</f>
        <v>SANTA MARIA</v>
      </c>
      <c r="O579" s="30" t="str">
        <f ca="1">IFERROR(__xludf.DUMMYFUNCTION("""COMPUTED_VALUE"""),"1091")</f>
        <v>1091</v>
      </c>
      <c r="P579" s="30" t="str">
        <f ca="1">IFERROR(__xludf.DUMMYFUNCTION("""COMPUTED_VALUE"""),"SANTA MARÍA")</f>
        <v>SANTA MARÍA</v>
      </c>
      <c r="Q579" s="30" t="str">
        <f ca="1">IFERROR(__xludf.DUMMYFUNCTION("""COMPUTED_VALUE"""),"-26.69899888")</f>
        <v>-26.69899888</v>
      </c>
      <c r="R579" s="30" t="str">
        <f ca="1">IFERROR(__xludf.DUMMYFUNCTION("""COMPUTED_VALUE"""),"-66.04705811")</f>
        <v>-66.04705811</v>
      </c>
      <c r="S579" s="30" t="str">
        <f ca="1">IFERROR(__xludf.DUMMYFUNCTION("""COMPUTED_VALUE"""),"Provincial")</f>
        <v>Provincial</v>
      </c>
      <c r="T579" s="30" t="str">
        <f ca="1">IFERROR(__xludf.DUMMYFUNCTION("""COMPUTED_VALUE"""),"-")</f>
        <v>-</v>
      </c>
    </row>
    <row r="580" spans="1:20" ht="15.75" customHeight="1" x14ac:dyDescent="0.25">
      <c r="A580" s="30" t="str">
        <f ca="1">IFERROR(__xludf.DUMMYFUNCTION("""COMPUTED_VALUE"""),"10100212124032")</f>
        <v>10100212124032</v>
      </c>
      <c r="B580" s="30" t="str">
        <f ca="1">IFERROR(__xludf.DUMMYFUNCTION("""COMPUTED_VALUE"""),"HOSPITAL SANITARIO ZONAL DR. JOSE CHAIN HERRERA DE ANDALGALA")</f>
        <v>HOSPITAL SANITARIO ZONAL DR. JOSE CHAIN HERRERA DE ANDALGALA</v>
      </c>
      <c r="C580" s="30" t="str">
        <f ca="1">IFERROR(__xludf.DUMMYFUNCTION("""COMPUTED_VALUE"""),"Catamarca")</f>
        <v>Catamarca</v>
      </c>
      <c r="D580" s="30" t="str">
        <f ca="1">IFERROR(__xludf.DUMMYFUNCTION("""COMPUTED_VALUE"""),"10")</f>
        <v>10</v>
      </c>
      <c r="E580" s="30" t="str">
        <f ca="1">IFERROR(__xludf.DUMMYFUNCTION("""COMPUTED_VALUE"""),"")</f>
        <v/>
      </c>
      <c r="F580" s="29"/>
      <c r="G580" s="29"/>
      <c r="H580" s="30" t="str">
        <f ca="1">IFERROR(__xludf.DUMMYFUNCTION("""COMPUTED_VALUE"""),"activo")</f>
        <v>activo</v>
      </c>
      <c r="I580" s="29"/>
      <c r="J580" s="29"/>
      <c r="K580" s="29"/>
      <c r="L580" s="30" t="str">
        <f ca="1">IFERROR(__xludf.DUMMYFUNCTION("""COMPUTED_VALUE"""),"No")</f>
        <v>No</v>
      </c>
      <c r="M580" s="30" t="str">
        <f ca="1">IFERROR(__xludf.DUMMYFUNCTION("""COMPUTED_VALUE"""),"10021020000")</f>
        <v>10021020000</v>
      </c>
      <c r="N580" s="30" t="str">
        <f ca="1">IFERROR(__xludf.DUMMYFUNCTION("""COMPUTED_VALUE"""),"ANDALGALA")</f>
        <v>ANDALGALA</v>
      </c>
      <c r="O580" s="30" t="str">
        <f ca="1">IFERROR(__xludf.DUMMYFUNCTION("""COMPUTED_VALUE"""),"1021")</f>
        <v>1021</v>
      </c>
      <c r="P580" s="30" t="str">
        <f ca="1">IFERROR(__xludf.DUMMYFUNCTION("""COMPUTED_VALUE"""),"ANDALGALÁ")</f>
        <v>ANDALGALÁ</v>
      </c>
      <c r="Q580" s="30" t="str">
        <f ca="1">IFERROR(__xludf.DUMMYFUNCTION("""COMPUTED_VALUE"""),"-27.567032")</f>
        <v>-27.567032</v>
      </c>
      <c r="R580" s="30" t="str">
        <f ca="1">IFERROR(__xludf.DUMMYFUNCTION("""COMPUTED_VALUE"""),"-66.321128")</f>
        <v>-66.321128</v>
      </c>
      <c r="S580" s="30" t="str">
        <f ca="1">IFERROR(__xludf.DUMMYFUNCTION("""COMPUTED_VALUE"""),"Provincial")</f>
        <v>Provincial</v>
      </c>
      <c r="T580" s="30" t="str">
        <f ca="1">IFERROR(__xludf.DUMMYFUNCTION("""COMPUTED_VALUE"""),"-")</f>
        <v>-</v>
      </c>
    </row>
    <row r="581" spans="1:20" ht="15.75" customHeight="1" x14ac:dyDescent="0.25">
      <c r="A581" s="30" t="str">
        <f ca="1">IFERROR(__xludf.DUMMYFUNCTION("""COMPUTED_VALUE"""),"50100562124276")</f>
        <v>50100562124276</v>
      </c>
      <c r="B581" s="30" t="str">
        <f ca="1">IFERROR(__xludf.DUMMYFUNCTION("""COMPUTED_VALUE"""),"ESTABLECIMIENTO SANITARIO PERIFERICO LOS MORTEROS")</f>
        <v>ESTABLECIMIENTO SANITARIO PERIFERICO LOS MORTEROS</v>
      </c>
      <c r="C581" s="30" t="str">
        <f ca="1">IFERROR(__xludf.DUMMYFUNCTION("""COMPUTED_VALUE"""),"Catamarca")</f>
        <v>Catamarca</v>
      </c>
      <c r="D581" s="30" t="str">
        <f ca="1">IFERROR(__xludf.DUMMYFUNCTION("""COMPUTED_VALUE"""),"10")</f>
        <v>10</v>
      </c>
      <c r="E581" s="30" t="str">
        <f ca="1">IFERROR(__xludf.DUMMYFUNCTION("""COMPUTED_VALUE"""),"si")</f>
        <v>si</v>
      </c>
      <c r="F581" s="29"/>
      <c r="G581" s="30" t="str">
        <f ca="1">IFERROR(__xludf.DUMMYFUNCTION("""COMPUTED_VALUE"""),"50100142124367")</f>
        <v>50100142124367</v>
      </c>
      <c r="H581" s="30" t="str">
        <f ca="1">IFERROR(__xludf.DUMMYFUNCTION("""COMPUTED_VALUE"""),"inactivo")</f>
        <v>inactivo</v>
      </c>
      <c r="I581" s="30" t="str">
        <f ca="1">IFERROR(__xludf.DUMMYFUNCTION("""COMPUTED_VALUE"""),"Nota 11/11/21: por la falta de médico,  no se puede asegurar la continuidad en la atención")</f>
        <v>Nota 11/11/21: por la falta de médico,  no se puede asegurar la continuidad en la atención</v>
      </c>
      <c r="J581" s="29"/>
      <c r="K581" s="29"/>
      <c r="L581" s="30" t="str">
        <f ca="1">IFERROR(__xludf.DUMMYFUNCTION("""COMPUTED_VALUE"""),"No")</f>
        <v>No</v>
      </c>
      <c r="M581" s="30" t="str">
        <f ca="1">IFERROR(__xludf.DUMMYFUNCTION("""COMPUTED_VALUE"""),"10056000054")</f>
        <v>10056000054</v>
      </c>
      <c r="N581" s="30" t="str">
        <f ca="1">IFERROR(__xludf.DUMMYFUNCTION("""COMPUTED_VALUE"""),"LOS MORTEROS")</f>
        <v>LOS MORTEROS</v>
      </c>
      <c r="O581" s="30" t="str">
        <f ca="1">IFERROR(__xludf.DUMMYFUNCTION("""COMPUTED_VALUE"""),"1056")</f>
        <v>1056</v>
      </c>
      <c r="P581" s="30" t="str">
        <f ca="1">IFERROR(__xludf.DUMMYFUNCTION("""COMPUTED_VALUE"""),"EL ALTO")</f>
        <v>EL ALTO</v>
      </c>
      <c r="Q581" s="30" t="str">
        <f ca="1">IFERROR(__xludf.DUMMYFUNCTION("""COMPUTED_VALUE"""),"-28.45541094")</f>
        <v>-28.45541094</v>
      </c>
      <c r="R581" s="30" t="str">
        <f ca="1">IFERROR(__xludf.DUMMYFUNCTION("""COMPUTED_VALUE"""),"-65.17501831")</f>
        <v>-65.17501831</v>
      </c>
      <c r="S581" s="30" t="str">
        <f ca="1">IFERROR(__xludf.DUMMYFUNCTION("""COMPUTED_VALUE"""),"Provincial")</f>
        <v>Provincial</v>
      </c>
      <c r="T581" s="30" t="str">
        <f ca="1">IFERROR(__xludf.DUMMYFUNCTION("""COMPUTED_VALUE"""),"-")</f>
        <v>-</v>
      </c>
    </row>
    <row r="582" spans="1:20" ht="15.75" customHeight="1" x14ac:dyDescent="0.25">
      <c r="A582" s="30" t="str">
        <f ca="1">IFERROR(__xludf.DUMMYFUNCTION("""COMPUTED_VALUE"""),"50100492124052")</f>
        <v>50100492124052</v>
      </c>
      <c r="B582" s="30" t="str">
        <f ca="1">IFERROR(__xludf.DUMMYFUNCTION("""COMPUTED_VALUE"""),"ESTABLECIMIENTO SANITARIO PERIFERICO ALEM")</f>
        <v>ESTABLECIMIENTO SANITARIO PERIFERICO ALEM</v>
      </c>
      <c r="C582" s="30" t="str">
        <f ca="1">IFERROR(__xludf.DUMMYFUNCTION("""COMPUTED_VALUE"""),"Catamarca")</f>
        <v>Catamarca</v>
      </c>
      <c r="D582" s="30" t="str">
        <f ca="1">IFERROR(__xludf.DUMMYFUNCTION("""COMPUTED_VALUE"""),"10")</f>
        <v>10</v>
      </c>
      <c r="E582" s="30" t="str">
        <f ca="1">IFERROR(__xludf.DUMMYFUNCTION("""COMPUTED_VALUE"""),"")</f>
        <v/>
      </c>
      <c r="F582" s="29"/>
      <c r="G582" s="29"/>
      <c r="H582" s="30" t="str">
        <f ca="1">IFERROR(__xludf.DUMMYFUNCTION("""COMPUTED_VALUE"""),"activo")</f>
        <v>activo</v>
      </c>
      <c r="I582" s="29"/>
      <c r="J582" s="29"/>
      <c r="K582" s="29"/>
      <c r="L582" s="30" t="str">
        <f ca="1">IFERROR(__xludf.DUMMYFUNCTION("""COMPUTED_VALUE"""),"No")</f>
        <v>No</v>
      </c>
      <c r="M582" s="30" t="str">
        <f ca="1">IFERROR(__xludf.DUMMYFUNCTION("""COMPUTED_VALUE"""),"10049030000")</f>
        <v>10049030000</v>
      </c>
      <c r="N582" s="30" t="str">
        <f ca="1">IFERROR(__xludf.DUMMYFUNCTION("""COMPUTED_VALUE"""),"SAN FERNANDO DEL VALLE DE CATAMARCA")</f>
        <v>SAN FERNANDO DEL VALLE DE CATAMARCA</v>
      </c>
      <c r="O582" s="30" t="str">
        <f ca="1">IFERROR(__xludf.DUMMYFUNCTION("""COMPUTED_VALUE"""),"1049")</f>
        <v>1049</v>
      </c>
      <c r="P582" s="30" t="str">
        <f ca="1">IFERROR(__xludf.DUMMYFUNCTION("""COMPUTED_VALUE"""),"CAPITAL")</f>
        <v>CAPITAL</v>
      </c>
      <c r="Q582" s="30" t="str">
        <f ca="1">IFERROR(__xludf.DUMMYFUNCTION("""COMPUTED_VALUE"""),"-28.4717178")</f>
        <v>-28.4717178</v>
      </c>
      <c r="R582" s="30" t="str">
        <f ca="1">IFERROR(__xludf.DUMMYFUNCTION("""COMPUTED_VALUE"""),"-65.7694915")</f>
        <v>-65.7694915</v>
      </c>
      <c r="S582" s="30" t="str">
        <f ca="1">IFERROR(__xludf.DUMMYFUNCTION("""COMPUTED_VALUE"""),"Provincial")</f>
        <v>Provincial</v>
      </c>
      <c r="T582" s="30" t="str">
        <f ca="1">IFERROR(__xludf.DUMMYFUNCTION("""COMPUTED_VALUE"""),"-")</f>
        <v>-</v>
      </c>
    </row>
    <row r="583" spans="1:20" ht="15.75" customHeight="1" x14ac:dyDescent="0.25">
      <c r="A583" s="30" t="str">
        <f ca="1">IFERROR(__xludf.DUMMYFUNCTION("""COMPUTED_VALUE"""),"50100982124199")</f>
        <v>50100982124199</v>
      </c>
      <c r="B583" s="30" t="str">
        <f ca="1">IFERROR(__xludf.DUMMYFUNCTION("""COMPUTED_VALUE"""),"HOSPITAL LAVALLE  DR. EDUARDO ATALIYA ANDRADA")</f>
        <v>HOSPITAL LAVALLE  DR. EDUARDO ATALIYA ANDRADA</v>
      </c>
      <c r="C583" s="30" t="str">
        <f ca="1">IFERROR(__xludf.DUMMYFUNCTION("""COMPUTED_VALUE"""),"Catamarca")</f>
        <v>Catamarca</v>
      </c>
      <c r="D583" s="30" t="str">
        <f ca="1">IFERROR(__xludf.DUMMYFUNCTION("""COMPUTED_VALUE"""),"10")</f>
        <v>10</v>
      </c>
      <c r="E583" s="30" t="str">
        <f ca="1">IFERROR(__xludf.DUMMYFUNCTION("""COMPUTED_VALUE"""),"")</f>
        <v/>
      </c>
      <c r="F583" s="29"/>
      <c r="G583" s="29"/>
      <c r="H583" s="30" t="str">
        <f ca="1">IFERROR(__xludf.DUMMYFUNCTION("""COMPUTED_VALUE"""),"inactivo")</f>
        <v>inactivo</v>
      </c>
      <c r="I583" s="30" t="str">
        <f ca="1">IFERROR(__xludf.DUMMYFUNCTION("""COMPUTED_VALUE"""),"Se dio de baja durante el CAI 2022 mediante nota del 5-4-2022")</f>
        <v>Se dio de baja durante el CAI 2022 mediante nota del 5-4-2022</v>
      </c>
      <c r="J583" s="29"/>
      <c r="K583" s="29"/>
      <c r="L583" s="30" t="str">
        <f ca="1">IFERROR(__xludf.DUMMYFUNCTION("""COMPUTED_VALUE"""),"No")</f>
        <v>No</v>
      </c>
      <c r="M583" s="30" t="str">
        <f ca="1">IFERROR(__xludf.DUMMYFUNCTION("""COMPUTED_VALUE"""),"10098040000")</f>
        <v>10098040000</v>
      </c>
      <c r="N583" s="30" t="str">
        <f ca="1">IFERROR(__xludf.DUMMYFUNCTION("""COMPUTED_VALUE"""),"LAVALLE")</f>
        <v>LAVALLE</v>
      </c>
      <c r="O583" s="30" t="str">
        <f ca="1">IFERROR(__xludf.DUMMYFUNCTION("""COMPUTED_VALUE"""),"1098")</f>
        <v>1098</v>
      </c>
      <c r="P583" s="30" t="str">
        <f ca="1">IFERROR(__xludf.DUMMYFUNCTION("""COMPUTED_VALUE"""),"SANTA ROSA")</f>
        <v>SANTA ROSA</v>
      </c>
      <c r="Q583" s="30" t="str">
        <f ca="1">IFERROR(__xludf.DUMMYFUNCTION("""COMPUTED_VALUE"""),"-28.19762398")</f>
        <v>-28.19762398</v>
      </c>
      <c r="R583" s="30" t="str">
        <f ca="1">IFERROR(__xludf.DUMMYFUNCTION("""COMPUTED_VALUE"""),"-65.11974335")</f>
        <v>-65.11974335</v>
      </c>
      <c r="S583" s="30" t="str">
        <f ca="1">IFERROR(__xludf.DUMMYFUNCTION("""COMPUTED_VALUE"""),"Provincial")</f>
        <v>Provincial</v>
      </c>
      <c r="T583" s="30" t="str">
        <f ca="1">IFERROR(__xludf.DUMMYFUNCTION("""COMPUTED_VALUE"""),"-")</f>
        <v>-</v>
      </c>
    </row>
    <row r="584" spans="1:20" ht="15.75" customHeight="1" x14ac:dyDescent="0.25">
      <c r="A584" s="30" t="str">
        <f ca="1">IFERROR(__xludf.DUMMYFUNCTION("""COMPUTED_VALUE"""),"50100982124200")</f>
        <v>50100982124200</v>
      </c>
      <c r="B584" s="30" t="str">
        <f ca="1">IFERROR(__xludf.DUMMYFUNCTION("""COMPUTED_VALUE"""),"ESTABLECIMIENTO SANITARIO DISTRITAL HOSPITAL LOS ALTOS")</f>
        <v>ESTABLECIMIENTO SANITARIO DISTRITAL HOSPITAL LOS ALTOS</v>
      </c>
      <c r="C584" s="30" t="str">
        <f ca="1">IFERROR(__xludf.DUMMYFUNCTION("""COMPUTED_VALUE"""),"Catamarca")</f>
        <v>Catamarca</v>
      </c>
      <c r="D584" s="30" t="str">
        <f ca="1">IFERROR(__xludf.DUMMYFUNCTION("""COMPUTED_VALUE"""),"10")</f>
        <v>10</v>
      </c>
      <c r="E584" s="30" t="str">
        <f ca="1">IFERROR(__xludf.DUMMYFUNCTION("""COMPUTED_VALUE"""),"")</f>
        <v/>
      </c>
      <c r="F584" s="29"/>
      <c r="G584" s="29"/>
      <c r="H584" s="30" t="str">
        <f ca="1">IFERROR(__xludf.DUMMYFUNCTION("""COMPUTED_VALUE"""),"activo")</f>
        <v>activo</v>
      </c>
      <c r="I584" s="29"/>
      <c r="J584" s="29"/>
      <c r="K584" s="29"/>
      <c r="L584" s="30" t="str">
        <f ca="1">IFERROR(__xludf.DUMMYFUNCTION("""COMPUTED_VALUE"""),"No")</f>
        <v>No</v>
      </c>
      <c r="M584" s="30" t="str">
        <f ca="1">IFERROR(__xludf.DUMMYFUNCTION("""COMPUTED_VALUE"""),"10098050000")</f>
        <v>10098050000</v>
      </c>
      <c r="N584" s="30" t="str">
        <f ca="1">IFERROR(__xludf.DUMMYFUNCTION("""COMPUTED_VALUE"""),"LOS ALTOS")</f>
        <v>LOS ALTOS</v>
      </c>
      <c r="O584" s="30" t="str">
        <f ca="1">IFERROR(__xludf.DUMMYFUNCTION("""COMPUTED_VALUE"""),"1098")</f>
        <v>1098</v>
      </c>
      <c r="P584" s="30" t="str">
        <f ca="1">IFERROR(__xludf.DUMMYFUNCTION("""COMPUTED_VALUE"""),"SANTA ROSA")</f>
        <v>SANTA ROSA</v>
      </c>
      <c r="Q584" s="30" t="str">
        <f ca="1">IFERROR(__xludf.DUMMYFUNCTION("""COMPUTED_VALUE"""),"-28.04531887")</f>
        <v>-28.04531887</v>
      </c>
      <c r="R584" s="30" t="str">
        <f ca="1">IFERROR(__xludf.DUMMYFUNCTION("""COMPUTED_VALUE"""),"-65.50872803")</f>
        <v>-65.50872803</v>
      </c>
      <c r="S584" s="30" t="str">
        <f ca="1">IFERROR(__xludf.DUMMYFUNCTION("""COMPUTED_VALUE"""),"Provincial")</f>
        <v>Provincial</v>
      </c>
      <c r="T584" s="30" t="str">
        <f ca="1">IFERROR(__xludf.DUMMYFUNCTION("""COMPUTED_VALUE"""),"-")</f>
        <v>-</v>
      </c>
    </row>
    <row r="585" spans="1:20" ht="15.75" customHeight="1" x14ac:dyDescent="0.25">
      <c r="A585" s="30" t="str">
        <f ca="1">IFERROR(__xludf.DUMMYFUNCTION("""COMPUTED_VALUE"""),"50101122124070")</f>
        <v>50101122124070</v>
      </c>
      <c r="B585" s="30" t="str">
        <f ca="1">IFERROR(__xludf.DUMMYFUNCTION("""COMPUTED_VALUE"""),"CENTRO DE SALUD ESTABLECIMIENTO DISTRITAL VILLA DOLORES")</f>
        <v>CENTRO DE SALUD ESTABLECIMIENTO DISTRITAL VILLA DOLORES</v>
      </c>
      <c r="C585" s="30" t="str">
        <f ca="1">IFERROR(__xludf.DUMMYFUNCTION("""COMPUTED_VALUE"""),"Catamarca")</f>
        <v>Catamarca</v>
      </c>
      <c r="D585" s="30" t="str">
        <f ca="1">IFERROR(__xludf.DUMMYFUNCTION("""COMPUTED_VALUE"""),"10")</f>
        <v>10</v>
      </c>
      <c r="E585" s="30" t="str">
        <f ca="1">IFERROR(__xludf.DUMMYFUNCTION("""COMPUTED_VALUE"""),"")</f>
        <v/>
      </c>
      <c r="F585" s="29"/>
      <c r="G585" s="29"/>
      <c r="H585" s="30" t="str">
        <f ca="1">IFERROR(__xludf.DUMMYFUNCTION("""COMPUTED_VALUE"""),"activo")</f>
        <v>activo</v>
      </c>
      <c r="I585" s="29"/>
      <c r="J585" s="29"/>
      <c r="K585" s="29"/>
      <c r="L585" s="30" t="str">
        <f ca="1">IFERROR(__xludf.DUMMYFUNCTION("""COMPUTED_VALUE"""),"No")</f>
        <v>No</v>
      </c>
      <c r="M585" s="30" t="str">
        <f ca="1">IFERROR(__xludf.DUMMYFUNCTION("""COMPUTED_VALUE"""),"10112040007")</f>
        <v>10112040007</v>
      </c>
      <c r="N585" s="30" t="str">
        <f ca="1">IFERROR(__xludf.DUMMYFUNCTION("""COMPUTED_VALUE"""),"VILLA DOLORES")</f>
        <v>VILLA DOLORES</v>
      </c>
      <c r="O585" s="30" t="str">
        <f ca="1">IFERROR(__xludf.DUMMYFUNCTION("""COMPUTED_VALUE"""),"10112")</f>
        <v>10112</v>
      </c>
      <c r="P585" s="30" t="str">
        <f ca="1">IFERROR(__xludf.DUMMYFUNCTION("""COMPUTED_VALUE"""),"VALLE VIEJO")</f>
        <v>VALLE VIEJO</v>
      </c>
      <c r="Q585" s="30" t="str">
        <f ca="1">IFERROR(__xludf.DUMMYFUNCTION("""COMPUTED_VALUE"""),"-28.4416616")</f>
        <v>-28.4416616</v>
      </c>
      <c r="R585" s="30" t="str">
        <f ca="1">IFERROR(__xludf.DUMMYFUNCTION("""COMPUTED_VALUE"""),"-65.7132775")</f>
        <v>-65.7132775</v>
      </c>
      <c r="S585" s="30" t="str">
        <f ca="1">IFERROR(__xludf.DUMMYFUNCTION("""COMPUTED_VALUE"""),"Provincial")</f>
        <v>Provincial</v>
      </c>
      <c r="T585" s="30" t="str">
        <f ca="1">IFERROR(__xludf.DUMMYFUNCTION("""COMPUTED_VALUE"""),"-")</f>
        <v>-</v>
      </c>
    </row>
    <row r="586" spans="1:20" ht="15.75" customHeight="1" x14ac:dyDescent="0.25">
      <c r="A586" s="30" t="str">
        <f ca="1">IFERROR(__xludf.DUMMYFUNCTION("""COMPUTED_VALUE"""),"50100492124320")</f>
        <v>50100492124320</v>
      </c>
      <c r="B586" s="30" t="str">
        <f ca="1">IFERROR(__xludf.DUMMYFUNCTION("""COMPUTED_VALUE"""),"ESTABLECIMIENTO SANITARIO PERIFERICO VILLA CUBAS")</f>
        <v>ESTABLECIMIENTO SANITARIO PERIFERICO VILLA CUBAS</v>
      </c>
      <c r="C586" s="30" t="str">
        <f ca="1">IFERROR(__xludf.DUMMYFUNCTION("""COMPUTED_VALUE"""),"Catamarca")</f>
        <v>Catamarca</v>
      </c>
      <c r="D586" s="30" t="str">
        <f ca="1">IFERROR(__xludf.DUMMYFUNCTION("""COMPUTED_VALUE"""),"10")</f>
        <v>10</v>
      </c>
      <c r="E586" s="30" t="str">
        <f ca="1">IFERROR(__xludf.DUMMYFUNCTION("""COMPUTED_VALUE"""),"")</f>
        <v/>
      </c>
      <c r="F586" s="29"/>
      <c r="G586" s="29"/>
      <c r="H586" s="30" t="str">
        <f ca="1">IFERROR(__xludf.DUMMYFUNCTION("""COMPUTED_VALUE"""),"activo")</f>
        <v>activo</v>
      </c>
      <c r="I586" s="29"/>
      <c r="J586" s="29"/>
      <c r="K586" s="29"/>
      <c r="L586" s="30" t="str">
        <f ca="1">IFERROR(__xludf.DUMMYFUNCTION("""COMPUTED_VALUE"""),"No")</f>
        <v>No</v>
      </c>
      <c r="M586" s="30" t="str">
        <f ca="1">IFERROR(__xludf.DUMMYFUNCTION("""COMPUTED_VALUE"""),"10049030000")</f>
        <v>10049030000</v>
      </c>
      <c r="N586" s="30" t="str">
        <f ca="1">IFERROR(__xludf.DUMMYFUNCTION("""COMPUTED_VALUE"""),"SAN FERNANDO DEL VALLE DE CATAMARCA")</f>
        <v>SAN FERNANDO DEL VALLE DE CATAMARCA</v>
      </c>
      <c r="O586" s="30" t="str">
        <f ca="1">IFERROR(__xludf.DUMMYFUNCTION("""COMPUTED_VALUE"""),"1049")</f>
        <v>1049</v>
      </c>
      <c r="P586" s="30" t="str">
        <f ca="1">IFERROR(__xludf.DUMMYFUNCTION("""COMPUTED_VALUE"""),"CAPITAL")</f>
        <v>CAPITAL</v>
      </c>
      <c r="Q586" s="30" t="str">
        <f ca="1">IFERROR(__xludf.DUMMYFUNCTION("""COMPUTED_VALUE"""),"-28.472557")</f>
        <v>-28.472557</v>
      </c>
      <c r="R586" s="30" t="str">
        <f ca="1">IFERROR(__xludf.DUMMYFUNCTION("""COMPUTED_VALUE"""),"-65.7977362")</f>
        <v>-65.7977362</v>
      </c>
      <c r="S586" s="30" t="str">
        <f ca="1">IFERROR(__xludf.DUMMYFUNCTION("""COMPUTED_VALUE"""),"Provincial")</f>
        <v>Provincial</v>
      </c>
      <c r="T586" s="30" t="str">
        <f ca="1">IFERROR(__xludf.DUMMYFUNCTION("""COMPUTED_VALUE"""),"-")</f>
        <v>-</v>
      </c>
    </row>
    <row r="587" spans="1:20" ht="15.75" customHeight="1" x14ac:dyDescent="0.25">
      <c r="A587" s="30" t="str">
        <f ca="1">IFERROR(__xludf.DUMMYFUNCTION("""COMPUTED_VALUE"""),"10100702124024")</f>
        <v>10100702124024</v>
      </c>
      <c r="B587" s="30" t="str">
        <f ca="1">IFERROR(__xludf.DUMMYFUNCTION("""COMPUTED_VALUE"""),"ESTABLECIMIENTO SANITARIO DISTRITAL HOSPITAL ZONAL DE ICAÑO")</f>
        <v>ESTABLECIMIENTO SANITARIO DISTRITAL HOSPITAL ZONAL DE ICAÑO</v>
      </c>
      <c r="C587" s="30" t="str">
        <f ca="1">IFERROR(__xludf.DUMMYFUNCTION("""COMPUTED_VALUE"""),"Catamarca")</f>
        <v>Catamarca</v>
      </c>
      <c r="D587" s="30" t="str">
        <f ca="1">IFERROR(__xludf.DUMMYFUNCTION("""COMPUTED_VALUE"""),"10")</f>
        <v>10</v>
      </c>
      <c r="E587" s="30" t="str">
        <f ca="1">IFERROR(__xludf.DUMMYFUNCTION("""COMPUTED_VALUE"""),"")</f>
        <v/>
      </c>
      <c r="F587" s="29"/>
      <c r="G587" s="29"/>
      <c r="H587" s="30" t="str">
        <f ca="1">IFERROR(__xludf.DUMMYFUNCTION("""COMPUTED_VALUE"""),"activo")</f>
        <v>activo</v>
      </c>
      <c r="I587" s="29"/>
      <c r="J587" s="29"/>
      <c r="K587" s="29"/>
      <c r="L587" s="30" t="str">
        <f ca="1">IFERROR(__xludf.DUMMYFUNCTION("""COMPUTED_VALUE"""),"No")</f>
        <v>No</v>
      </c>
      <c r="M587" s="30" t="str">
        <f ca="1">IFERROR(__xludf.DUMMYFUNCTION("""COMPUTED_VALUE"""),"10070070000")</f>
        <v>10070070000</v>
      </c>
      <c r="N587" s="30" t="str">
        <f ca="1">IFERROR(__xludf.DUMMYFUNCTION("""COMPUTED_VALUE"""),"ICAÑO")</f>
        <v>ICAÑO</v>
      </c>
      <c r="O587" s="30" t="str">
        <f ca="1">IFERROR(__xludf.DUMMYFUNCTION("""COMPUTED_VALUE"""),"1070")</f>
        <v>1070</v>
      </c>
      <c r="P587" s="30" t="str">
        <f ca="1">IFERROR(__xludf.DUMMYFUNCTION("""COMPUTED_VALUE"""),"LA PAZ")</f>
        <v>LA PAZ</v>
      </c>
      <c r="Q587" s="30" t="str">
        <f ca="1">IFERROR(__xludf.DUMMYFUNCTION("""COMPUTED_VALUE"""),"-28.90780717")</f>
        <v>-28.90780717</v>
      </c>
      <c r="R587" s="30" t="str">
        <f ca="1">IFERROR(__xludf.DUMMYFUNCTION("""COMPUTED_VALUE"""),"-65.31440735")</f>
        <v>-65.31440735</v>
      </c>
      <c r="S587" s="30" t="str">
        <f ca="1">IFERROR(__xludf.DUMMYFUNCTION("""COMPUTED_VALUE"""),"Provincial")</f>
        <v>Provincial</v>
      </c>
      <c r="T587" s="30" t="str">
        <f ca="1">IFERROR(__xludf.DUMMYFUNCTION("""COMPUTED_VALUE"""),"-")</f>
        <v>-</v>
      </c>
    </row>
    <row r="588" spans="1:20" ht="15.75" customHeight="1" x14ac:dyDescent="0.25">
      <c r="A588" s="30" t="str">
        <f ca="1">IFERROR(__xludf.DUMMYFUNCTION("""COMPUTED_VALUE"""),"10101052124034")</f>
        <v>10101052124034</v>
      </c>
      <c r="B588" s="30" t="str">
        <f ca="1">IFERROR(__xludf.DUMMYFUNCTION("""COMPUTED_VALUE"""),"HOSPITAL SANITARIO ZONAL DE TINOGASTA SAN JUAN BAUTISTA")</f>
        <v>HOSPITAL SANITARIO ZONAL DE TINOGASTA SAN JUAN BAUTISTA</v>
      </c>
      <c r="C588" s="30" t="str">
        <f ca="1">IFERROR(__xludf.DUMMYFUNCTION("""COMPUTED_VALUE"""),"Catamarca")</f>
        <v>Catamarca</v>
      </c>
      <c r="D588" s="30" t="str">
        <f ca="1">IFERROR(__xludf.DUMMYFUNCTION("""COMPUTED_VALUE"""),"10")</f>
        <v>10</v>
      </c>
      <c r="E588" s="30" t="str">
        <f ca="1">IFERROR(__xludf.DUMMYFUNCTION("""COMPUTED_VALUE"""),"si")</f>
        <v>si</v>
      </c>
      <c r="F588" s="29"/>
      <c r="G588" s="29"/>
      <c r="H588" s="30" t="str">
        <f ca="1">IFERROR(__xludf.DUMMYFUNCTION("""COMPUTED_VALUE"""),"activo")</f>
        <v>activo</v>
      </c>
      <c r="I588" s="30" t="str">
        <f ca="1">IFERROR(__xludf.DUMMYFUNCTION("""COMPUTED_VALUE"""),"Se encontro en el CAI 2019-no figuraba en universo")</f>
        <v>Se encontro en el CAI 2019-no figuraba en universo</v>
      </c>
      <c r="J588" s="29"/>
      <c r="K588" s="29"/>
      <c r="L588" s="30" t="str">
        <f ca="1">IFERROR(__xludf.DUMMYFUNCTION("""COMPUTED_VALUE"""),"No")</f>
        <v>No</v>
      </c>
      <c r="M588" s="30" t="str">
        <f ca="1">IFERROR(__xludf.DUMMYFUNCTION("""COMPUTED_VALUE"""),"10105180000")</f>
        <v>10105180000</v>
      </c>
      <c r="N588" s="30" t="str">
        <f ca="1">IFERROR(__xludf.DUMMYFUNCTION("""COMPUTED_VALUE"""),"TINOGASTA")</f>
        <v>TINOGASTA</v>
      </c>
      <c r="O588" s="30" t="str">
        <f ca="1">IFERROR(__xludf.DUMMYFUNCTION("""COMPUTED_VALUE"""),"10105")</f>
        <v>10105</v>
      </c>
      <c r="P588" s="30" t="str">
        <f ca="1">IFERROR(__xludf.DUMMYFUNCTION("""COMPUTED_VALUE"""),"TINOGASTA")</f>
        <v>TINOGASTA</v>
      </c>
      <c r="Q588" s="30" t="str">
        <f ca="1">IFERROR(__xludf.DUMMYFUNCTION("""COMPUTED_VALUE"""),"-28.066592")</f>
        <v>-28.066592</v>
      </c>
      <c r="R588" s="30" t="str">
        <f ca="1">IFERROR(__xludf.DUMMYFUNCTION("""COMPUTED_VALUE"""),"-67.566354")</f>
        <v>-67.566354</v>
      </c>
      <c r="S588" s="30" t="str">
        <f ca="1">IFERROR(__xludf.DUMMYFUNCTION("""COMPUTED_VALUE"""),"Provincial")</f>
        <v>Provincial</v>
      </c>
      <c r="T588" s="30" t="str">
        <f ca="1">IFERROR(__xludf.DUMMYFUNCTION("""COMPUTED_VALUE"""),"-")</f>
        <v>-</v>
      </c>
    </row>
    <row r="589" spans="1:20" ht="15.75" customHeight="1" x14ac:dyDescent="0.25">
      <c r="A589" s="30" t="str">
        <f ca="1">IFERROR(__xludf.DUMMYFUNCTION("""COMPUTED_VALUE"""),"50140142131414")</f>
        <v>50140142131414</v>
      </c>
      <c r="B589" s="30" t="str">
        <f ca="1">IFERROR(__xludf.DUMMYFUNCTION("""COMPUTED_VALUE"""),"CAPS SOL NACIENTE")</f>
        <v>CAPS SOL NACIENTE</v>
      </c>
      <c r="C589" s="30" t="str">
        <f ca="1">IFERROR(__xludf.DUMMYFUNCTION("""COMPUTED_VALUE"""),"Córdoba")</f>
        <v>Córdoba</v>
      </c>
      <c r="D589" s="30" t="str">
        <f ca="1">IFERROR(__xludf.DUMMYFUNCTION("""COMPUTED_VALUE"""),"14")</f>
        <v>14</v>
      </c>
      <c r="E589" s="30" t="str">
        <f ca="1">IFERROR(__xludf.DUMMYFUNCTION("""COMPUTED_VALUE"""),"")</f>
        <v/>
      </c>
      <c r="F589" s="29"/>
      <c r="G589" s="29"/>
      <c r="H589" s="30" t="str">
        <f ca="1">IFERROR(__xludf.DUMMYFUNCTION("""COMPUTED_VALUE"""),"activo")</f>
        <v>activo</v>
      </c>
      <c r="I589" s="29"/>
      <c r="J589" s="29"/>
      <c r="K589" s="29"/>
      <c r="L589" s="30" t="str">
        <f ca="1">IFERROR(__xludf.DUMMYFUNCTION("""COMPUTED_VALUE"""),"No")</f>
        <v>No</v>
      </c>
      <c r="M589" s="30" t="str">
        <f ca="1">IFERROR(__xludf.DUMMYFUNCTION("""COMPUTED_VALUE"""),"14014010000")</f>
        <v>14014010000</v>
      </c>
      <c r="N589" s="30" t="str">
        <f ca="1">IFERROR(__xludf.DUMMYFUNCTION("""COMPUTED_VALUE"""),"CORDOBA")</f>
        <v>CORDOBA</v>
      </c>
      <c r="O589" s="30" t="str">
        <f ca="1">IFERROR(__xludf.DUMMYFUNCTION("""COMPUTED_VALUE"""),"1414")</f>
        <v>1414</v>
      </c>
      <c r="P589" s="30" t="str">
        <f ca="1">IFERROR(__xludf.DUMMYFUNCTION("""COMPUTED_VALUE"""),"CAPITAL")</f>
        <v>CAPITAL</v>
      </c>
      <c r="Q589" s="30" t="str">
        <f ca="1">IFERROR(__xludf.DUMMYFUNCTION("""COMPUTED_VALUE"""),"-31.329412")</f>
        <v>-31.329412</v>
      </c>
      <c r="R589" s="30" t="str">
        <f ca="1">IFERROR(__xludf.DUMMYFUNCTION("""COMPUTED_VALUE"""),"-64.241554")</f>
        <v>-64.241554</v>
      </c>
      <c r="S589" s="30" t="str">
        <f ca="1">IFERROR(__xludf.DUMMYFUNCTION("""COMPUTED_VALUE"""),"Provincial")</f>
        <v>Provincial</v>
      </c>
      <c r="T589" s="30" t="str">
        <f ca="1">IFERROR(__xludf.DUMMYFUNCTION("""COMPUTED_VALUE"""),"-")</f>
        <v>-</v>
      </c>
    </row>
    <row r="590" spans="1:20" ht="15.75" customHeight="1" x14ac:dyDescent="0.25">
      <c r="A590" s="30" t="str">
        <f ca="1">IFERROR(__xludf.DUMMYFUNCTION("""COMPUTED_VALUE"""),"50140142131434")</f>
        <v>50140142131434</v>
      </c>
      <c r="B590" s="30" t="str">
        <f ca="1">IFERROR(__xludf.DUMMYFUNCTION("""COMPUTED_VALUE"""),"CAPS CIUDAD EVITA")</f>
        <v>CAPS CIUDAD EVITA</v>
      </c>
      <c r="C590" s="30" t="str">
        <f ca="1">IFERROR(__xludf.DUMMYFUNCTION("""COMPUTED_VALUE"""),"Córdoba")</f>
        <v>Córdoba</v>
      </c>
      <c r="D590" s="30" t="str">
        <f ca="1">IFERROR(__xludf.DUMMYFUNCTION("""COMPUTED_VALUE"""),"14")</f>
        <v>14</v>
      </c>
      <c r="E590" s="30" t="str">
        <f ca="1">IFERROR(__xludf.DUMMYFUNCTION("""COMPUTED_VALUE"""),"")</f>
        <v/>
      </c>
      <c r="F590" s="29"/>
      <c r="G590" s="29"/>
      <c r="H590" s="30" t="str">
        <f ca="1">IFERROR(__xludf.DUMMYFUNCTION("""COMPUTED_VALUE"""),"activo")</f>
        <v>activo</v>
      </c>
      <c r="I590" s="29"/>
      <c r="J590" s="29"/>
      <c r="K590" s="29"/>
      <c r="L590" s="30" t="str">
        <f ca="1">IFERROR(__xludf.DUMMYFUNCTION("""COMPUTED_VALUE"""),"No")</f>
        <v>No</v>
      </c>
      <c r="M590" s="30" t="str">
        <f ca="1">IFERROR(__xludf.DUMMYFUNCTION("""COMPUTED_VALUE"""),"14014010000")</f>
        <v>14014010000</v>
      </c>
      <c r="N590" s="30" t="str">
        <f ca="1">IFERROR(__xludf.DUMMYFUNCTION("""COMPUTED_VALUE"""),"CORDOBA")</f>
        <v>CORDOBA</v>
      </c>
      <c r="O590" s="30" t="str">
        <f ca="1">IFERROR(__xludf.DUMMYFUNCTION("""COMPUTED_VALUE"""),"1414")</f>
        <v>1414</v>
      </c>
      <c r="P590" s="30" t="str">
        <f ca="1">IFERROR(__xludf.DUMMYFUNCTION("""COMPUTED_VALUE"""),"CAPITAL")</f>
        <v>CAPITAL</v>
      </c>
      <c r="Q590" s="30" t="str">
        <f ca="1">IFERROR(__xludf.DUMMYFUNCTION("""COMPUTED_VALUE"""),"-31.41821384")</f>
        <v>-31.41821384</v>
      </c>
      <c r="R590" s="30" t="str">
        <f ca="1">IFERROR(__xludf.DUMMYFUNCTION("""COMPUTED_VALUE"""),"-64.18004609")</f>
        <v>-64.18004609</v>
      </c>
      <c r="S590" s="30" t="str">
        <f ca="1">IFERROR(__xludf.DUMMYFUNCTION("""COMPUTED_VALUE"""),"Provincial")</f>
        <v>Provincial</v>
      </c>
      <c r="T590" s="30" t="str">
        <f ca="1">IFERROR(__xludf.DUMMYFUNCTION("""COMPUTED_VALUE"""),"-")</f>
        <v>-</v>
      </c>
    </row>
    <row r="591" spans="1:20" ht="15.75" customHeight="1" x14ac:dyDescent="0.25">
      <c r="A591" s="30" t="str">
        <f ca="1">IFERROR(__xludf.DUMMYFUNCTION("""COMPUTED_VALUE"""),"50140142131386")</f>
        <v>50140142131386</v>
      </c>
      <c r="B591" s="30" t="str">
        <f ca="1">IFERROR(__xludf.DUMMYFUNCTION("""COMPUTED_VALUE"""),"CAPS CIUDAD DE MIS SUEÑOS")</f>
        <v>CAPS CIUDAD DE MIS SUEÑOS</v>
      </c>
      <c r="C591" s="30" t="str">
        <f ca="1">IFERROR(__xludf.DUMMYFUNCTION("""COMPUTED_VALUE"""),"Córdoba")</f>
        <v>Córdoba</v>
      </c>
      <c r="D591" s="30" t="str">
        <f ca="1">IFERROR(__xludf.DUMMYFUNCTION("""COMPUTED_VALUE"""),"14")</f>
        <v>14</v>
      </c>
      <c r="E591" s="30" t="str">
        <f ca="1">IFERROR(__xludf.DUMMYFUNCTION("""COMPUTED_VALUE"""),"")</f>
        <v/>
      </c>
      <c r="F591" s="29"/>
      <c r="G591" s="29"/>
      <c r="H591" s="30" t="str">
        <f ca="1">IFERROR(__xludf.DUMMYFUNCTION("""COMPUTED_VALUE"""),"activo")</f>
        <v>activo</v>
      </c>
      <c r="I591" s="29"/>
      <c r="J591" s="29"/>
      <c r="K591" s="29"/>
      <c r="L591" s="30" t="str">
        <f ca="1">IFERROR(__xludf.DUMMYFUNCTION("""COMPUTED_VALUE"""),"No")</f>
        <v>No</v>
      </c>
      <c r="M591" s="30" t="str">
        <f ca="1">IFERROR(__xludf.DUMMYFUNCTION("""COMPUTED_VALUE"""),"14014010000")</f>
        <v>14014010000</v>
      </c>
      <c r="N591" s="30" t="str">
        <f ca="1">IFERROR(__xludf.DUMMYFUNCTION("""COMPUTED_VALUE"""),"CORDOBA")</f>
        <v>CORDOBA</v>
      </c>
      <c r="O591" s="30" t="str">
        <f ca="1">IFERROR(__xludf.DUMMYFUNCTION("""COMPUTED_VALUE"""),"1414")</f>
        <v>1414</v>
      </c>
      <c r="P591" s="30" t="str">
        <f ca="1">IFERROR(__xludf.DUMMYFUNCTION("""COMPUTED_VALUE"""),"CAPITAL")</f>
        <v>CAPITAL</v>
      </c>
      <c r="Q591" s="30" t="str">
        <f ca="1">IFERROR(__xludf.DUMMYFUNCTION("""COMPUTED_VALUE"""),"-31.3718029")</f>
        <v>-31.3718029</v>
      </c>
      <c r="R591" s="30" t="str">
        <f ca="1">IFERROR(__xludf.DUMMYFUNCTION("""COMPUTED_VALUE"""),"-64.2647694")</f>
        <v>-64.2647694</v>
      </c>
      <c r="S591" s="30" t="str">
        <f ca="1">IFERROR(__xludf.DUMMYFUNCTION("""COMPUTED_VALUE"""),"Provincial")</f>
        <v>Provincial</v>
      </c>
      <c r="T591" s="30" t="str">
        <f ca="1">IFERROR(__xludf.DUMMYFUNCTION("""COMPUTED_VALUE"""),"-")</f>
        <v>-</v>
      </c>
    </row>
    <row r="592" spans="1:20" ht="15.75" customHeight="1" x14ac:dyDescent="0.25">
      <c r="A592" s="30" t="str">
        <f ca="1">IFERROR(__xludf.DUMMYFUNCTION("""COMPUTED_VALUE"""),"50140142233255")</f>
        <v>50140142233255</v>
      </c>
      <c r="B592" s="30" t="str">
        <f ca="1">IFERROR(__xludf.DUMMYFUNCTION("""COMPUTED_VALUE"""),"CENTRO DE SALUD N° 45 - BARRIO CABO FARINA")</f>
        <v>CENTRO DE SALUD N° 45 - BARRIO CABO FARINA</v>
      </c>
      <c r="C592" s="30" t="str">
        <f ca="1">IFERROR(__xludf.DUMMYFUNCTION("""COMPUTED_VALUE"""),"Córdoba")</f>
        <v>Córdoba</v>
      </c>
      <c r="D592" s="30" t="str">
        <f ca="1">IFERROR(__xludf.DUMMYFUNCTION("""COMPUTED_VALUE"""),"14")</f>
        <v>14</v>
      </c>
      <c r="E592" s="30" t="str">
        <f ca="1">IFERROR(__xludf.DUMMYFUNCTION("""COMPUTED_VALUE"""),"")</f>
        <v/>
      </c>
      <c r="F592" s="29"/>
      <c r="G592" s="29"/>
      <c r="H592" s="30" t="str">
        <f ca="1">IFERROR(__xludf.DUMMYFUNCTION("""COMPUTED_VALUE"""),"activo")</f>
        <v>activo</v>
      </c>
      <c r="I592" s="29"/>
      <c r="J592" s="29"/>
      <c r="K592" s="29"/>
      <c r="L592" s="30" t="str">
        <f ca="1">IFERROR(__xludf.DUMMYFUNCTION("""COMPUTED_VALUE"""),"No")</f>
        <v>No</v>
      </c>
      <c r="M592" s="30" t="str">
        <f ca="1">IFERROR(__xludf.DUMMYFUNCTION("""COMPUTED_VALUE"""),"14014010000")</f>
        <v>14014010000</v>
      </c>
      <c r="N592" s="30" t="str">
        <f ca="1">IFERROR(__xludf.DUMMYFUNCTION("""COMPUTED_VALUE"""),"CORDOBA")</f>
        <v>CORDOBA</v>
      </c>
      <c r="O592" s="30" t="str">
        <f ca="1">IFERROR(__xludf.DUMMYFUNCTION("""COMPUTED_VALUE"""),"1414")</f>
        <v>1414</v>
      </c>
      <c r="P592" s="30" t="str">
        <f ca="1">IFERROR(__xludf.DUMMYFUNCTION("""COMPUTED_VALUE"""),"CAPITAL")</f>
        <v>CAPITAL</v>
      </c>
      <c r="Q592" s="30" t="str">
        <f ca="1">IFERROR(__xludf.DUMMYFUNCTION("""COMPUTED_VALUE"""),"-31.463705")</f>
        <v>-31.463705</v>
      </c>
      <c r="R592" s="30" t="str">
        <f ca="1">IFERROR(__xludf.DUMMYFUNCTION("""COMPUTED_VALUE"""),"-64.205264")</f>
        <v>-64.205264</v>
      </c>
      <c r="S592" s="30" t="str">
        <f ca="1">IFERROR(__xludf.DUMMYFUNCTION("""COMPUTED_VALUE"""),"Municipal")</f>
        <v>Municipal</v>
      </c>
      <c r="T592" s="29"/>
    </row>
    <row r="593" spans="1:20" ht="15.75" customHeight="1" x14ac:dyDescent="0.25">
      <c r="A593" s="30" t="str">
        <f ca="1">IFERROR(__xludf.DUMMYFUNCTION("""COMPUTED_VALUE"""),"50140142233661")</f>
        <v>50140142233661</v>
      </c>
      <c r="B593" s="30" t="str">
        <f ca="1">IFERROR(__xludf.DUMMYFUNCTION("""COMPUTED_VALUE"""),"CENTRO DE SALUD N° 46 - BARRIO SANTA ISABEL")</f>
        <v>CENTRO DE SALUD N° 46 - BARRIO SANTA ISABEL</v>
      </c>
      <c r="C593" s="30" t="str">
        <f ca="1">IFERROR(__xludf.DUMMYFUNCTION("""COMPUTED_VALUE"""),"Córdoba")</f>
        <v>Córdoba</v>
      </c>
      <c r="D593" s="30" t="str">
        <f ca="1">IFERROR(__xludf.DUMMYFUNCTION("""COMPUTED_VALUE"""),"14")</f>
        <v>14</v>
      </c>
      <c r="E593" s="30" t="str">
        <f ca="1">IFERROR(__xludf.DUMMYFUNCTION("""COMPUTED_VALUE"""),"si")</f>
        <v>si</v>
      </c>
      <c r="F593" s="29"/>
      <c r="G593" s="29"/>
      <c r="H593" s="30" t="str">
        <f ca="1">IFERROR(__xludf.DUMMYFUNCTION("""COMPUTED_VALUE"""),"activo")</f>
        <v>activo</v>
      </c>
      <c r="I593" s="29"/>
      <c r="J593" s="29"/>
      <c r="K593" s="29"/>
      <c r="L593" s="30" t="str">
        <f ca="1">IFERROR(__xludf.DUMMYFUNCTION("""COMPUTED_VALUE"""),"No")</f>
        <v>No</v>
      </c>
      <c r="M593" s="30" t="str">
        <f ca="1">IFERROR(__xludf.DUMMYFUNCTION("""COMPUTED_VALUE"""),"14014010000")</f>
        <v>14014010000</v>
      </c>
      <c r="N593" s="30" t="str">
        <f ca="1">IFERROR(__xludf.DUMMYFUNCTION("""COMPUTED_VALUE"""),"CORDOBA")</f>
        <v>CORDOBA</v>
      </c>
      <c r="O593" s="30" t="str">
        <f ca="1">IFERROR(__xludf.DUMMYFUNCTION("""COMPUTED_VALUE"""),"1414")</f>
        <v>1414</v>
      </c>
      <c r="P593" s="30" t="str">
        <f ca="1">IFERROR(__xludf.DUMMYFUNCTION("""COMPUTED_VALUE"""),"CAPITAL")</f>
        <v>CAPITAL</v>
      </c>
      <c r="Q593" s="30" t="str">
        <f ca="1">IFERROR(__xludf.DUMMYFUNCTION("""COMPUTED_VALUE"""),"-31.47731745")</f>
        <v>-31.47731745</v>
      </c>
      <c r="R593" s="30" t="str">
        <f ca="1">IFERROR(__xludf.DUMMYFUNCTION("""COMPUTED_VALUE"""),"-64.22967911")</f>
        <v>-64.22967911</v>
      </c>
      <c r="S593" s="30" t="str">
        <f ca="1">IFERROR(__xludf.DUMMYFUNCTION("""COMPUTED_VALUE"""),"Municipal")</f>
        <v>Municipal</v>
      </c>
      <c r="T593" s="29"/>
    </row>
    <row r="594" spans="1:20" ht="15.75" customHeight="1" x14ac:dyDescent="0.25">
      <c r="A594" s="30" t="str">
        <f ca="1">IFERROR(__xludf.DUMMYFUNCTION("""COMPUTED_VALUE"""),"50140142131384")</f>
        <v>50140142131384</v>
      </c>
      <c r="B594" s="30" t="str">
        <f ca="1">IFERROR(__xludf.DUMMYFUNCTION("""COMPUTED_VALUE"""),"CAPS CIUDAD DE LOS CUARTETOS")</f>
        <v>CAPS CIUDAD DE LOS CUARTETOS</v>
      </c>
      <c r="C594" s="30" t="str">
        <f ca="1">IFERROR(__xludf.DUMMYFUNCTION("""COMPUTED_VALUE"""),"Córdoba")</f>
        <v>Córdoba</v>
      </c>
      <c r="D594" s="30" t="str">
        <f ca="1">IFERROR(__xludf.DUMMYFUNCTION("""COMPUTED_VALUE"""),"14")</f>
        <v>14</v>
      </c>
      <c r="E594" s="30" t="str">
        <f ca="1">IFERROR(__xludf.DUMMYFUNCTION("""COMPUTED_VALUE"""),"")</f>
        <v/>
      </c>
      <c r="F594" s="29"/>
      <c r="G594" s="29"/>
      <c r="H594" s="30" t="str">
        <f ca="1">IFERROR(__xludf.DUMMYFUNCTION("""COMPUTED_VALUE"""),"activo")</f>
        <v>activo</v>
      </c>
      <c r="I594" s="29"/>
      <c r="J594" s="29"/>
      <c r="K594" s="29"/>
      <c r="L594" s="30" t="str">
        <f ca="1">IFERROR(__xludf.DUMMYFUNCTION("""COMPUTED_VALUE"""),"No")</f>
        <v>No</v>
      </c>
      <c r="M594" s="30" t="str">
        <f ca="1">IFERROR(__xludf.DUMMYFUNCTION("""COMPUTED_VALUE"""),"14014010000")</f>
        <v>14014010000</v>
      </c>
      <c r="N594" s="30" t="str">
        <f ca="1">IFERROR(__xludf.DUMMYFUNCTION("""COMPUTED_VALUE"""),"CORDOBA")</f>
        <v>CORDOBA</v>
      </c>
      <c r="O594" s="30" t="str">
        <f ca="1">IFERROR(__xludf.DUMMYFUNCTION("""COMPUTED_VALUE"""),"1414")</f>
        <v>1414</v>
      </c>
      <c r="P594" s="30" t="str">
        <f ca="1">IFERROR(__xludf.DUMMYFUNCTION("""COMPUTED_VALUE"""),"CAPITAL")</f>
        <v>CAPITAL</v>
      </c>
      <c r="Q594" s="30" t="str">
        <f ca="1">IFERROR(__xludf.DUMMYFUNCTION("""COMPUTED_VALUE"""),"-31.41913187")</f>
        <v>-31.41913187</v>
      </c>
      <c r="R594" s="30" t="str">
        <f ca="1">IFERROR(__xludf.DUMMYFUNCTION("""COMPUTED_VALUE"""),"-64.18070985")</f>
        <v>-64.18070985</v>
      </c>
      <c r="S594" s="30" t="str">
        <f ca="1">IFERROR(__xludf.DUMMYFUNCTION("""COMPUTED_VALUE"""),"Provincial")</f>
        <v>Provincial</v>
      </c>
      <c r="T594" s="30" t="str">
        <f ca="1">IFERROR(__xludf.DUMMYFUNCTION("""COMPUTED_VALUE"""),"-")</f>
        <v>-</v>
      </c>
    </row>
    <row r="595" spans="1:20" ht="15.75" customHeight="1" x14ac:dyDescent="0.25">
      <c r="A595" s="30" t="str">
        <f ca="1">IFERROR(__xludf.DUMMYFUNCTION("""COMPUTED_VALUE"""),"50140142131390")</f>
        <v>50140142131390</v>
      </c>
      <c r="B595" s="30" t="str">
        <f ca="1">IFERROR(__xludf.DUMMYFUNCTION("""COMPUTED_VALUE"""),"CAPS CUIDAD AMPLIACION CABILDO")</f>
        <v>CAPS CUIDAD AMPLIACION CABILDO</v>
      </c>
      <c r="C595" s="30" t="str">
        <f ca="1">IFERROR(__xludf.DUMMYFUNCTION("""COMPUTED_VALUE"""),"Córdoba")</f>
        <v>Córdoba</v>
      </c>
      <c r="D595" s="30" t="str">
        <f ca="1">IFERROR(__xludf.DUMMYFUNCTION("""COMPUTED_VALUE"""),"14")</f>
        <v>14</v>
      </c>
      <c r="E595" s="30" t="str">
        <f ca="1">IFERROR(__xludf.DUMMYFUNCTION("""COMPUTED_VALUE"""),"")</f>
        <v/>
      </c>
      <c r="F595" s="29"/>
      <c r="G595" s="29"/>
      <c r="H595" s="30" t="str">
        <f ca="1">IFERROR(__xludf.DUMMYFUNCTION("""COMPUTED_VALUE"""),"activo")</f>
        <v>activo</v>
      </c>
      <c r="I595" s="29"/>
      <c r="J595" s="29"/>
      <c r="K595" s="29"/>
      <c r="L595" s="30" t="str">
        <f ca="1">IFERROR(__xludf.DUMMYFUNCTION("""COMPUTED_VALUE"""),"No")</f>
        <v>No</v>
      </c>
      <c r="M595" s="30" t="str">
        <f ca="1">IFERROR(__xludf.DUMMYFUNCTION("""COMPUTED_VALUE"""),"14014010000")</f>
        <v>14014010000</v>
      </c>
      <c r="N595" s="30" t="str">
        <f ca="1">IFERROR(__xludf.DUMMYFUNCTION("""COMPUTED_VALUE"""),"CORDOBA")</f>
        <v>CORDOBA</v>
      </c>
      <c r="O595" s="30" t="str">
        <f ca="1">IFERROR(__xludf.DUMMYFUNCTION("""COMPUTED_VALUE"""),"1414")</f>
        <v>1414</v>
      </c>
      <c r="P595" s="30" t="str">
        <f ca="1">IFERROR(__xludf.DUMMYFUNCTION("""COMPUTED_VALUE"""),"CAPITAL")</f>
        <v>CAPITAL</v>
      </c>
      <c r="Q595" s="30" t="str">
        <f ca="1">IFERROR(__xludf.DUMMYFUNCTION("""COMPUTED_VALUE"""),"-31.41499092")</f>
        <v>-31.41499092</v>
      </c>
      <c r="R595" s="30" t="str">
        <f ca="1">IFERROR(__xludf.DUMMYFUNCTION("""COMPUTED_VALUE"""),"-64.17379763")</f>
        <v>-64.17379763</v>
      </c>
      <c r="S595" s="30" t="str">
        <f ca="1">IFERROR(__xludf.DUMMYFUNCTION("""COMPUTED_VALUE"""),"Provincial")</f>
        <v>Provincial</v>
      </c>
      <c r="T595" s="30" t="str">
        <f ca="1">IFERROR(__xludf.DUMMYFUNCTION("""COMPUTED_VALUE"""),"-")</f>
        <v>-</v>
      </c>
    </row>
    <row r="596" spans="1:20" ht="15.75" customHeight="1" x14ac:dyDescent="0.25">
      <c r="A596" s="30" t="str">
        <f ca="1">IFERROR(__xludf.DUMMYFUNCTION("""COMPUTED_VALUE"""),"50140142131387")</f>
        <v>50140142131387</v>
      </c>
      <c r="B596" s="30" t="str">
        <f ca="1">IFERROR(__xludf.DUMMYFUNCTION("""COMPUTED_VALUE"""),"CAPS CIUDAD OBISPO ANGELELLI")</f>
        <v>CAPS CIUDAD OBISPO ANGELELLI</v>
      </c>
      <c r="C596" s="30" t="str">
        <f ca="1">IFERROR(__xludf.DUMMYFUNCTION("""COMPUTED_VALUE"""),"Córdoba")</f>
        <v>Córdoba</v>
      </c>
      <c r="D596" s="30" t="str">
        <f ca="1">IFERROR(__xludf.DUMMYFUNCTION("""COMPUTED_VALUE"""),"14")</f>
        <v>14</v>
      </c>
      <c r="E596" s="30" t="str">
        <f ca="1">IFERROR(__xludf.DUMMYFUNCTION("""COMPUTED_VALUE"""),"si")</f>
        <v>si</v>
      </c>
      <c r="F596" s="29"/>
      <c r="G596" s="29"/>
      <c r="H596" s="30" t="str">
        <f ca="1">IFERROR(__xludf.DUMMYFUNCTION("""COMPUTED_VALUE"""),"activo")</f>
        <v>activo</v>
      </c>
      <c r="I596" s="29"/>
      <c r="J596" s="29"/>
      <c r="K596" s="29"/>
      <c r="L596" s="30" t="str">
        <f ca="1">IFERROR(__xludf.DUMMYFUNCTION("""COMPUTED_VALUE"""),"No")</f>
        <v>No</v>
      </c>
      <c r="M596" s="30" t="str">
        <f ca="1">IFERROR(__xludf.DUMMYFUNCTION("""COMPUTED_VALUE"""),"14014010000")</f>
        <v>14014010000</v>
      </c>
      <c r="N596" s="30" t="str">
        <f ca="1">IFERROR(__xludf.DUMMYFUNCTION("""COMPUTED_VALUE"""),"CORDOBA")</f>
        <v>CORDOBA</v>
      </c>
      <c r="O596" s="30" t="str">
        <f ca="1">IFERROR(__xludf.DUMMYFUNCTION("""COMPUTED_VALUE"""),"1414")</f>
        <v>1414</v>
      </c>
      <c r="P596" s="30" t="str">
        <f ca="1">IFERROR(__xludf.DUMMYFUNCTION("""COMPUTED_VALUE"""),"CAPITAL")</f>
        <v>CAPITAL</v>
      </c>
      <c r="Q596" s="30" t="str">
        <f ca="1">IFERROR(__xludf.DUMMYFUNCTION("""COMPUTED_VALUE"""),"-31.504826")</f>
        <v>-31.504826</v>
      </c>
      <c r="R596" s="30" t="str">
        <f ca="1">IFERROR(__xludf.DUMMYFUNCTION("""COMPUTED_VALUE"""),"-64.194144")</f>
        <v>-64.194144</v>
      </c>
      <c r="S596" s="30" t="str">
        <f ca="1">IFERROR(__xludf.DUMMYFUNCTION("""COMPUTED_VALUE"""),"Provincial")</f>
        <v>Provincial</v>
      </c>
      <c r="T596" s="30" t="str">
        <f ca="1">IFERROR(__xludf.DUMMYFUNCTION("""COMPUTED_VALUE"""),"-")</f>
        <v>-</v>
      </c>
    </row>
    <row r="597" spans="1:20" ht="15.75" customHeight="1" x14ac:dyDescent="0.25">
      <c r="A597" s="30" t="str">
        <f ca="1">IFERROR(__xludf.DUMMYFUNCTION("""COMPUTED_VALUE"""),"50140142131396")</f>
        <v>50140142131396</v>
      </c>
      <c r="B597" s="30" t="str">
        <f ca="1">IFERROR(__xludf.DUMMYFUNCTION("""COMPUTED_VALUE"""),"CAPS EL CHINGOLO")</f>
        <v>CAPS EL CHINGOLO</v>
      </c>
      <c r="C597" s="30" t="str">
        <f ca="1">IFERROR(__xludf.DUMMYFUNCTION("""COMPUTED_VALUE"""),"Córdoba")</f>
        <v>Córdoba</v>
      </c>
      <c r="D597" s="30" t="str">
        <f ca="1">IFERROR(__xludf.DUMMYFUNCTION("""COMPUTED_VALUE"""),"14")</f>
        <v>14</v>
      </c>
      <c r="E597" s="30" t="str">
        <f ca="1">IFERROR(__xludf.DUMMYFUNCTION("""COMPUTED_VALUE"""),"")</f>
        <v/>
      </c>
      <c r="F597" s="29"/>
      <c r="G597" s="29"/>
      <c r="H597" s="30" t="str">
        <f ca="1">IFERROR(__xludf.DUMMYFUNCTION("""COMPUTED_VALUE"""),"activo")</f>
        <v>activo</v>
      </c>
      <c r="I597" s="29"/>
      <c r="J597" s="29"/>
      <c r="K597" s="29"/>
      <c r="L597" s="30" t="str">
        <f ca="1">IFERROR(__xludf.DUMMYFUNCTION("""COMPUTED_VALUE"""),"No")</f>
        <v>No</v>
      </c>
      <c r="M597" s="30" t="str">
        <f ca="1">IFERROR(__xludf.DUMMYFUNCTION("""COMPUTED_VALUE"""),"14014010000")</f>
        <v>14014010000</v>
      </c>
      <c r="N597" s="30" t="str">
        <f ca="1">IFERROR(__xludf.DUMMYFUNCTION("""COMPUTED_VALUE"""),"CORDOBA")</f>
        <v>CORDOBA</v>
      </c>
      <c r="O597" s="30" t="str">
        <f ca="1">IFERROR(__xludf.DUMMYFUNCTION("""COMPUTED_VALUE"""),"1414")</f>
        <v>1414</v>
      </c>
      <c r="P597" s="30" t="str">
        <f ca="1">IFERROR(__xludf.DUMMYFUNCTION("""COMPUTED_VALUE"""),"CAPITAL")</f>
        <v>CAPITAL</v>
      </c>
      <c r="Q597" s="30" t="str">
        <f ca="1">IFERROR(__xludf.DUMMYFUNCTION("""COMPUTED_VALUE"""),"-31.40418362")</f>
        <v>-31.40418362</v>
      </c>
      <c r="R597" s="30" t="str">
        <f ca="1">IFERROR(__xludf.DUMMYFUNCTION("""COMPUTED_VALUE"""),"-64.25782585")</f>
        <v>-64.25782585</v>
      </c>
      <c r="S597" s="30" t="str">
        <f ca="1">IFERROR(__xludf.DUMMYFUNCTION("""COMPUTED_VALUE"""),"Provincial")</f>
        <v>Provincial</v>
      </c>
      <c r="T597" s="30" t="str">
        <f ca="1">IFERROR(__xludf.DUMMYFUNCTION("""COMPUTED_VALUE"""),"-")</f>
        <v>-</v>
      </c>
    </row>
    <row r="598" spans="1:20" ht="15.75" customHeight="1" x14ac:dyDescent="0.25">
      <c r="A598" s="30" t="str">
        <f ca="1">IFERROR(__xludf.DUMMYFUNCTION("""COMPUTED_VALUE"""),"50140142133241")</f>
        <v>50140142133241</v>
      </c>
      <c r="B598" s="30" t="str">
        <f ca="1">IFERROR(__xludf.DUMMYFUNCTION("""COMPUTED_VALUE"""),"CAPS GENERAL SAVIO")</f>
        <v>CAPS GENERAL SAVIO</v>
      </c>
      <c r="C598" s="30" t="str">
        <f ca="1">IFERROR(__xludf.DUMMYFUNCTION("""COMPUTED_VALUE"""),"Córdoba")</f>
        <v>Córdoba</v>
      </c>
      <c r="D598" s="30" t="str">
        <f ca="1">IFERROR(__xludf.DUMMYFUNCTION("""COMPUTED_VALUE"""),"14")</f>
        <v>14</v>
      </c>
      <c r="E598" s="30" t="str">
        <f ca="1">IFERROR(__xludf.DUMMYFUNCTION("""COMPUTED_VALUE"""),"si")</f>
        <v>si</v>
      </c>
      <c r="F598" s="29"/>
      <c r="G598" s="29"/>
      <c r="H598" s="30" t="str">
        <f ca="1">IFERROR(__xludf.DUMMYFUNCTION("""COMPUTED_VALUE"""),"activo")</f>
        <v>activo</v>
      </c>
      <c r="I598" s="29"/>
      <c r="J598" s="29"/>
      <c r="K598" s="29"/>
      <c r="L598" s="30" t="str">
        <f ca="1">IFERROR(__xludf.DUMMYFUNCTION("""COMPUTED_VALUE"""),"No")</f>
        <v>No</v>
      </c>
      <c r="M598" s="30" t="str">
        <f ca="1">IFERROR(__xludf.DUMMYFUNCTION("""COMPUTED_VALUE"""),"14014010000")</f>
        <v>14014010000</v>
      </c>
      <c r="N598" s="30" t="str">
        <f ca="1">IFERROR(__xludf.DUMMYFUNCTION("""COMPUTED_VALUE"""),"CORDOBA")</f>
        <v>CORDOBA</v>
      </c>
      <c r="O598" s="30" t="str">
        <f ca="1">IFERROR(__xludf.DUMMYFUNCTION("""COMPUTED_VALUE"""),"1414")</f>
        <v>1414</v>
      </c>
      <c r="P598" s="30" t="str">
        <f ca="1">IFERROR(__xludf.DUMMYFUNCTION("""COMPUTED_VALUE"""),"CAPITAL")</f>
        <v>CAPITAL</v>
      </c>
      <c r="Q598" s="30" t="str">
        <f ca="1">IFERROR(__xludf.DUMMYFUNCTION("""COMPUTED_VALUE"""),"-31.371409")</f>
        <v>-31.371409</v>
      </c>
      <c r="R598" s="30" t="str">
        <f ca="1">IFERROR(__xludf.DUMMYFUNCTION("""COMPUTED_VALUE"""),"-64.155397")</f>
        <v>-64.155397</v>
      </c>
      <c r="S598" s="30" t="str">
        <f ca="1">IFERROR(__xludf.DUMMYFUNCTION("""COMPUTED_VALUE"""),"Provincial")</f>
        <v>Provincial</v>
      </c>
      <c r="T598" s="30" t="str">
        <f ca="1">IFERROR(__xludf.DUMMYFUNCTION("""COMPUTED_VALUE"""),"-")</f>
        <v>-</v>
      </c>
    </row>
    <row r="599" spans="1:20" ht="15.75" customHeight="1" x14ac:dyDescent="0.25">
      <c r="A599" s="30" t="str">
        <f ca="1">IFERROR(__xludf.DUMMYFUNCTION("""COMPUTED_VALUE"""),"50140142233664")</f>
        <v>50140142233664</v>
      </c>
      <c r="B599" s="30" t="str">
        <f ca="1">IFERROR(__xludf.DUMMYFUNCTION("""COMPUTED_VALUE"""),"CENTRO DE SALUD N° 41 - BARRIO VILLA EL LIBERTADOR")</f>
        <v>CENTRO DE SALUD N° 41 - BARRIO VILLA EL LIBERTADOR</v>
      </c>
      <c r="C599" s="30" t="str">
        <f ca="1">IFERROR(__xludf.DUMMYFUNCTION("""COMPUTED_VALUE"""),"Córdoba")</f>
        <v>Córdoba</v>
      </c>
      <c r="D599" s="30" t="str">
        <f ca="1">IFERROR(__xludf.DUMMYFUNCTION("""COMPUTED_VALUE"""),"14")</f>
        <v>14</v>
      </c>
      <c r="E599" s="30" t="str">
        <f ca="1">IFERROR(__xludf.DUMMYFUNCTION("""COMPUTED_VALUE"""),"")</f>
        <v/>
      </c>
      <c r="F599" s="29"/>
      <c r="G599" s="29"/>
      <c r="H599" s="30" t="str">
        <f ca="1">IFERROR(__xludf.DUMMYFUNCTION("""COMPUTED_VALUE"""),"activo")</f>
        <v>activo</v>
      </c>
      <c r="I599" s="29"/>
      <c r="J599" s="29"/>
      <c r="K599" s="29"/>
      <c r="L599" s="30" t="str">
        <f ca="1">IFERROR(__xludf.DUMMYFUNCTION("""COMPUTED_VALUE"""),"No")</f>
        <v>No</v>
      </c>
      <c r="M599" s="30" t="str">
        <f ca="1">IFERROR(__xludf.DUMMYFUNCTION("""COMPUTED_VALUE"""),"14014010000")</f>
        <v>14014010000</v>
      </c>
      <c r="N599" s="30" t="str">
        <f ca="1">IFERROR(__xludf.DUMMYFUNCTION("""COMPUTED_VALUE"""),"CORDOBA")</f>
        <v>CORDOBA</v>
      </c>
      <c r="O599" s="30" t="str">
        <f ca="1">IFERROR(__xludf.DUMMYFUNCTION("""COMPUTED_VALUE"""),"1414")</f>
        <v>1414</v>
      </c>
      <c r="P599" s="30" t="str">
        <f ca="1">IFERROR(__xludf.DUMMYFUNCTION("""COMPUTED_VALUE"""),"CAPITAL")</f>
        <v>CAPITAL</v>
      </c>
      <c r="Q599" s="30" t="str">
        <f ca="1">IFERROR(__xludf.DUMMYFUNCTION("""COMPUTED_VALUE"""),"-31.475212")</f>
        <v>-31.475212</v>
      </c>
      <c r="R599" s="30" t="str">
        <f ca="1">IFERROR(__xludf.DUMMYFUNCTION("""COMPUTED_VALUE"""),"-64.216121")</f>
        <v>-64.216121</v>
      </c>
      <c r="S599" s="30" t="str">
        <f ca="1">IFERROR(__xludf.DUMMYFUNCTION("""COMPUTED_VALUE"""),"Municipal")</f>
        <v>Municipal</v>
      </c>
      <c r="T599" s="29"/>
    </row>
    <row r="600" spans="1:20" ht="15.75" customHeight="1" x14ac:dyDescent="0.25">
      <c r="A600" s="30" t="str">
        <f ca="1">IFERROR(__xludf.DUMMYFUNCTION("""COMPUTED_VALUE"""),"50140142133187")</f>
        <v>50140142133187</v>
      </c>
      <c r="B600" s="30" t="str">
        <f ca="1">IFERROR(__xludf.DUMMYFUNCTION("""COMPUTED_VALUE"""),"CENTRO DE SALUD N° 4 - BARRIO NUEVA ITALIA")</f>
        <v>CENTRO DE SALUD N° 4 - BARRIO NUEVA ITALIA</v>
      </c>
      <c r="C600" s="30" t="str">
        <f ca="1">IFERROR(__xludf.DUMMYFUNCTION("""COMPUTED_VALUE"""),"Córdoba")</f>
        <v>Córdoba</v>
      </c>
      <c r="D600" s="30" t="str">
        <f ca="1">IFERROR(__xludf.DUMMYFUNCTION("""COMPUTED_VALUE"""),"14")</f>
        <v>14</v>
      </c>
      <c r="E600" s="30" t="str">
        <f ca="1">IFERROR(__xludf.DUMMYFUNCTION("""COMPUTED_VALUE"""),"")</f>
        <v/>
      </c>
      <c r="F600" s="29"/>
      <c r="G600" s="29"/>
      <c r="H600" s="30" t="str">
        <f ca="1">IFERROR(__xludf.DUMMYFUNCTION("""COMPUTED_VALUE"""),"activo")</f>
        <v>activo</v>
      </c>
      <c r="I600" s="29"/>
      <c r="J600" s="29"/>
      <c r="K600" s="29"/>
      <c r="L600" s="30" t="str">
        <f ca="1">IFERROR(__xludf.DUMMYFUNCTION("""COMPUTED_VALUE"""),"No")</f>
        <v>No</v>
      </c>
      <c r="M600" s="30" t="str">
        <f ca="1">IFERROR(__xludf.DUMMYFUNCTION("""COMPUTED_VALUE"""),"14014010000")</f>
        <v>14014010000</v>
      </c>
      <c r="N600" s="30" t="str">
        <f ca="1">IFERROR(__xludf.DUMMYFUNCTION("""COMPUTED_VALUE"""),"CORDOBA")</f>
        <v>CORDOBA</v>
      </c>
      <c r="O600" s="30" t="str">
        <f ca="1">IFERROR(__xludf.DUMMYFUNCTION("""COMPUTED_VALUE"""),"1414")</f>
        <v>1414</v>
      </c>
      <c r="P600" s="30" t="str">
        <f ca="1">IFERROR(__xludf.DUMMYFUNCTION("""COMPUTED_VALUE"""),"CAPITAL")</f>
        <v>CAPITAL</v>
      </c>
      <c r="Q600" s="30" t="str">
        <f ca="1">IFERROR(__xludf.DUMMYFUNCTION("""COMPUTED_VALUE"""),"-31.38197662")</f>
        <v>-31.38197662</v>
      </c>
      <c r="R600" s="30" t="str">
        <f ca="1">IFERROR(__xludf.DUMMYFUNCTION("""COMPUTED_VALUE"""),"-64.14311886")</f>
        <v>-64.14311886</v>
      </c>
      <c r="S600" s="30" t="str">
        <f ca="1">IFERROR(__xludf.DUMMYFUNCTION("""COMPUTED_VALUE"""),"Municipal")</f>
        <v>Municipal</v>
      </c>
      <c r="T600" s="29"/>
    </row>
    <row r="601" spans="1:20" ht="15.75" customHeight="1" x14ac:dyDescent="0.25">
      <c r="A601" s="30" t="str">
        <f ca="1">IFERROR(__xludf.DUMMYFUNCTION("""COMPUTED_VALUE"""),"50140142131405")</f>
        <v>50140142131405</v>
      </c>
      <c r="B601" s="30" t="str">
        <f ca="1">IFERROR(__xludf.DUMMYFUNCTION("""COMPUTED_VALUE"""),"CAPS MI ESPERANZA")</f>
        <v>CAPS MI ESPERANZA</v>
      </c>
      <c r="C601" s="30" t="str">
        <f ca="1">IFERROR(__xludf.DUMMYFUNCTION("""COMPUTED_VALUE"""),"Córdoba")</f>
        <v>Córdoba</v>
      </c>
      <c r="D601" s="30" t="str">
        <f ca="1">IFERROR(__xludf.DUMMYFUNCTION("""COMPUTED_VALUE"""),"14")</f>
        <v>14</v>
      </c>
      <c r="E601" s="30" t="str">
        <f ca="1">IFERROR(__xludf.DUMMYFUNCTION("""COMPUTED_VALUE"""),"si")</f>
        <v>si</v>
      </c>
      <c r="F601" s="29"/>
      <c r="G601" s="29"/>
      <c r="H601" s="30" t="str">
        <f ca="1">IFERROR(__xludf.DUMMYFUNCTION("""COMPUTED_VALUE"""),"activo")</f>
        <v>activo</v>
      </c>
      <c r="I601" s="29"/>
      <c r="J601" s="29"/>
      <c r="K601" s="29"/>
      <c r="L601" s="30" t="str">
        <f ca="1">IFERROR(__xludf.DUMMYFUNCTION("""COMPUTED_VALUE"""),"No")</f>
        <v>No</v>
      </c>
      <c r="M601" s="30" t="str">
        <f ca="1">IFERROR(__xludf.DUMMYFUNCTION("""COMPUTED_VALUE"""),"14014010000")</f>
        <v>14014010000</v>
      </c>
      <c r="N601" s="30" t="str">
        <f ca="1">IFERROR(__xludf.DUMMYFUNCTION("""COMPUTED_VALUE"""),"CORDOBA")</f>
        <v>CORDOBA</v>
      </c>
      <c r="O601" s="30" t="str">
        <f ca="1">IFERROR(__xludf.DUMMYFUNCTION("""COMPUTED_VALUE"""),"1414")</f>
        <v>1414</v>
      </c>
      <c r="P601" s="30" t="str">
        <f ca="1">IFERROR(__xludf.DUMMYFUNCTION("""COMPUTED_VALUE"""),"CAPITAL")</f>
        <v>CAPITAL</v>
      </c>
      <c r="Q601" s="30" t="str">
        <f ca="1">IFERROR(__xludf.DUMMYFUNCTION("""COMPUTED_VALUE"""),"-31.3718029")</f>
        <v>-31.3718029</v>
      </c>
      <c r="R601" s="30" t="str">
        <f ca="1">IFERROR(__xludf.DUMMYFUNCTION("""COMPUTED_VALUE"""),"-64.2647694")</f>
        <v>-64.2647694</v>
      </c>
      <c r="S601" s="30" t="str">
        <f ca="1">IFERROR(__xludf.DUMMYFUNCTION("""COMPUTED_VALUE"""),"Provincial")</f>
        <v>Provincial</v>
      </c>
      <c r="T601" s="30" t="str">
        <f ca="1">IFERROR(__xludf.DUMMYFUNCTION("""COMPUTED_VALUE"""),"-")</f>
        <v>-</v>
      </c>
    </row>
    <row r="602" spans="1:20" ht="15.75" customHeight="1" x14ac:dyDescent="0.25">
      <c r="A602" s="30" t="str">
        <f ca="1">IFERROR(__xludf.DUMMYFUNCTION("""COMPUTED_VALUE"""),"50140142133189")</f>
        <v>50140142133189</v>
      </c>
      <c r="B602" s="30" t="str">
        <f ca="1">IFERROR(__xludf.DUMMYFUNCTION("""COMPUTED_VALUE"""),"CENTRO DE SALUD N° 14 - GENERAL BUSTOS")</f>
        <v>CENTRO DE SALUD N° 14 - GENERAL BUSTOS</v>
      </c>
      <c r="C602" s="30" t="str">
        <f ca="1">IFERROR(__xludf.DUMMYFUNCTION("""COMPUTED_VALUE"""),"Córdoba")</f>
        <v>Córdoba</v>
      </c>
      <c r="D602" s="30" t="str">
        <f ca="1">IFERROR(__xludf.DUMMYFUNCTION("""COMPUTED_VALUE"""),"14")</f>
        <v>14</v>
      </c>
      <c r="E602" s="30" t="str">
        <f ca="1">IFERROR(__xludf.DUMMYFUNCTION("""COMPUTED_VALUE"""),"")</f>
        <v/>
      </c>
      <c r="F602" s="29"/>
      <c r="G602" s="29"/>
      <c r="H602" s="30" t="str">
        <f ca="1">IFERROR(__xludf.DUMMYFUNCTION("""COMPUTED_VALUE"""),"activo")</f>
        <v>activo</v>
      </c>
      <c r="I602" s="29"/>
      <c r="J602" s="29"/>
      <c r="K602" s="29"/>
      <c r="L602" s="30" t="str">
        <f ca="1">IFERROR(__xludf.DUMMYFUNCTION("""COMPUTED_VALUE"""),"No")</f>
        <v>No</v>
      </c>
      <c r="M602" s="30" t="str">
        <f ca="1">IFERROR(__xludf.DUMMYFUNCTION("""COMPUTED_VALUE"""),"14014010000")</f>
        <v>14014010000</v>
      </c>
      <c r="N602" s="30" t="str">
        <f ca="1">IFERROR(__xludf.DUMMYFUNCTION("""COMPUTED_VALUE"""),"CORDOBA")</f>
        <v>CORDOBA</v>
      </c>
      <c r="O602" s="30" t="str">
        <f ca="1">IFERROR(__xludf.DUMMYFUNCTION("""COMPUTED_VALUE"""),"1414")</f>
        <v>1414</v>
      </c>
      <c r="P602" s="30" t="str">
        <f ca="1">IFERROR(__xludf.DUMMYFUNCTION("""COMPUTED_VALUE"""),"CAPITAL")</f>
        <v>CAPITAL</v>
      </c>
      <c r="Q602" s="30" t="str">
        <f ca="1">IFERROR(__xludf.DUMMYFUNCTION("""COMPUTED_VALUE"""),"-31.387217")</f>
        <v>-31.387217</v>
      </c>
      <c r="R602" s="30" t="str">
        <f ca="1">IFERROR(__xludf.DUMMYFUNCTION("""COMPUTED_VALUE"""),"-64.163883")</f>
        <v>-64.163883</v>
      </c>
      <c r="S602" s="30" t="str">
        <f ca="1">IFERROR(__xludf.DUMMYFUNCTION("""COMPUTED_VALUE"""),"Municipal")</f>
        <v>Municipal</v>
      </c>
      <c r="T602" s="29"/>
    </row>
    <row r="603" spans="1:20" ht="15.75" customHeight="1" x14ac:dyDescent="0.25">
      <c r="A603" s="30" t="str">
        <f ca="1">IFERROR(__xludf.DUMMYFUNCTION("""COMPUTED_VALUE"""),"50140212232521")</f>
        <v>50140212232521</v>
      </c>
      <c r="B603" s="30" t="str">
        <f ca="1">IFERROR(__xludf.DUMMYFUNCTION("""COMPUTED_VALUE"""),"DISPENSARIO LA COSTANERA")</f>
        <v>DISPENSARIO LA COSTANERA</v>
      </c>
      <c r="C603" s="30" t="str">
        <f ca="1">IFERROR(__xludf.DUMMYFUNCTION("""COMPUTED_VALUE"""),"Córdoba")</f>
        <v>Córdoba</v>
      </c>
      <c r="D603" s="30" t="str">
        <f ca="1">IFERROR(__xludf.DUMMYFUNCTION("""COMPUTED_VALUE"""),"14")</f>
        <v>14</v>
      </c>
      <c r="E603" s="30" t="str">
        <f ca="1">IFERROR(__xludf.DUMMYFUNCTION("""COMPUTED_VALUE"""),"")</f>
        <v/>
      </c>
      <c r="F603" s="29"/>
      <c r="G603" s="29"/>
      <c r="H603" s="30" t="str">
        <f ca="1">IFERROR(__xludf.DUMMYFUNCTION("""COMPUTED_VALUE"""),"activo")</f>
        <v>activo</v>
      </c>
      <c r="I603" s="29"/>
      <c r="J603" s="29"/>
      <c r="K603" s="29"/>
      <c r="L603" s="30" t="str">
        <f ca="1">IFERROR(__xludf.DUMMYFUNCTION("""COMPUTED_VALUE"""),"No")</f>
        <v>No</v>
      </c>
      <c r="M603" s="30" t="str">
        <f ca="1">IFERROR(__xludf.DUMMYFUNCTION("""COMPUTED_VALUE"""),"14021140000")</f>
        <v>14021140000</v>
      </c>
      <c r="N603" s="30" t="str">
        <f ca="1">IFERROR(__xludf.DUMMYFUNCTION("""COMPUTED_VALUE"""),"JESUS MARIA")</f>
        <v>JESUS MARIA</v>
      </c>
      <c r="O603" s="30" t="str">
        <f ca="1">IFERROR(__xludf.DUMMYFUNCTION("""COMPUTED_VALUE"""),"1421")</f>
        <v>1421</v>
      </c>
      <c r="P603" s="30" t="str">
        <f ca="1">IFERROR(__xludf.DUMMYFUNCTION("""COMPUTED_VALUE"""),"COLÓN")</f>
        <v>COLÓN</v>
      </c>
      <c r="Q603" s="30" t="str">
        <f ca="1">IFERROR(__xludf.DUMMYFUNCTION("""COMPUTED_VALUE"""),"-30.979227")</f>
        <v>-30.979227</v>
      </c>
      <c r="R603" s="30" t="str">
        <f ca="1">IFERROR(__xludf.DUMMYFUNCTION("""COMPUTED_VALUE"""),"-64.104923")</f>
        <v>-64.104923</v>
      </c>
      <c r="S603" s="30" t="str">
        <f ca="1">IFERROR(__xludf.DUMMYFUNCTION("""COMPUTED_VALUE"""),"Municipal")</f>
        <v>Municipal</v>
      </c>
      <c r="T603" s="29"/>
    </row>
    <row r="604" spans="1:20" ht="15.75" customHeight="1" x14ac:dyDescent="0.25">
      <c r="A604" s="30" t="str">
        <f ca="1">IFERROR(__xludf.DUMMYFUNCTION("""COMPUTED_VALUE"""),"50140212232523")</f>
        <v>50140212232523</v>
      </c>
      <c r="B604" s="30" t="str">
        <f ca="1">IFERROR(__xludf.DUMMYFUNCTION("""COMPUTED_VALUE"""),"DISPENSARIO FLORIDA NORTE")</f>
        <v>DISPENSARIO FLORIDA NORTE</v>
      </c>
      <c r="C604" s="30" t="str">
        <f ca="1">IFERROR(__xludf.DUMMYFUNCTION("""COMPUTED_VALUE"""),"Córdoba")</f>
        <v>Córdoba</v>
      </c>
      <c r="D604" s="30" t="str">
        <f ca="1">IFERROR(__xludf.DUMMYFUNCTION("""COMPUTED_VALUE"""),"14")</f>
        <v>14</v>
      </c>
      <c r="E604" s="30" t="str">
        <f ca="1">IFERROR(__xludf.DUMMYFUNCTION("""COMPUTED_VALUE"""),"")</f>
        <v/>
      </c>
      <c r="F604" s="29"/>
      <c r="G604" s="29"/>
      <c r="H604" s="30" t="str">
        <f ca="1">IFERROR(__xludf.DUMMYFUNCTION("""COMPUTED_VALUE"""),"activo")</f>
        <v>activo</v>
      </c>
      <c r="I604" s="29"/>
      <c r="J604" s="29"/>
      <c r="K604" s="29"/>
      <c r="L604" s="30" t="str">
        <f ca="1">IFERROR(__xludf.DUMMYFUNCTION("""COMPUTED_VALUE"""),"No")</f>
        <v>No</v>
      </c>
      <c r="M604" s="30" t="str">
        <f ca="1">IFERROR(__xludf.DUMMYFUNCTION("""COMPUTED_VALUE"""),"14021140000")</f>
        <v>14021140000</v>
      </c>
      <c r="N604" s="30" t="str">
        <f ca="1">IFERROR(__xludf.DUMMYFUNCTION("""COMPUTED_VALUE"""),"JESUS MARIA")</f>
        <v>JESUS MARIA</v>
      </c>
      <c r="O604" s="30" t="str">
        <f ca="1">IFERROR(__xludf.DUMMYFUNCTION("""COMPUTED_VALUE"""),"1421")</f>
        <v>1421</v>
      </c>
      <c r="P604" s="30" t="str">
        <f ca="1">IFERROR(__xludf.DUMMYFUNCTION("""COMPUTED_VALUE"""),"COLÓN")</f>
        <v>COLÓN</v>
      </c>
      <c r="Q604" s="30" t="str">
        <f ca="1">IFERROR(__xludf.DUMMYFUNCTION("""COMPUTED_VALUE"""),"-30.995009")</f>
        <v>-30.995009</v>
      </c>
      <c r="R604" s="30" t="str">
        <f ca="1">IFERROR(__xludf.DUMMYFUNCTION("""COMPUTED_VALUE"""),"-64.092387")</f>
        <v>-64.092387</v>
      </c>
      <c r="S604" s="30" t="str">
        <f ca="1">IFERROR(__xludf.DUMMYFUNCTION("""COMPUTED_VALUE"""),"Municipal")</f>
        <v>Municipal</v>
      </c>
      <c r="T604" s="29"/>
    </row>
    <row r="605" spans="1:20" ht="15.75" customHeight="1" x14ac:dyDescent="0.25">
      <c r="A605" s="30" t="str">
        <f ca="1">IFERROR(__xludf.DUMMYFUNCTION("""COMPUTED_VALUE"""),"50140212232525")</f>
        <v>50140212232525</v>
      </c>
      <c r="B605" s="30" t="str">
        <f ca="1">IFERROR(__xludf.DUMMYFUNCTION("""COMPUTED_VALUE"""),"DISPENSARIO SIERRAS Y PARQUE")</f>
        <v>DISPENSARIO SIERRAS Y PARQUE</v>
      </c>
      <c r="C605" s="30" t="str">
        <f ca="1">IFERROR(__xludf.DUMMYFUNCTION("""COMPUTED_VALUE"""),"Córdoba")</f>
        <v>Córdoba</v>
      </c>
      <c r="D605" s="30" t="str">
        <f ca="1">IFERROR(__xludf.DUMMYFUNCTION("""COMPUTED_VALUE"""),"14")</f>
        <v>14</v>
      </c>
      <c r="E605" s="30" t="str">
        <f ca="1">IFERROR(__xludf.DUMMYFUNCTION("""COMPUTED_VALUE"""),"")</f>
        <v/>
      </c>
      <c r="F605" s="29"/>
      <c r="G605" s="29"/>
      <c r="H605" s="30" t="str">
        <f ca="1">IFERROR(__xludf.DUMMYFUNCTION("""COMPUTED_VALUE"""),"activo")</f>
        <v>activo</v>
      </c>
      <c r="I605" s="29"/>
      <c r="J605" s="29"/>
      <c r="K605" s="29"/>
      <c r="L605" s="30" t="str">
        <f ca="1">IFERROR(__xludf.DUMMYFUNCTION("""COMPUTED_VALUE"""),"No")</f>
        <v>No</v>
      </c>
      <c r="M605" s="30" t="str">
        <f ca="1">IFERROR(__xludf.DUMMYFUNCTION("""COMPUTED_VALUE"""),"14021140000")</f>
        <v>14021140000</v>
      </c>
      <c r="N605" s="30" t="str">
        <f ca="1">IFERROR(__xludf.DUMMYFUNCTION("""COMPUTED_VALUE"""),"JESUS MARIA")</f>
        <v>JESUS MARIA</v>
      </c>
      <c r="O605" s="30" t="str">
        <f ca="1">IFERROR(__xludf.DUMMYFUNCTION("""COMPUTED_VALUE"""),"1421")</f>
        <v>1421</v>
      </c>
      <c r="P605" s="30" t="str">
        <f ca="1">IFERROR(__xludf.DUMMYFUNCTION("""COMPUTED_VALUE"""),"COLÓN")</f>
        <v>COLÓN</v>
      </c>
      <c r="Q605" s="30" t="str">
        <f ca="1">IFERROR(__xludf.DUMMYFUNCTION("""COMPUTED_VALUE"""),"-30.995009")</f>
        <v>-30.995009</v>
      </c>
      <c r="R605" s="30" t="str">
        <f ca="1">IFERROR(__xludf.DUMMYFUNCTION("""COMPUTED_VALUE"""),"-64.092387")</f>
        <v>-64.092387</v>
      </c>
      <c r="S605" s="30" t="str">
        <f ca="1">IFERROR(__xludf.DUMMYFUNCTION("""COMPUTED_VALUE"""),"Municipal")</f>
        <v>Municipal</v>
      </c>
      <c r="T605" s="29"/>
    </row>
    <row r="606" spans="1:20" ht="15.75" customHeight="1" x14ac:dyDescent="0.25">
      <c r="A606" s="30" t="str">
        <f ca="1">IFERROR(__xludf.DUMMYFUNCTION("""COMPUTED_VALUE"""),"10140212231210")</f>
        <v>10140212231210</v>
      </c>
      <c r="B606" s="30" t="str">
        <f ca="1">IFERROR(__xludf.DUMMYFUNCTION("""COMPUTED_VALUE"""),"HOSPITAL MUNICIPAL JOSEFINA PRIEUR")</f>
        <v>HOSPITAL MUNICIPAL JOSEFINA PRIEUR</v>
      </c>
      <c r="C606" s="30" t="str">
        <f ca="1">IFERROR(__xludf.DUMMYFUNCTION("""COMPUTED_VALUE"""),"Córdoba")</f>
        <v>Córdoba</v>
      </c>
      <c r="D606" s="30" t="str">
        <f ca="1">IFERROR(__xludf.DUMMYFUNCTION("""COMPUTED_VALUE"""),"14")</f>
        <v>14</v>
      </c>
      <c r="E606" s="30" t="str">
        <f ca="1">IFERROR(__xludf.DUMMYFUNCTION("""COMPUTED_VALUE"""),"")</f>
        <v/>
      </c>
      <c r="F606" s="29"/>
      <c r="G606" s="29"/>
      <c r="H606" s="30" t="str">
        <f ca="1">IFERROR(__xludf.DUMMYFUNCTION("""COMPUTED_VALUE"""),"activo")</f>
        <v>activo</v>
      </c>
      <c r="I606" s="29"/>
      <c r="J606" s="29"/>
      <c r="K606" s="29"/>
      <c r="L606" s="30" t="str">
        <f ca="1">IFERROR(__xludf.DUMMYFUNCTION("""COMPUTED_VALUE"""),"No")</f>
        <v>No</v>
      </c>
      <c r="M606" s="30" t="str">
        <f ca="1">IFERROR(__xludf.DUMMYFUNCTION("""COMPUTED_VALUE"""),"14021290000")</f>
        <v>14021290000</v>
      </c>
      <c r="N606" s="30" t="str">
        <f ca="1">IFERROR(__xludf.DUMMYFUNCTION("""COMPUTED_VALUE"""),"VILLA ALLENDE")</f>
        <v>VILLA ALLENDE</v>
      </c>
      <c r="O606" s="30" t="str">
        <f ca="1">IFERROR(__xludf.DUMMYFUNCTION("""COMPUTED_VALUE"""),"1421")</f>
        <v>1421</v>
      </c>
      <c r="P606" s="30" t="str">
        <f ca="1">IFERROR(__xludf.DUMMYFUNCTION("""COMPUTED_VALUE"""),"COLÓN")</f>
        <v>COLÓN</v>
      </c>
      <c r="Q606" s="30" t="str">
        <f ca="1">IFERROR(__xludf.DUMMYFUNCTION("""COMPUTED_VALUE"""),"-31.295533")</f>
        <v>-31.295533</v>
      </c>
      <c r="R606" s="30" t="str">
        <f ca="1">IFERROR(__xludf.DUMMYFUNCTION("""COMPUTED_VALUE"""),"-64.29905")</f>
        <v>-64.29905</v>
      </c>
      <c r="S606" s="30" t="str">
        <f ca="1">IFERROR(__xludf.DUMMYFUNCTION("""COMPUTED_VALUE"""),"Municipal")</f>
        <v>Municipal</v>
      </c>
      <c r="T606" s="29"/>
    </row>
    <row r="607" spans="1:20" ht="15.75" customHeight="1" x14ac:dyDescent="0.25">
      <c r="A607" s="30" t="str">
        <f ca="1">IFERROR(__xludf.DUMMYFUNCTION("""COMPUTED_VALUE"""),"50140212232543")</f>
        <v>50140212232543</v>
      </c>
      <c r="B607" s="30" t="str">
        <f ca="1">IFERROR(__xludf.DUMMYFUNCTION("""COMPUTED_VALUE"""),"DISPENSARIO BARRIO INDUSTRIAL")</f>
        <v>DISPENSARIO BARRIO INDUSTRIAL</v>
      </c>
      <c r="C607" s="30" t="str">
        <f ca="1">IFERROR(__xludf.DUMMYFUNCTION("""COMPUTED_VALUE"""),"Córdoba")</f>
        <v>Córdoba</v>
      </c>
      <c r="D607" s="30" t="str">
        <f ca="1">IFERROR(__xludf.DUMMYFUNCTION("""COMPUTED_VALUE"""),"14")</f>
        <v>14</v>
      </c>
      <c r="E607" s="30" t="str">
        <f ca="1">IFERROR(__xludf.DUMMYFUNCTION("""COMPUTED_VALUE"""),"")</f>
        <v/>
      </c>
      <c r="F607" s="29"/>
      <c r="G607" s="29"/>
      <c r="H607" s="30" t="str">
        <f ca="1">IFERROR(__xludf.DUMMYFUNCTION("""COMPUTED_VALUE"""),"activo")</f>
        <v>activo</v>
      </c>
      <c r="I607" s="29"/>
      <c r="J607" s="29"/>
      <c r="K607" s="29"/>
      <c r="L607" s="30" t="str">
        <f ca="1">IFERROR(__xludf.DUMMYFUNCTION("""COMPUTED_VALUE"""),"No")</f>
        <v>No</v>
      </c>
      <c r="M607" s="30" t="str">
        <f ca="1">IFERROR(__xludf.DUMMYFUNCTION("""COMPUTED_VALUE"""),"14021150000")</f>
        <v>14021150000</v>
      </c>
      <c r="N607" s="30" t="str">
        <f ca="1">IFERROR(__xludf.DUMMYFUNCTION("""COMPUTED_VALUE"""),"LA CALERA")</f>
        <v>LA CALERA</v>
      </c>
      <c r="O607" s="30" t="str">
        <f ca="1">IFERROR(__xludf.DUMMYFUNCTION("""COMPUTED_VALUE"""),"1421")</f>
        <v>1421</v>
      </c>
      <c r="P607" s="30" t="str">
        <f ca="1">IFERROR(__xludf.DUMMYFUNCTION("""COMPUTED_VALUE"""),"COLÓN")</f>
        <v>COLÓN</v>
      </c>
      <c r="Q607" s="30" t="str">
        <f ca="1">IFERROR(__xludf.DUMMYFUNCTION("""COMPUTED_VALUE"""),"-31.345066")</f>
        <v>-31.345066</v>
      </c>
      <c r="R607" s="30" t="str">
        <f ca="1">IFERROR(__xludf.DUMMYFUNCTION("""COMPUTED_VALUE"""),"-64.337636")</f>
        <v>-64.337636</v>
      </c>
      <c r="S607" s="30" t="str">
        <f ca="1">IFERROR(__xludf.DUMMYFUNCTION("""COMPUTED_VALUE"""),"Municipal")</f>
        <v>Municipal</v>
      </c>
      <c r="T607" s="29"/>
    </row>
    <row r="608" spans="1:20" ht="15.75" customHeight="1" x14ac:dyDescent="0.25">
      <c r="A608" s="30" t="str">
        <f ca="1">IFERROR(__xludf.DUMMYFUNCTION("""COMPUTED_VALUE"""),"50140212232545")</f>
        <v>50140212232545</v>
      </c>
      <c r="B608" s="30" t="str">
        <f ca="1">IFERROR(__xludf.DUMMYFUNCTION("""COMPUTED_VALUE"""),"DISPENSARIO DUMESNIL")</f>
        <v>DISPENSARIO DUMESNIL</v>
      </c>
      <c r="C608" s="30" t="str">
        <f ca="1">IFERROR(__xludf.DUMMYFUNCTION("""COMPUTED_VALUE"""),"Córdoba")</f>
        <v>Córdoba</v>
      </c>
      <c r="D608" s="30" t="str">
        <f ca="1">IFERROR(__xludf.DUMMYFUNCTION("""COMPUTED_VALUE"""),"14")</f>
        <v>14</v>
      </c>
      <c r="E608" s="30" t="str">
        <f ca="1">IFERROR(__xludf.DUMMYFUNCTION("""COMPUTED_VALUE"""),"")</f>
        <v/>
      </c>
      <c r="F608" s="29"/>
      <c r="G608" s="29"/>
      <c r="H608" s="30" t="str">
        <f ca="1">IFERROR(__xludf.DUMMYFUNCTION("""COMPUTED_VALUE"""),"activo")</f>
        <v>activo</v>
      </c>
      <c r="I608" s="29"/>
      <c r="J608" s="29"/>
      <c r="K608" s="29"/>
      <c r="L608" s="30" t="str">
        <f ca="1">IFERROR(__xludf.DUMMYFUNCTION("""COMPUTED_VALUE"""),"No")</f>
        <v>No</v>
      </c>
      <c r="M608" s="30" t="str">
        <f ca="1">IFERROR(__xludf.DUMMYFUNCTION("""COMPUTED_VALUE"""),"14021150000")</f>
        <v>14021150000</v>
      </c>
      <c r="N608" s="30" t="str">
        <f ca="1">IFERROR(__xludf.DUMMYFUNCTION("""COMPUTED_VALUE"""),"LA CALERA")</f>
        <v>LA CALERA</v>
      </c>
      <c r="O608" s="30" t="str">
        <f ca="1">IFERROR(__xludf.DUMMYFUNCTION("""COMPUTED_VALUE"""),"1421")</f>
        <v>1421</v>
      </c>
      <c r="P608" s="30" t="str">
        <f ca="1">IFERROR(__xludf.DUMMYFUNCTION("""COMPUTED_VALUE"""),"COLÓN")</f>
        <v>COLÓN</v>
      </c>
      <c r="Q608" s="30" t="str">
        <f ca="1">IFERROR(__xludf.DUMMYFUNCTION("""COMPUTED_VALUE"""),"-31.39668908")</f>
        <v>-31.39668908</v>
      </c>
      <c r="R608" s="30" t="str">
        <f ca="1">IFERROR(__xludf.DUMMYFUNCTION("""COMPUTED_VALUE"""),"-64.45987701")</f>
        <v>-64.45987701</v>
      </c>
      <c r="S608" s="30" t="str">
        <f ca="1">IFERROR(__xludf.DUMMYFUNCTION("""COMPUTED_VALUE"""),"Municipal")</f>
        <v>Municipal</v>
      </c>
      <c r="T608" s="29"/>
    </row>
    <row r="609" spans="1:20" ht="15.75" customHeight="1" x14ac:dyDescent="0.25">
      <c r="A609" s="30" t="str">
        <f ca="1">IFERROR(__xludf.DUMMYFUNCTION("""COMPUTED_VALUE"""),"50140422232365")</f>
        <v>50140422232365</v>
      </c>
      <c r="B609" s="30" t="str">
        <f ca="1">IFERROR(__xludf.DUMMYFUNCTION("""COMPUTED_VALUE"""),"ASISTENCIA PUBLICA MUNICIPAL - DR. JOSE CORIGLIANO -")</f>
        <v>ASISTENCIA PUBLICA MUNICIPAL - DR. JOSE CORIGLIANO -</v>
      </c>
      <c r="C609" s="30" t="str">
        <f ca="1">IFERROR(__xludf.DUMMYFUNCTION("""COMPUTED_VALUE"""),"Córdoba")</f>
        <v>Córdoba</v>
      </c>
      <c r="D609" s="30" t="str">
        <f ca="1">IFERROR(__xludf.DUMMYFUNCTION("""COMPUTED_VALUE"""),"14")</f>
        <v>14</v>
      </c>
      <c r="E609" s="30" t="str">
        <f ca="1">IFERROR(__xludf.DUMMYFUNCTION("""COMPUTED_VALUE"""),"si")</f>
        <v>si</v>
      </c>
      <c r="F609" s="29"/>
      <c r="G609" s="29"/>
      <c r="H609" s="30" t="str">
        <f ca="1">IFERROR(__xludf.DUMMYFUNCTION("""COMPUTED_VALUE"""),"activo")</f>
        <v>activo</v>
      </c>
      <c r="I609" s="29"/>
      <c r="J609" s="29"/>
      <c r="K609" s="29"/>
      <c r="L609" s="30" t="str">
        <f ca="1">IFERROR(__xludf.DUMMYFUNCTION("""COMPUTED_VALUE"""),"No")</f>
        <v>No</v>
      </c>
      <c r="M609" s="30" t="str">
        <f ca="1">IFERROR(__xludf.DUMMYFUNCTION("""COMPUTED_VALUE"""),"14042170000")</f>
        <v>14042170000</v>
      </c>
      <c r="N609" s="30" t="str">
        <f ca="1">IFERROR(__xludf.DUMMYFUNCTION("""COMPUTED_VALUE"""),"VILLA MARIA")</f>
        <v>VILLA MARIA</v>
      </c>
      <c r="O609" s="30" t="str">
        <f ca="1">IFERROR(__xludf.DUMMYFUNCTION("""COMPUTED_VALUE"""),"1442")</f>
        <v>1442</v>
      </c>
      <c r="P609" s="30" t="str">
        <f ca="1">IFERROR(__xludf.DUMMYFUNCTION("""COMPUTED_VALUE"""),"GENERAL SAN MARTÍN")</f>
        <v>GENERAL SAN MARTÍN</v>
      </c>
      <c r="Q609" s="30" t="str">
        <f ca="1">IFERROR(__xludf.DUMMYFUNCTION("""COMPUTED_VALUE"""),"-32.41547229")</f>
        <v>-32.41547229</v>
      </c>
      <c r="R609" s="30" t="str">
        <f ca="1">IFERROR(__xludf.DUMMYFUNCTION("""COMPUTED_VALUE"""),"-63.24271202")</f>
        <v>-63.24271202</v>
      </c>
      <c r="S609" s="30" t="str">
        <f ca="1">IFERROR(__xludf.DUMMYFUNCTION("""COMPUTED_VALUE"""),"Municipal")</f>
        <v>Municipal</v>
      </c>
      <c r="T609" s="29"/>
    </row>
    <row r="610" spans="1:20" ht="15.75" customHeight="1" x14ac:dyDescent="0.25">
      <c r="A610" s="30" t="str">
        <f ca="1">IFERROR(__xludf.DUMMYFUNCTION("""COMPUTED_VALUE"""),"50140422232369")</f>
        <v>50140422232369</v>
      </c>
      <c r="B610" s="30" t="str">
        <f ca="1">IFERROR(__xludf.DUMMYFUNCTION("""COMPUTED_VALUE"""),"DISPENSARIO SAN NICOLAS")</f>
        <v>DISPENSARIO SAN NICOLAS</v>
      </c>
      <c r="C610" s="30" t="str">
        <f ca="1">IFERROR(__xludf.DUMMYFUNCTION("""COMPUTED_VALUE"""),"Córdoba")</f>
        <v>Córdoba</v>
      </c>
      <c r="D610" s="30" t="str">
        <f ca="1">IFERROR(__xludf.DUMMYFUNCTION("""COMPUTED_VALUE"""),"14")</f>
        <v>14</v>
      </c>
      <c r="E610" s="30" t="str">
        <f ca="1">IFERROR(__xludf.DUMMYFUNCTION("""COMPUTED_VALUE"""),"")</f>
        <v/>
      </c>
      <c r="F610" s="29"/>
      <c r="G610" s="29"/>
      <c r="H610" s="30" t="str">
        <f ca="1">IFERROR(__xludf.DUMMYFUNCTION("""COMPUTED_VALUE"""),"activo")</f>
        <v>activo</v>
      </c>
      <c r="I610" s="29"/>
      <c r="J610" s="29"/>
      <c r="K610" s="29"/>
      <c r="L610" s="30" t="str">
        <f ca="1">IFERROR(__xludf.DUMMYFUNCTION("""COMPUTED_VALUE"""),"No")</f>
        <v>No</v>
      </c>
      <c r="M610" s="30" t="str">
        <f ca="1">IFERROR(__xludf.DUMMYFUNCTION("""COMPUTED_VALUE"""),"14042170000")</f>
        <v>14042170000</v>
      </c>
      <c r="N610" s="30" t="str">
        <f ca="1">IFERROR(__xludf.DUMMYFUNCTION("""COMPUTED_VALUE"""),"VILLA MARIA")</f>
        <v>VILLA MARIA</v>
      </c>
      <c r="O610" s="30" t="str">
        <f ca="1">IFERROR(__xludf.DUMMYFUNCTION("""COMPUTED_VALUE"""),"1442")</f>
        <v>1442</v>
      </c>
      <c r="P610" s="30" t="str">
        <f ca="1">IFERROR(__xludf.DUMMYFUNCTION("""COMPUTED_VALUE"""),"GENERAL SAN MARTÍN")</f>
        <v>GENERAL SAN MARTÍN</v>
      </c>
      <c r="Q610" s="30" t="str">
        <f ca="1">IFERROR(__xludf.DUMMYFUNCTION("""COMPUTED_VALUE"""),"-32.394806")</f>
        <v>-32.394806</v>
      </c>
      <c r="R610" s="30" t="str">
        <f ca="1">IFERROR(__xludf.DUMMYFUNCTION("""COMPUTED_VALUE"""),"-63.223467")</f>
        <v>-63.223467</v>
      </c>
      <c r="S610" s="30" t="str">
        <f ca="1">IFERROR(__xludf.DUMMYFUNCTION("""COMPUTED_VALUE"""),"Municipal")</f>
        <v>Municipal</v>
      </c>
      <c r="T610" s="29"/>
    </row>
    <row r="611" spans="1:20" ht="15.75" customHeight="1" x14ac:dyDescent="0.25">
      <c r="A611" s="30" t="str">
        <f ca="1">IFERROR(__xludf.DUMMYFUNCTION("""COMPUTED_VALUE"""),"50140422232987")</f>
        <v>50140422232987</v>
      </c>
      <c r="B611" s="30" t="str">
        <f ca="1">IFERROR(__xludf.DUMMYFUNCTION("""COMPUTED_VALUE"""),"DISPENSARIO NICOLAS AVELLANEDA")</f>
        <v>DISPENSARIO NICOLAS AVELLANEDA</v>
      </c>
      <c r="C611" s="30" t="str">
        <f ca="1">IFERROR(__xludf.DUMMYFUNCTION("""COMPUTED_VALUE"""),"Córdoba")</f>
        <v>Córdoba</v>
      </c>
      <c r="D611" s="30" t="str">
        <f ca="1">IFERROR(__xludf.DUMMYFUNCTION("""COMPUTED_VALUE"""),"14")</f>
        <v>14</v>
      </c>
      <c r="E611" s="30" t="str">
        <f ca="1">IFERROR(__xludf.DUMMYFUNCTION("""COMPUTED_VALUE"""),"si")</f>
        <v>si</v>
      </c>
      <c r="F611" s="29"/>
      <c r="G611" s="29"/>
      <c r="H611" s="30" t="str">
        <f ca="1">IFERROR(__xludf.DUMMYFUNCTION("""COMPUTED_VALUE"""),"activo")</f>
        <v>activo</v>
      </c>
      <c r="I611" s="29"/>
      <c r="J611" s="29"/>
      <c r="K611" s="29"/>
      <c r="L611" s="30" t="str">
        <f ca="1">IFERROR(__xludf.DUMMYFUNCTION("""COMPUTED_VALUE"""),"No")</f>
        <v>No</v>
      </c>
      <c r="M611" s="30" t="str">
        <f ca="1">IFERROR(__xludf.DUMMYFUNCTION("""COMPUTED_VALUE"""),"14042170000")</f>
        <v>14042170000</v>
      </c>
      <c r="N611" s="30" t="str">
        <f ca="1">IFERROR(__xludf.DUMMYFUNCTION("""COMPUTED_VALUE"""),"VILLA MARIA")</f>
        <v>VILLA MARIA</v>
      </c>
      <c r="O611" s="30" t="str">
        <f ca="1">IFERROR(__xludf.DUMMYFUNCTION("""COMPUTED_VALUE"""),"1442")</f>
        <v>1442</v>
      </c>
      <c r="P611" s="30" t="str">
        <f ca="1">IFERROR(__xludf.DUMMYFUNCTION("""COMPUTED_VALUE"""),"GENERAL SAN MARTÍN")</f>
        <v>GENERAL SAN MARTÍN</v>
      </c>
      <c r="Q611" s="30" t="str">
        <f ca="1">IFERROR(__xludf.DUMMYFUNCTION("""COMPUTED_VALUE"""),"-32.42170336")</f>
        <v>-32.42170336</v>
      </c>
      <c r="R611" s="30" t="str">
        <f ca="1">IFERROR(__xludf.DUMMYFUNCTION("""COMPUTED_VALUE"""),"-63.23455811")</f>
        <v>-63.23455811</v>
      </c>
      <c r="S611" s="30" t="str">
        <f ca="1">IFERROR(__xludf.DUMMYFUNCTION("""COMPUTED_VALUE"""),"Municipal")</f>
        <v>Municipal</v>
      </c>
      <c r="T611" s="29"/>
    </row>
    <row r="612" spans="1:20" ht="15.75" customHeight="1" x14ac:dyDescent="0.25">
      <c r="A612" s="30" t="str">
        <f ca="1">IFERROR(__xludf.DUMMYFUNCTION("""COMPUTED_VALUE"""),"50140422231380")</f>
        <v>50140422231380</v>
      </c>
      <c r="B612" s="30" t="str">
        <f ca="1">IFERROR(__xludf.DUMMYFUNCTION("""COMPUTED_VALUE"""),"CAPS BELLO HORIZONTE")</f>
        <v>CAPS BELLO HORIZONTE</v>
      </c>
      <c r="C612" s="30" t="str">
        <f ca="1">IFERROR(__xludf.DUMMYFUNCTION("""COMPUTED_VALUE"""),"Córdoba")</f>
        <v>Córdoba</v>
      </c>
      <c r="D612" s="30" t="str">
        <f ca="1">IFERROR(__xludf.DUMMYFUNCTION("""COMPUTED_VALUE"""),"14")</f>
        <v>14</v>
      </c>
      <c r="E612" s="30" t="str">
        <f ca="1">IFERROR(__xludf.DUMMYFUNCTION("""COMPUTED_VALUE"""),"")</f>
        <v/>
      </c>
      <c r="F612" s="29"/>
      <c r="G612" s="29"/>
      <c r="H612" s="30" t="str">
        <f ca="1">IFERROR(__xludf.DUMMYFUNCTION("""COMPUTED_VALUE"""),"activo")</f>
        <v>activo</v>
      </c>
      <c r="I612" s="29"/>
      <c r="J612" s="29"/>
      <c r="K612" s="29"/>
      <c r="L612" s="30" t="str">
        <f ca="1">IFERROR(__xludf.DUMMYFUNCTION("""COMPUTED_VALUE"""),"No")</f>
        <v>No</v>
      </c>
      <c r="M612" s="30" t="str">
        <f ca="1">IFERROR(__xludf.DUMMYFUNCTION("""COMPUTED_VALUE"""),"14042170000")</f>
        <v>14042170000</v>
      </c>
      <c r="N612" s="30" t="str">
        <f ca="1">IFERROR(__xludf.DUMMYFUNCTION("""COMPUTED_VALUE"""),"VILLA MARIA")</f>
        <v>VILLA MARIA</v>
      </c>
      <c r="O612" s="30" t="str">
        <f ca="1">IFERROR(__xludf.DUMMYFUNCTION("""COMPUTED_VALUE"""),"1442")</f>
        <v>1442</v>
      </c>
      <c r="P612" s="30" t="str">
        <f ca="1">IFERROR(__xludf.DUMMYFUNCTION("""COMPUTED_VALUE"""),"GENERAL SAN MARTÍN")</f>
        <v>GENERAL SAN MARTÍN</v>
      </c>
      <c r="Q612" s="30" t="str">
        <f ca="1">IFERROR(__xludf.DUMMYFUNCTION("""COMPUTED_VALUE"""),"-32.4078976")</f>
        <v>-32.4078976</v>
      </c>
      <c r="R612" s="30" t="str">
        <f ca="1">IFERROR(__xludf.DUMMYFUNCTION("""COMPUTED_VALUE"""),"-63.2162255")</f>
        <v>-63.2162255</v>
      </c>
      <c r="S612" s="30" t="str">
        <f ca="1">IFERROR(__xludf.DUMMYFUNCTION("""COMPUTED_VALUE"""),"Municipal")</f>
        <v>Municipal</v>
      </c>
      <c r="T612" s="29"/>
    </row>
    <row r="613" spans="1:20" ht="15.75" customHeight="1" x14ac:dyDescent="0.25">
      <c r="A613" s="30" t="str">
        <f ca="1">IFERROR(__xludf.DUMMYFUNCTION("""COMPUTED_VALUE"""),"50140422231397")</f>
        <v>50140422231397</v>
      </c>
      <c r="B613" s="30" t="str">
        <f ca="1">IFERROR(__xludf.DUMMYFUNCTION("""COMPUTED_VALUE"""),"CAPS GENERAL ROCA")</f>
        <v>CAPS GENERAL ROCA</v>
      </c>
      <c r="C613" s="30" t="str">
        <f ca="1">IFERROR(__xludf.DUMMYFUNCTION("""COMPUTED_VALUE"""),"Córdoba")</f>
        <v>Córdoba</v>
      </c>
      <c r="D613" s="30" t="str">
        <f ca="1">IFERROR(__xludf.DUMMYFUNCTION("""COMPUTED_VALUE"""),"14")</f>
        <v>14</v>
      </c>
      <c r="E613" s="30" t="str">
        <f ca="1">IFERROR(__xludf.DUMMYFUNCTION("""COMPUTED_VALUE"""),"")</f>
        <v/>
      </c>
      <c r="F613" s="29"/>
      <c r="G613" s="29"/>
      <c r="H613" s="30" t="str">
        <f ca="1">IFERROR(__xludf.DUMMYFUNCTION("""COMPUTED_VALUE"""),"activo")</f>
        <v>activo</v>
      </c>
      <c r="I613" s="29"/>
      <c r="J613" s="29"/>
      <c r="K613" s="29"/>
      <c r="L613" s="30" t="str">
        <f ca="1">IFERROR(__xludf.DUMMYFUNCTION("""COMPUTED_VALUE"""),"No")</f>
        <v>No</v>
      </c>
      <c r="M613" s="30" t="str">
        <f ca="1">IFERROR(__xludf.DUMMYFUNCTION("""COMPUTED_VALUE"""),"14042170000")</f>
        <v>14042170000</v>
      </c>
      <c r="N613" s="30" t="str">
        <f ca="1">IFERROR(__xludf.DUMMYFUNCTION("""COMPUTED_VALUE"""),"VILLA MARIA")</f>
        <v>VILLA MARIA</v>
      </c>
      <c r="O613" s="30" t="str">
        <f ca="1">IFERROR(__xludf.DUMMYFUNCTION("""COMPUTED_VALUE"""),"1442")</f>
        <v>1442</v>
      </c>
      <c r="P613" s="30" t="str">
        <f ca="1">IFERROR(__xludf.DUMMYFUNCTION("""COMPUTED_VALUE"""),"GENERAL SAN MARTÍN")</f>
        <v>GENERAL SAN MARTÍN</v>
      </c>
      <c r="Q613" s="30" t="str">
        <f ca="1">IFERROR(__xludf.DUMMYFUNCTION("""COMPUTED_VALUE"""),"-32.401393")</f>
        <v>-32.401393</v>
      </c>
      <c r="R613" s="30" t="str">
        <f ca="1">IFERROR(__xludf.DUMMYFUNCTION("""COMPUTED_VALUE"""),"-63.2576969")</f>
        <v>-63.2576969</v>
      </c>
      <c r="S613" s="30" t="str">
        <f ca="1">IFERROR(__xludf.DUMMYFUNCTION("""COMPUTED_VALUE"""),"Municipal")</f>
        <v>Municipal</v>
      </c>
      <c r="T613" s="29"/>
    </row>
    <row r="614" spans="1:20" ht="15.75" customHeight="1" x14ac:dyDescent="0.25">
      <c r="A614" s="30" t="str">
        <f ca="1">IFERROR(__xludf.DUMMYFUNCTION("""COMPUTED_VALUE"""),"50140422231400")</f>
        <v>50140422231400</v>
      </c>
      <c r="B614" s="30" t="str">
        <f ca="1">IFERROR(__xludf.DUMMYFUNCTION("""COMPUTED_VALUE"""),"CAPS LAS ACACIAS")</f>
        <v>CAPS LAS ACACIAS</v>
      </c>
      <c r="C614" s="30" t="str">
        <f ca="1">IFERROR(__xludf.DUMMYFUNCTION("""COMPUTED_VALUE"""),"Córdoba")</f>
        <v>Córdoba</v>
      </c>
      <c r="D614" s="30" t="str">
        <f ca="1">IFERROR(__xludf.DUMMYFUNCTION("""COMPUTED_VALUE"""),"14")</f>
        <v>14</v>
      </c>
      <c r="E614" s="30" t="str">
        <f ca="1">IFERROR(__xludf.DUMMYFUNCTION("""COMPUTED_VALUE"""),"")</f>
        <v/>
      </c>
      <c r="F614" s="29"/>
      <c r="G614" s="29"/>
      <c r="H614" s="30" t="str">
        <f ca="1">IFERROR(__xludf.DUMMYFUNCTION("""COMPUTED_VALUE"""),"activo")</f>
        <v>activo</v>
      </c>
      <c r="I614" s="29"/>
      <c r="J614" s="29"/>
      <c r="K614" s="29"/>
      <c r="L614" s="30" t="str">
        <f ca="1">IFERROR(__xludf.DUMMYFUNCTION("""COMPUTED_VALUE"""),"No")</f>
        <v>No</v>
      </c>
      <c r="M614" s="30" t="str">
        <f ca="1">IFERROR(__xludf.DUMMYFUNCTION("""COMPUTED_VALUE"""),"14042170000")</f>
        <v>14042170000</v>
      </c>
      <c r="N614" s="30" t="str">
        <f ca="1">IFERROR(__xludf.DUMMYFUNCTION("""COMPUTED_VALUE"""),"VILLA MARIA")</f>
        <v>VILLA MARIA</v>
      </c>
      <c r="O614" s="30" t="str">
        <f ca="1">IFERROR(__xludf.DUMMYFUNCTION("""COMPUTED_VALUE"""),"1442")</f>
        <v>1442</v>
      </c>
      <c r="P614" s="30" t="str">
        <f ca="1">IFERROR(__xludf.DUMMYFUNCTION("""COMPUTED_VALUE"""),"GENERAL SAN MARTÍN")</f>
        <v>GENERAL SAN MARTÍN</v>
      </c>
      <c r="Q614" s="30" t="str">
        <f ca="1">IFERROR(__xludf.DUMMYFUNCTION("""COMPUTED_VALUE"""),"-32.29703876")</f>
        <v>-32.29703876</v>
      </c>
      <c r="R614" s="30" t="str">
        <f ca="1">IFERROR(__xludf.DUMMYFUNCTION("""COMPUTED_VALUE"""),"-63.0380863")</f>
        <v>-63.0380863</v>
      </c>
      <c r="S614" s="30" t="str">
        <f ca="1">IFERROR(__xludf.DUMMYFUNCTION("""COMPUTED_VALUE"""),"Municipal")</f>
        <v>Municipal</v>
      </c>
      <c r="T614" s="29"/>
    </row>
    <row r="615" spans="1:20" ht="15.75" customHeight="1" x14ac:dyDescent="0.25">
      <c r="A615" s="30" t="str">
        <f ca="1">IFERROR(__xludf.DUMMYFUNCTION("""COMPUTED_VALUE"""),"50140422231401")</f>
        <v>50140422231401</v>
      </c>
      <c r="B615" s="30" t="str">
        <f ca="1">IFERROR(__xludf.DUMMYFUNCTION("""COMPUTED_VALUE"""),"CAPS LAS PLAYAS")</f>
        <v>CAPS LAS PLAYAS</v>
      </c>
      <c r="C615" s="30" t="str">
        <f ca="1">IFERROR(__xludf.DUMMYFUNCTION("""COMPUTED_VALUE"""),"Córdoba")</f>
        <v>Córdoba</v>
      </c>
      <c r="D615" s="30" t="str">
        <f ca="1">IFERROR(__xludf.DUMMYFUNCTION("""COMPUTED_VALUE"""),"14")</f>
        <v>14</v>
      </c>
      <c r="E615" s="30" t="str">
        <f ca="1">IFERROR(__xludf.DUMMYFUNCTION("""COMPUTED_VALUE"""),"si")</f>
        <v>si</v>
      </c>
      <c r="F615" s="29"/>
      <c r="G615" s="29"/>
      <c r="H615" s="30" t="str">
        <f ca="1">IFERROR(__xludf.DUMMYFUNCTION("""COMPUTED_VALUE"""),"activo")</f>
        <v>activo</v>
      </c>
      <c r="I615" s="29"/>
      <c r="J615" s="29"/>
      <c r="K615" s="29"/>
      <c r="L615" s="30" t="str">
        <f ca="1">IFERROR(__xludf.DUMMYFUNCTION("""COMPUTED_VALUE"""),"No")</f>
        <v>No</v>
      </c>
      <c r="M615" s="30" t="str">
        <f ca="1">IFERROR(__xludf.DUMMYFUNCTION("""COMPUTED_VALUE"""),"14042170000")</f>
        <v>14042170000</v>
      </c>
      <c r="N615" s="30" t="str">
        <f ca="1">IFERROR(__xludf.DUMMYFUNCTION("""COMPUTED_VALUE"""),"VILLA MARIA")</f>
        <v>VILLA MARIA</v>
      </c>
      <c r="O615" s="30" t="str">
        <f ca="1">IFERROR(__xludf.DUMMYFUNCTION("""COMPUTED_VALUE"""),"1442")</f>
        <v>1442</v>
      </c>
      <c r="P615" s="30" t="str">
        <f ca="1">IFERROR(__xludf.DUMMYFUNCTION("""COMPUTED_VALUE"""),"GENERAL SAN MARTÍN")</f>
        <v>GENERAL SAN MARTÍN</v>
      </c>
      <c r="Q615" s="30" t="str">
        <f ca="1">IFERROR(__xludf.DUMMYFUNCTION("""COMPUTED_VALUE"""),"-32.429345")</f>
        <v>-32.429345</v>
      </c>
      <c r="R615" s="30" t="str">
        <f ca="1">IFERROR(__xludf.DUMMYFUNCTION("""COMPUTED_VALUE"""),"-63.208723")</f>
        <v>-63.208723</v>
      </c>
      <c r="S615" s="30" t="str">
        <f ca="1">IFERROR(__xludf.DUMMYFUNCTION("""COMPUTED_VALUE"""),"Municipal")</f>
        <v>Municipal</v>
      </c>
      <c r="T615" s="29"/>
    </row>
    <row r="616" spans="1:20" ht="15.75" customHeight="1" x14ac:dyDescent="0.25">
      <c r="A616" s="30" t="str">
        <f ca="1">IFERROR(__xludf.DUMMYFUNCTION("""COMPUTED_VALUE"""),"50140422231402")</f>
        <v>50140422231402</v>
      </c>
      <c r="B616" s="30" t="str">
        <f ca="1">IFERROR(__xludf.DUMMYFUNCTION("""COMPUTED_VALUE"""),"CAPS LOS OLMOS")</f>
        <v>CAPS LOS OLMOS</v>
      </c>
      <c r="C616" s="30" t="str">
        <f ca="1">IFERROR(__xludf.DUMMYFUNCTION("""COMPUTED_VALUE"""),"Córdoba")</f>
        <v>Córdoba</v>
      </c>
      <c r="D616" s="30" t="str">
        <f ca="1">IFERROR(__xludf.DUMMYFUNCTION("""COMPUTED_VALUE"""),"14")</f>
        <v>14</v>
      </c>
      <c r="E616" s="30" t="str">
        <f ca="1">IFERROR(__xludf.DUMMYFUNCTION("""COMPUTED_VALUE"""),"si")</f>
        <v>si</v>
      </c>
      <c r="F616" s="29"/>
      <c r="G616" s="29"/>
      <c r="H616" s="30" t="str">
        <f ca="1">IFERROR(__xludf.DUMMYFUNCTION("""COMPUTED_VALUE"""),"activo")</f>
        <v>activo</v>
      </c>
      <c r="I616" s="29"/>
      <c r="J616" s="29"/>
      <c r="K616" s="29"/>
      <c r="L616" s="30" t="str">
        <f ca="1">IFERROR(__xludf.DUMMYFUNCTION("""COMPUTED_VALUE"""),"No")</f>
        <v>No</v>
      </c>
      <c r="M616" s="30" t="str">
        <f ca="1">IFERROR(__xludf.DUMMYFUNCTION("""COMPUTED_VALUE"""),"14042170000")</f>
        <v>14042170000</v>
      </c>
      <c r="N616" s="30" t="str">
        <f ca="1">IFERROR(__xludf.DUMMYFUNCTION("""COMPUTED_VALUE"""),"VILLA MARIA")</f>
        <v>VILLA MARIA</v>
      </c>
      <c r="O616" s="30" t="str">
        <f ca="1">IFERROR(__xludf.DUMMYFUNCTION("""COMPUTED_VALUE"""),"1442")</f>
        <v>1442</v>
      </c>
      <c r="P616" s="30" t="str">
        <f ca="1">IFERROR(__xludf.DUMMYFUNCTION("""COMPUTED_VALUE"""),"GENERAL SAN MARTÍN")</f>
        <v>GENERAL SAN MARTÍN</v>
      </c>
      <c r="Q616" s="30" t="str">
        <f ca="1">IFERROR(__xludf.DUMMYFUNCTION("""COMPUTED_VALUE"""),"-32.412552")</f>
        <v>-32.412552</v>
      </c>
      <c r="R616" s="30" t="str">
        <f ca="1">IFERROR(__xludf.DUMMYFUNCTION("""COMPUTED_VALUE"""),"-63.211892")</f>
        <v>-63.211892</v>
      </c>
      <c r="S616" s="30" t="str">
        <f ca="1">IFERROR(__xludf.DUMMYFUNCTION("""COMPUTED_VALUE"""),"Municipal")</f>
        <v>Municipal</v>
      </c>
      <c r="T616" s="29"/>
    </row>
    <row r="617" spans="1:20" ht="15.75" customHeight="1" x14ac:dyDescent="0.25">
      <c r="A617" s="30" t="str">
        <f ca="1">IFERROR(__xludf.DUMMYFUNCTION("""COMPUTED_VALUE"""),"50140422231413")</f>
        <v>50140422231413</v>
      </c>
      <c r="B617" s="30" t="str">
        <f ca="1">IFERROR(__xludf.DUMMYFUNCTION("""COMPUTED_VALUE"""),"CAPS RIVADAVIA")</f>
        <v>CAPS RIVADAVIA</v>
      </c>
      <c r="C617" s="30" t="str">
        <f ca="1">IFERROR(__xludf.DUMMYFUNCTION("""COMPUTED_VALUE"""),"Córdoba")</f>
        <v>Córdoba</v>
      </c>
      <c r="D617" s="30" t="str">
        <f ca="1">IFERROR(__xludf.DUMMYFUNCTION("""COMPUTED_VALUE"""),"14")</f>
        <v>14</v>
      </c>
      <c r="E617" s="30" t="str">
        <f ca="1">IFERROR(__xludf.DUMMYFUNCTION("""COMPUTED_VALUE"""),"")</f>
        <v/>
      </c>
      <c r="F617" s="29"/>
      <c r="G617" s="29"/>
      <c r="H617" s="30" t="str">
        <f ca="1">IFERROR(__xludf.DUMMYFUNCTION("""COMPUTED_VALUE"""),"activo")</f>
        <v>activo</v>
      </c>
      <c r="I617" s="29"/>
      <c r="J617" s="29"/>
      <c r="K617" s="29"/>
      <c r="L617" s="30" t="str">
        <f ca="1">IFERROR(__xludf.DUMMYFUNCTION("""COMPUTED_VALUE"""),"No")</f>
        <v>No</v>
      </c>
      <c r="M617" s="30" t="str">
        <f ca="1">IFERROR(__xludf.DUMMYFUNCTION("""COMPUTED_VALUE"""),"14042170000")</f>
        <v>14042170000</v>
      </c>
      <c r="N617" s="30" t="str">
        <f ca="1">IFERROR(__xludf.DUMMYFUNCTION("""COMPUTED_VALUE"""),"VILLA MARIA")</f>
        <v>VILLA MARIA</v>
      </c>
      <c r="O617" s="30" t="str">
        <f ca="1">IFERROR(__xludf.DUMMYFUNCTION("""COMPUTED_VALUE"""),"1442")</f>
        <v>1442</v>
      </c>
      <c r="P617" s="30" t="str">
        <f ca="1">IFERROR(__xludf.DUMMYFUNCTION("""COMPUTED_VALUE"""),"GENERAL SAN MARTÍN")</f>
        <v>GENERAL SAN MARTÍN</v>
      </c>
      <c r="Q617" s="30" t="str">
        <f ca="1">IFERROR(__xludf.DUMMYFUNCTION("""COMPUTED_VALUE"""),"-32.41855")</f>
        <v>-32.41855</v>
      </c>
      <c r="R617" s="30" t="str">
        <f ca="1">IFERROR(__xludf.DUMMYFUNCTION("""COMPUTED_VALUE"""),"-63.230264")</f>
        <v>-63.230264</v>
      </c>
      <c r="S617" s="30" t="str">
        <f ca="1">IFERROR(__xludf.DUMMYFUNCTION("""COMPUTED_VALUE"""),"Municipal")</f>
        <v>Municipal</v>
      </c>
      <c r="T617" s="29"/>
    </row>
    <row r="618" spans="1:20" ht="15.75" customHeight="1" x14ac:dyDescent="0.25">
      <c r="A618" s="30" t="str">
        <f ca="1">IFERROR(__xludf.DUMMYFUNCTION("""COMPUTED_VALUE"""),"50140422231578")</f>
        <v>50140422231578</v>
      </c>
      <c r="B618" s="30" t="str">
        <f ca="1">IFERROR(__xludf.DUMMYFUNCTION("""COMPUTED_VALUE"""),"CAPS ROQUE SAENZ PEÑA")</f>
        <v>CAPS ROQUE SAENZ PEÑA</v>
      </c>
      <c r="C618" s="30" t="str">
        <f ca="1">IFERROR(__xludf.DUMMYFUNCTION("""COMPUTED_VALUE"""),"Córdoba")</f>
        <v>Córdoba</v>
      </c>
      <c r="D618" s="30" t="str">
        <f ca="1">IFERROR(__xludf.DUMMYFUNCTION("""COMPUTED_VALUE"""),"14")</f>
        <v>14</v>
      </c>
      <c r="E618" s="30" t="str">
        <f ca="1">IFERROR(__xludf.DUMMYFUNCTION("""COMPUTED_VALUE"""),"")</f>
        <v/>
      </c>
      <c r="F618" s="29"/>
      <c r="G618" s="29"/>
      <c r="H618" s="30" t="str">
        <f ca="1">IFERROR(__xludf.DUMMYFUNCTION("""COMPUTED_VALUE"""),"activo")</f>
        <v>activo</v>
      </c>
      <c r="I618" s="29"/>
      <c r="J618" s="29"/>
      <c r="K618" s="29"/>
      <c r="L618" s="30" t="str">
        <f ca="1">IFERROR(__xludf.DUMMYFUNCTION("""COMPUTED_VALUE"""),"No")</f>
        <v>No</v>
      </c>
      <c r="M618" s="30" t="str">
        <f ca="1">IFERROR(__xludf.DUMMYFUNCTION("""COMPUTED_VALUE"""),"14042170000")</f>
        <v>14042170000</v>
      </c>
      <c r="N618" s="30" t="str">
        <f ca="1">IFERROR(__xludf.DUMMYFUNCTION("""COMPUTED_VALUE"""),"VILLA MARIA")</f>
        <v>VILLA MARIA</v>
      </c>
      <c r="O618" s="30" t="str">
        <f ca="1">IFERROR(__xludf.DUMMYFUNCTION("""COMPUTED_VALUE"""),"1442")</f>
        <v>1442</v>
      </c>
      <c r="P618" s="30" t="str">
        <f ca="1">IFERROR(__xludf.DUMMYFUNCTION("""COMPUTED_VALUE"""),"GENERAL SAN MARTÍN")</f>
        <v>GENERAL SAN MARTÍN</v>
      </c>
      <c r="Q618" s="30" t="str">
        <f ca="1">IFERROR(__xludf.DUMMYFUNCTION("""COMPUTED_VALUE"""),"-32.40616")</f>
        <v>-32.40616</v>
      </c>
      <c r="R618" s="30" t="str">
        <f ca="1">IFERROR(__xludf.DUMMYFUNCTION("""COMPUTED_VALUE"""),"-63.25576")</f>
        <v>-63.25576</v>
      </c>
      <c r="S618" s="30" t="str">
        <f ca="1">IFERROR(__xludf.DUMMYFUNCTION("""COMPUTED_VALUE"""),"Municipal")</f>
        <v>Municipal</v>
      </c>
      <c r="T618" s="29"/>
    </row>
    <row r="619" spans="1:20" ht="15.75" customHeight="1" x14ac:dyDescent="0.25">
      <c r="A619" s="30" t="str">
        <f ca="1">IFERROR(__xludf.DUMMYFUNCTION("""COMPUTED_VALUE"""),"50140422231379")</f>
        <v>50140422231379</v>
      </c>
      <c r="B619" s="30" t="str">
        <f ca="1">IFERROR(__xludf.DUMMYFUNCTION("""COMPUTED_VALUE"""),"CAPS BELGRANO")</f>
        <v>CAPS BELGRANO</v>
      </c>
      <c r="C619" s="30" t="str">
        <f ca="1">IFERROR(__xludf.DUMMYFUNCTION("""COMPUTED_VALUE"""),"Córdoba")</f>
        <v>Córdoba</v>
      </c>
      <c r="D619" s="30" t="str">
        <f ca="1">IFERROR(__xludf.DUMMYFUNCTION("""COMPUTED_VALUE"""),"14")</f>
        <v>14</v>
      </c>
      <c r="E619" s="30" t="str">
        <f ca="1">IFERROR(__xludf.DUMMYFUNCTION("""COMPUTED_VALUE"""),"")</f>
        <v/>
      </c>
      <c r="F619" s="29"/>
      <c r="G619" s="29"/>
      <c r="H619" s="30" t="str">
        <f ca="1">IFERROR(__xludf.DUMMYFUNCTION("""COMPUTED_VALUE"""),"activo")</f>
        <v>activo</v>
      </c>
      <c r="I619" s="29"/>
      <c r="J619" s="29"/>
      <c r="K619" s="29"/>
      <c r="L619" s="30" t="str">
        <f ca="1">IFERROR(__xludf.DUMMYFUNCTION("""COMPUTED_VALUE"""),"No")</f>
        <v>No</v>
      </c>
      <c r="M619" s="30" t="str">
        <f ca="1">IFERROR(__xludf.DUMMYFUNCTION("""COMPUTED_VALUE"""),"14042170000")</f>
        <v>14042170000</v>
      </c>
      <c r="N619" s="30" t="str">
        <f ca="1">IFERROR(__xludf.DUMMYFUNCTION("""COMPUTED_VALUE"""),"VILLA MARIA")</f>
        <v>VILLA MARIA</v>
      </c>
      <c r="O619" s="30" t="str">
        <f ca="1">IFERROR(__xludf.DUMMYFUNCTION("""COMPUTED_VALUE"""),"1442")</f>
        <v>1442</v>
      </c>
      <c r="P619" s="30" t="str">
        <f ca="1">IFERROR(__xludf.DUMMYFUNCTION("""COMPUTED_VALUE"""),"GENERAL SAN MARTÍN")</f>
        <v>GENERAL SAN MARTÍN</v>
      </c>
      <c r="Q619" s="30" t="str">
        <f ca="1">IFERROR(__xludf.DUMMYFUNCTION("""COMPUTED_VALUE"""),"-32.394511")</f>
        <v>-32.394511</v>
      </c>
      <c r="R619" s="30" t="str">
        <f ca="1">IFERROR(__xludf.DUMMYFUNCTION("""COMPUTED_VALUE"""),"-63.254612")</f>
        <v>-63.254612</v>
      </c>
      <c r="S619" s="30" t="str">
        <f ca="1">IFERROR(__xludf.DUMMYFUNCTION("""COMPUTED_VALUE"""),"Municipal")</f>
        <v>Municipal</v>
      </c>
      <c r="T619" s="29"/>
    </row>
    <row r="620" spans="1:20" ht="15.75" customHeight="1" x14ac:dyDescent="0.25">
      <c r="A620" s="30" t="str">
        <f ca="1">IFERROR(__xludf.DUMMYFUNCTION("""COMPUTED_VALUE"""),"50140422231579")</f>
        <v>50140422231579</v>
      </c>
      <c r="B620" s="30" t="str">
        <f ca="1">IFERROR(__xludf.DUMMYFUNCTION("""COMPUTED_VALUE"""),"CAPS SAN JUSTO")</f>
        <v>CAPS SAN JUSTO</v>
      </c>
      <c r="C620" s="30" t="str">
        <f ca="1">IFERROR(__xludf.DUMMYFUNCTION("""COMPUTED_VALUE"""),"Córdoba")</f>
        <v>Córdoba</v>
      </c>
      <c r="D620" s="30" t="str">
        <f ca="1">IFERROR(__xludf.DUMMYFUNCTION("""COMPUTED_VALUE"""),"14")</f>
        <v>14</v>
      </c>
      <c r="E620" s="30" t="str">
        <f ca="1">IFERROR(__xludf.DUMMYFUNCTION("""COMPUTED_VALUE"""),"")</f>
        <v/>
      </c>
      <c r="F620" s="29"/>
      <c r="G620" s="29"/>
      <c r="H620" s="30" t="str">
        <f ca="1">IFERROR(__xludf.DUMMYFUNCTION("""COMPUTED_VALUE"""),"activo")</f>
        <v>activo</v>
      </c>
      <c r="I620" s="29"/>
      <c r="J620" s="29"/>
      <c r="K620" s="29"/>
      <c r="L620" s="30" t="str">
        <f ca="1">IFERROR(__xludf.DUMMYFUNCTION("""COMPUTED_VALUE"""),"No")</f>
        <v>No</v>
      </c>
      <c r="M620" s="30" t="str">
        <f ca="1">IFERROR(__xludf.DUMMYFUNCTION("""COMPUTED_VALUE"""),"14042170000")</f>
        <v>14042170000</v>
      </c>
      <c r="N620" s="30" t="str">
        <f ca="1">IFERROR(__xludf.DUMMYFUNCTION("""COMPUTED_VALUE"""),"VILLA MARIA")</f>
        <v>VILLA MARIA</v>
      </c>
      <c r="O620" s="30" t="str">
        <f ca="1">IFERROR(__xludf.DUMMYFUNCTION("""COMPUTED_VALUE"""),"1442")</f>
        <v>1442</v>
      </c>
      <c r="P620" s="30" t="str">
        <f ca="1">IFERROR(__xludf.DUMMYFUNCTION("""COMPUTED_VALUE"""),"GENERAL SAN MARTÍN")</f>
        <v>GENERAL SAN MARTÍN</v>
      </c>
      <c r="Q620" s="30" t="str">
        <f ca="1">IFERROR(__xludf.DUMMYFUNCTION("""COMPUTED_VALUE"""),"-32.22271531")</f>
        <v>-32.22271531</v>
      </c>
      <c r="R620" s="30" t="str">
        <f ca="1">IFERROR(__xludf.DUMMYFUNCTION("""COMPUTED_VALUE"""),"-63.12597692")</f>
        <v>-63.12597692</v>
      </c>
      <c r="S620" s="30" t="str">
        <f ca="1">IFERROR(__xludf.DUMMYFUNCTION("""COMPUTED_VALUE"""),"Municipal")</f>
        <v>Municipal</v>
      </c>
      <c r="T620" s="29"/>
    </row>
    <row r="621" spans="1:20" ht="15.75" customHeight="1" x14ac:dyDescent="0.25">
      <c r="A621" s="30" t="str">
        <f ca="1">IFERROR(__xludf.DUMMYFUNCTION("""COMPUTED_VALUE"""),"50140632232178")</f>
        <v>50140632232178</v>
      </c>
      <c r="B621" s="30" t="str">
        <f ca="1">IFERROR(__xludf.DUMMYFUNCTION("""COMPUTED_VALUE"""),"CENTRO PERIFERICO Nº 1 DE MARCOS JUAREZ")</f>
        <v>CENTRO PERIFERICO Nº 1 DE MARCOS JUAREZ</v>
      </c>
      <c r="C621" s="30" t="str">
        <f ca="1">IFERROR(__xludf.DUMMYFUNCTION("""COMPUTED_VALUE"""),"Córdoba")</f>
        <v>Córdoba</v>
      </c>
      <c r="D621" s="30" t="str">
        <f ca="1">IFERROR(__xludf.DUMMYFUNCTION("""COMPUTED_VALUE"""),"14")</f>
        <v>14</v>
      </c>
      <c r="E621" s="30" t="str">
        <f ca="1">IFERROR(__xludf.DUMMYFUNCTION("""COMPUTED_VALUE"""),"")</f>
        <v/>
      </c>
      <c r="F621" s="29"/>
      <c r="G621" s="30" t="str">
        <f ca="1">IFERROR(__xludf.DUMMYFUNCTION("""COMPUTED_VALUE"""),"10140422231159")</f>
        <v>10140422231159</v>
      </c>
      <c r="H621" s="30" t="str">
        <f ca="1">IFERROR(__xludf.DUMMYFUNCTION("""COMPUTED_VALUE"""),"inactivo")</f>
        <v>inactivo</v>
      </c>
      <c r="I621" s="29"/>
      <c r="J621" s="29"/>
      <c r="K621" s="29"/>
      <c r="L621" s="30" t="str">
        <f ca="1">IFERROR(__xludf.DUMMYFUNCTION("""COMPUTED_VALUE"""),"No")</f>
        <v>No</v>
      </c>
      <c r="M621" s="30" t="str">
        <f ca="1">IFERROR(__xludf.DUMMYFUNCTION("""COMPUTED_VALUE"""),"14063180000")</f>
        <v>14063180000</v>
      </c>
      <c r="N621" s="30" t="str">
        <f ca="1">IFERROR(__xludf.DUMMYFUNCTION("""COMPUTED_VALUE"""),"MARCOS JUAREZ")</f>
        <v>MARCOS JUAREZ</v>
      </c>
      <c r="O621" s="30" t="str">
        <f ca="1">IFERROR(__xludf.DUMMYFUNCTION("""COMPUTED_VALUE"""),"1463")</f>
        <v>1463</v>
      </c>
      <c r="P621" s="30" t="str">
        <f ca="1">IFERROR(__xludf.DUMMYFUNCTION("""COMPUTED_VALUE"""),"MARCOS JUÁREZ")</f>
        <v>MARCOS JUÁREZ</v>
      </c>
      <c r="Q621" s="30" t="str">
        <f ca="1">IFERROR(__xludf.DUMMYFUNCTION("""COMPUTED_VALUE"""),"-32.69427")</f>
        <v>-32.69427</v>
      </c>
      <c r="R621" s="30" t="str">
        <f ca="1">IFERROR(__xludf.DUMMYFUNCTION("""COMPUTED_VALUE"""),"-62.104434")</f>
        <v>-62.104434</v>
      </c>
      <c r="S621" s="30" t="str">
        <f ca="1">IFERROR(__xludf.DUMMYFUNCTION("""COMPUTED_VALUE"""),"Municipal")</f>
        <v>Municipal</v>
      </c>
      <c r="T621" s="29"/>
    </row>
    <row r="622" spans="1:20" ht="15.75" customHeight="1" x14ac:dyDescent="0.25">
      <c r="A622" s="30" t="str">
        <f ca="1">IFERROR(__xludf.DUMMYFUNCTION("""COMPUTED_VALUE"""),"50140632232182")</f>
        <v>50140632232182</v>
      </c>
      <c r="B622" s="30" t="str">
        <f ca="1">IFERROR(__xludf.DUMMYFUNCTION("""COMPUTED_VALUE"""),"CENTRO PERIFERICO Nº 2 DE MARCOS JUAREZ")</f>
        <v>CENTRO PERIFERICO Nº 2 DE MARCOS JUAREZ</v>
      </c>
      <c r="C622" s="30" t="str">
        <f ca="1">IFERROR(__xludf.DUMMYFUNCTION("""COMPUTED_VALUE"""),"Córdoba")</f>
        <v>Córdoba</v>
      </c>
      <c r="D622" s="30" t="str">
        <f ca="1">IFERROR(__xludf.DUMMYFUNCTION("""COMPUTED_VALUE"""),"14")</f>
        <v>14</v>
      </c>
      <c r="E622" s="30" t="str">
        <f ca="1">IFERROR(__xludf.DUMMYFUNCTION("""COMPUTED_VALUE"""),"")</f>
        <v/>
      </c>
      <c r="F622" s="29"/>
      <c r="G622" s="29"/>
      <c r="H622" s="30" t="str">
        <f ca="1">IFERROR(__xludf.DUMMYFUNCTION("""COMPUTED_VALUE"""),"activo")</f>
        <v>activo</v>
      </c>
      <c r="I622" s="29"/>
      <c r="J622" s="29"/>
      <c r="K622" s="29"/>
      <c r="L622" s="30" t="str">
        <f ca="1">IFERROR(__xludf.DUMMYFUNCTION("""COMPUTED_VALUE"""),"No")</f>
        <v>No</v>
      </c>
      <c r="M622" s="30" t="str">
        <f ca="1">IFERROR(__xludf.DUMMYFUNCTION("""COMPUTED_VALUE"""),"14063180000")</f>
        <v>14063180000</v>
      </c>
      <c r="N622" s="30" t="str">
        <f ca="1">IFERROR(__xludf.DUMMYFUNCTION("""COMPUTED_VALUE"""),"MARCOS JUAREZ")</f>
        <v>MARCOS JUAREZ</v>
      </c>
      <c r="O622" s="30" t="str">
        <f ca="1">IFERROR(__xludf.DUMMYFUNCTION("""COMPUTED_VALUE"""),"1463")</f>
        <v>1463</v>
      </c>
      <c r="P622" s="30" t="str">
        <f ca="1">IFERROR(__xludf.DUMMYFUNCTION("""COMPUTED_VALUE"""),"MARCOS JUÁREZ")</f>
        <v>MARCOS JUÁREZ</v>
      </c>
      <c r="Q622" s="30" t="str">
        <f ca="1">IFERROR(__xludf.DUMMYFUNCTION("""COMPUTED_VALUE"""),"-32.704671")</f>
        <v>-32.704671</v>
      </c>
      <c r="R622" s="30" t="str">
        <f ca="1">IFERROR(__xludf.DUMMYFUNCTION("""COMPUTED_VALUE"""),"-62.120329")</f>
        <v>-62.120329</v>
      </c>
      <c r="S622" s="30" t="str">
        <f ca="1">IFERROR(__xludf.DUMMYFUNCTION("""COMPUTED_VALUE"""),"Municipal")</f>
        <v>Municipal</v>
      </c>
      <c r="T622" s="29"/>
    </row>
    <row r="623" spans="1:20" ht="15.75" customHeight="1" x14ac:dyDescent="0.25">
      <c r="A623" s="30" t="str">
        <f ca="1">IFERROR(__xludf.DUMMYFUNCTION("""COMPUTED_VALUE"""),"50140632232186")</f>
        <v>50140632232186</v>
      </c>
      <c r="B623" s="30" t="str">
        <f ca="1">IFERROR(__xludf.DUMMYFUNCTION("""COMPUTED_VALUE"""),"CENTRO PERIFERICO Nº 3 DE MARCOS JUAREZ")</f>
        <v>CENTRO PERIFERICO Nº 3 DE MARCOS JUAREZ</v>
      </c>
      <c r="C623" s="30" t="str">
        <f ca="1">IFERROR(__xludf.DUMMYFUNCTION("""COMPUTED_VALUE"""),"Córdoba")</f>
        <v>Córdoba</v>
      </c>
      <c r="D623" s="30" t="str">
        <f ca="1">IFERROR(__xludf.DUMMYFUNCTION("""COMPUTED_VALUE"""),"14")</f>
        <v>14</v>
      </c>
      <c r="E623" s="30" t="str">
        <f ca="1">IFERROR(__xludf.DUMMYFUNCTION("""COMPUTED_VALUE"""),"")</f>
        <v/>
      </c>
      <c r="F623" s="29"/>
      <c r="G623" s="29"/>
      <c r="H623" s="30" t="str">
        <f ca="1">IFERROR(__xludf.DUMMYFUNCTION("""COMPUTED_VALUE"""),"activo")</f>
        <v>activo</v>
      </c>
      <c r="I623" s="29"/>
      <c r="J623" s="29"/>
      <c r="K623" s="29"/>
      <c r="L623" s="30" t="str">
        <f ca="1">IFERROR(__xludf.DUMMYFUNCTION("""COMPUTED_VALUE"""),"No")</f>
        <v>No</v>
      </c>
      <c r="M623" s="30" t="str">
        <f ca="1">IFERROR(__xludf.DUMMYFUNCTION("""COMPUTED_VALUE"""),"14063180000")</f>
        <v>14063180000</v>
      </c>
      <c r="N623" s="30" t="str">
        <f ca="1">IFERROR(__xludf.DUMMYFUNCTION("""COMPUTED_VALUE"""),"MARCOS JUAREZ")</f>
        <v>MARCOS JUAREZ</v>
      </c>
      <c r="O623" s="30" t="str">
        <f ca="1">IFERROR(__xludf.DUMMYFUNCTION("""COMPUTED_VALUE"""),"1463")</f>
        <v>1463</v>
      </c>
      <c r="P623" s="30" t="str">
        <f ca="1">IFERROR(__xludf.DUMMYFUNCTION("""COMPUTED_VALUE"""),"MARCOS JUÁREZ")</f>
        <v>MARCOS JUÁREZ</v>
      </c>
      <c r="Q623" s="30" t="str">
        <f ca="1">IFERROR(__xludf.DUMMYFUNCTION("""COMPUTED_VALUE"""),"-32.682986")</f>
        <v>-32.682986</v>
      </c>
      <c r="R623" s="30" t="str">
        <f ca="1">IFERROR(__xludf.DUMMYFUNCTION("""COMPUTED_VALUE"""),"-62.112222")</f>
        <v>-62.112222</v>
      </c>
      <c r="S623" s="30" t="str">
        <f ca="1">IFERROR(__xludf.DUMMYFUNCTION("""COMPUTED_VALUE"""),"Municipal")</f>
        <v>Municipal</v>
      </c>
      <c r="T623" s="29"/>
    </row>
    <row r="624" spans="1:20" ht="15.75" customHeight="1" x14ac:dyDescent="0.25">
      <c r="A624" s="30" t="str">
        <f ca="1">IFERROR(__xludf.DUMMYFUNCTION("""COMPUTED_VALUE"""),"50140632232170")</f>
        <v>50140632232170</v>
      </c>
      <c r="B624" s="30" t="str">
        <f ca="1">IFERROR(__xludf.DUMMYFUNCTION("""COMPUTED_VALUE"""),"CENTRO DE ATENCION PRIMARIA DE LA SALUD N 4 - CONSULRORIO DE MEDICINA LABORAL -")</f>
        <v>CENTRO DE ATENCION PRIMARIA DE LA SALUD N 4 - CONSULRORIO DE MEDICINA LABORAL -</v>
      </c>
      <c r="C624" s="30" t="str">
        <f ca="1">IFERROR(__xludf.DUMMYFUNCTION("""COMPUTED_VALUE"""),"Córdoba")</f>
        <v>Córdoba</v>
      </c>
      <c r="D624" s="30" t="str">
        <f ca="1">IFERROR(__xludf.DUMMYFUNCTION("""COMPUTED_VALUE"""),"14")</f>
        <v>14</v>
      </c>
      <c r="E624" s="30" t="str">
        <f ca="1">IFERROR(__xludf.DUMMYFUNCTION("""COMPUTED_VALUE"""),"")</f>
        <v/>
      </c>
      <c r="F624" s="30" t="str">
        <f ca="1">IFERROR(__xludf.DUMMYFUNCTION("""COMPUTED_VALUE"""),"50140142131388")</f>
        <v>50140142131388</v>
      </c>
      <c r="G624" s="29"/>
      <c r="H624" s="30" t="str">
        <f ca="1">IFERROR(__xludf.DUMMYFUNCTION("""COMPUTED_VALUE"""),"inactivo")</f>
        <v>inactivo</v>
      </c>
      <c r="I624" s="30" t="str">
        <f ca="1">IFERROR(__xludf.DUMMYFUNCTION("""COMPUTED_VALUE"""),"29/12/2021")</f>
        <v>29/12/2021</v>
      </c>
      <c r="J624" s="29"/>
      <c r="K624" s="29"/>
      <c r="L624" s="30" t="str">
        <f ca="1">IFERROR(__xludf.DUMMYFUNCTION("""COMPUTED_VALUE"""),"No")</f>
        <v>No</v>
      </c>
      <c r="M624" s="30" t="str">
        <f ca="1">IFERROR(__xludf.DUMMYFUNCTION("""COMPUTED_VALUE"""),"14063180000")</f>
        <v>14063180000</v>
      </c>
      <c r="N624" s="30" t="str">
        <f ca="1">IFERROR(__xludf.DUMMYFUNCTION("""COMPUTED_VALUE"""),"MARCOS JUAREZ")</f>
        <v>MARCOS JUAREZ</v>
      </c>
      <c r="O624" s="30" t="str">
        <f ca="1">IFERROR(__xludf.DUMMYFUNCTION("""COMPUTED_VALUE"""),"1463")</f>
        <v>1463</v>
      </c>
      <c r="P624" s="30" t="str">
        <f ca="1">IFERROR(__xludf.DUMMYFUNCTION("""COMPUTED_VALUE"""),"MARCOS JUÁREZ")</f>
        <v>MARCOS JUÁREZ</v>
      </c>
      <c r="Q624" s="30" t="str">
        <f ca="1">IFERROR(__xludf.DUMMYFUNCTION("""COMPUTED_VALUE"""),"-32.686847")</f>
        <v>-32.686847</v>
      </c>
      <c r="R624" s="30" t="str">
        <f ca="1">IFERROR(__xludf.DUMMYFUNCTION("""COMPUTED_VALUE"""),"-62.108138")</f>
        <v>-62.108138</v>
      </c>
      <c r="S624" s="30" t="str">
        <f ca="1">IFERROR(__xludf.DUMMYFUNCTION("""COMPUTED_VALUE"""),"Municipal")</f>
        <v>Municipal</v>
      </c>
      <c r="T624" s="29"/>
    </row>
    <row r="625" spans="1:20" ht="15.75" customHeight="1" x14ac:dyDescent="0.25">
      <c r="A625" s="30" t="str">
        <f ca="1">IFERROR(__xludf.DUMMYFUNCTION("""COMPUTED_VALUE"""),"50140912231982")</f>
        <v>50140912231982</v>
      </c>
      <c r="B625" s="30" t="str">
        <f ca="1">IFERROR(__xludf.DUMMYFUNCTION("""COMPUTED_VALUE"""),"DISPENSARIO RIO GRANDE")</f>
        <v>DISPENSARIO RIO GRANDE</v>
      </c>
      <c r="C625" s="30" t="str">
        <f ca="1">IFERROR(__xludf.DUMMYFUNCTION("""COMPUTED_VALUE"""),"Córdoba")</f>
        <v>Córdoba</v>
      </c>
      <c r="D625" s="30" t="str">
        <f ca="1">IFERROR(__xludf.DUMMYFUNCTION("""COMPUTED_VALUE"""),"14")</f>
        <v>14</v>
      </c>
      <c r="E625" s="30" t="str">
        <f ca="1">IFERROR(__xludf.DUMMYFUNCTION("""COMPUTED_VALUE"""),"")</f>
        <v/>
      </c>
      <c r="F625" s="29"/>
      <c r="G625" s="29"/>
      <c r="H625" s="30" t="str">
        <f ca="1">IFERROR(__xludf.DUMMYFUNCTION("""COMPUTED_VALUE"""),"activo")</f>
        <v>activo</v>
      </c>
      <c r="I625" s="29"/>
      <c r="J625" s="29"/>
      <c r="K625" s="29"/>
      <c r="L625" s="30" t="str">
        <f ca="1">IFERROR(__xludf.DUMMYFUNCTION("""COMPUTED_VALUE"""),"No")</f>
        <v>No</v>
      </c>
      <c r="M625" s="30" t="str">
        <f ca="1">IFERROR(__xludf.DUMMYFUNCTION("""COMPUTED_VALUE"""),"14091120000")</f>
        <v>14091120000</v>
      </c>
      <c r="N625" s="30" t="str">
        <f ca="1">IFERROR(__xludf.DUMMYFUNCTION("""COMPUTED_VALUE"""),"LA FALDA")</f>
        <v>LA FALDA</v>
      </c>
      <c r="O625" s="30" t="str">
        <f ca="1">IFERROR(__xludf.DUMMYFUNCTION("""COMPUTED_VALUE"""),"1491")</f>
        <v>1491</v>
      </c>
      <c r="P625" s="30" t="str">
        <f ca="1">IFERROR(__xludf.DUMMYFUNCTION("""COMPUTED_VALUE"""),"PUNILLA")</f>
        <v>PUNILLA</v>
      </c>
      <c r="Q625" s="30" t="str">
        <f ca="1">IFERROR(__xludf.DUMMYFUNCTION("""COMPUTED_VALUE"""),"-31.0872837")</f>
        <v>-31.0872837</v>
      </c>
      <c r="R625" s="30" t="str">
        <f ca="1">IFERROR(__xludf.DUMMYFUNCTION("""COMPUTED_VALUE"""),"-64.4976144")</f>
        <v>-64.4976144</v>
      </c>
      <c r="S625" s="30" t="str">
        <f ca="1">IFERROR(__xludf.DUMMYFUNCTION("""COMPUTED_VALUE"""),"Municipal")</f>
        <v>Municipal</v>
      </c>
      <c r="T625" s="29"/>
    </row>
    <row r="626" spans="1:20" ht="15.75" customHeight="1" x14ac:dyDescent="0.25">
      <c r="A626" s="30" t="str">
        <f ca="1">IFERROR(__xludf.DUMMYFUNCTION("""COMPUTED_VALUE"""),"10140912231213")</f>
        <v>10140912231213</v>
      </c>
      <c r="B626" s="30" t="str">
        <f ca="1">IFERROR(__xludf.DUMMYFUNCTION("""COMPUTED_VALUE"""),"HOSPITAL MUNICIPAL LA FALDA")</f>
        <v>HOSPITAL MUNICIPAL LA FALDA</v>
      </c>
      <c r="C626" s="30" t="str">
        <f ca="1">IFERROR(__xludf.DUMMYFUNCTION("""COMPUTED_VALUE"""),"Córdoba")</f>
        <v>Córdoba</v>
      </c>
      <c r="D626" s="30" t="str">
        <f ca="1">IFERROR(__xludf.DUMMYFUNCTION("""COMPUTED_VALUE"""),"14")</f>
        <v>14</v>
      </c>
      <c r="E626" s="30" t="str">
        <f ca="1">IFERROR(__xludf.DUMMYFUNCTION("""COMPUTED_VALUE"""),"")</f>
        <v/>
      </c>
      <c r="F626" s="29"/>
      <c r="G626" s="29"/>
      <c r="H626" s="30" t="str">
        <f ca="1">IFERROR(__xludf.DUMMYFUNCTION("""COMPUTED_VALUE"""),"activo")</f>
        <v>activo</v>
      </c>
      <c r="I626" s="29"/>
      <c r="J626" s="29"/>
      <c r="K626" s="29"/>
      <c r="L626" s="30" t="str">
        <f ca="1">IFERROR(__xludf.DUMMYFUNCTION("""COMPUTED_VALUE"""),"No")</f>
        <v>No</v>
      </c>
      <c r="M626" s="30" t="str">
        <f ca="1">IFERROR(__xludf.DUMMYFUNCTION("""COMPUTED_VALUE"""),"14091120000")</f>
        <v>14091120000</v>
      </c>
      <c r="N626" s="30" t="str">
        <f ca="1">IFERROR(__xludf.DUMMYFUNCTION("""COMPUTED_VALUE"""),"LA FALDA")</f>
        <v>LA FALDA</v>
      </c>
      <c r="O626" s="30" t="str">
        <f ca="1">IFERROR(__xludf.DUMMYFUNCTION("""COMPUTED_VALUE"""),"1491")</f>
        <v>1491</v>
      </c>
      <c r="P626" s="30" t="str">
        <f ca="1">IFERROR(__xludf.DUMMYFUNCTION("""COMPUTED_VALUE"""),"PUNILLA")</f>
        <v>PUNILLA</v>
      </c>
      <c r="Q626" s="30" t="str">
        <f ca="1">IFERROR(__xludf.DUMMYFUNCTION("""COMPUTED_VALUE"""),"-31.100032")</f>
        <v>-31.100032</v>
      </c>
      <c r="R626" s="30" t="str">
        <f ca="1">IFERROR(__xludf.DUMMYFUNCTION("""COMPUTED_VALUE"""),"-64.484782")</f>
        <v>-64.484782</v>
      </c>
      <c r="S626" s="30" t="str">
        <f ca="1">IFERROR(__xludf.DUMMYFUNCTION("""COMPUTED_VALUE"""),"Municipal")</f>
        <v>Municipal</v>
      </c>
      <c r="T626" s="29"/>
    </row>
    <row r="627" spans="1:20" ht="15.75" customHeight="1" x14ac:dyDescent="0.25">
      <c r="A627" s="30" t="str">
        <f ca="1">IFERROR(__xludf.DUMMYFUNCTION("""COMPUTED_VALUE"""),"50140912231505")</f>
        <v>50140912231505</v>
      </c>
      <c r="B627" s="30" t="str">
        <f ca="1">IFERROR(__xludf.DUMMYFUNCTION("""COMPUTED_VALUE"""),"DISPENSARIO DE VILLA RIO ICHO CRUZ")</f>
        <v>DISPENSARIO DE VILLA RIO ICHO CRUZ</v>
      </c>
      <c r="C627" s="30" t="str">
        <f ca="1">IFERROR(__xludf.DUMMYFUNCTION("""COMPUTED_VALUE"""),"Córdoba")</f>
        <v>Córdoba</v>
      </c>
      <c r="D627" s="30" t="str">
        <f ca="1">IFERROR(__xludf.DUMMYFUNCTION("""COMPUTED_VALUE"""),"14")</f>
        <v>14</v>
      </c>
      <c r="E627" s="30" t="str">
        <f ca="1">IFERROR(__xludf.DUMMYFUNCTION("""COMPUTED_VALUE"""),"")</f>
        <v/>
      </c>
      <c r="F627" s="29"/>
      <c r="G627" s="29"/>
      <c r="H627" s="30" t="str">
        <f ca="1">IFERROR(__xludf.DUMMYFUNCTION("""COMPUTED_VALUE"""),"activo")</f>
        <v>activo</v>
      </c>
      <c r="I627" s="29"/>
      <c r="J627" s="29"/>
      <c r="K627" s="29"/>
      <c r="L627" s="30" t="str">
        <f ca="1">IFERROR(__xludf.DUMMYFUNCTION("""COMPUTED_VALUE"""),"No")</f>
        <v>No</v>
      </c>
      <c r="M627" s="30" t="str">
        <f ca="1">IFERROR(__xludf.DUMMYFUNCTION("""COMPUTED_VALUE"""),"14091300000")</f>
        <v>14091300000</v>
      </c>
      <c r="N627" s="30" t="str">
        <f ca="1">IFERROR(__xludf.DUMMYFUNCTION("""COMPUTED_VALUE"""),"VILLA RIO ICHO CRUZ")</f>
        <v>VILLA RIO ICHO CRUZ</v>
      </c>
      <c r="O627" s="30" t="str">
        <f ca="1">IFERROR(__xludf.DUMMYFUNCTION("""COMPUTED_VALUE"""),"1491")</f>
        <v>1491</v>
      </c>
      <c r="P627" s="30" t="str">
        <f ca="1">IFERROR(__xludf.DUMMYFUNCTION("""COMPUTED_VALUE"""),"PUNILLA")</f>
        <v>PUNILLA</v>
      </c>
      <c r="Q627" s="30" t="str">
        <f ca="1">IFERROR(__xludf.DUMMYFUNCTION("""COMPUTED_VALUE"""),"-31.479607")</f>
        <v>-31.479607</v>
      </c>
      <c r="R627" s="30" t="str">
        <f ca="1">IFERROR(__xludf.DUMMYFUNCTION("""COMPUTED_VALUE"""),"-64.560106")</f>
        <v>-64.560106</v>
      </c>
      <c r="S627" s="30" t="str">
        <f ca="1">IFERROR(__xludf.DUMMYFUNCTION("""COMPUTED_VALUE"""),"Municipal")</f>
        <v>Municipal</v>
      </c>
      <c r="T627" s="29"/>
    </row>
    <row r="628" spans="1:20" ht="15.75" customHeight="1" x14ac:dyDescent="0.25">
      <c r="A628" s="30" t="str">
        <f ca="1">IFERROR(__xludf.DUMMYFUNCTION("""COMPUTED_VALUE"""),"50140912231465")</f>
        <v>50140912231465</v>
      </c>
      <c r="B628" s="30" t="str">
        <f ca="1">IFERROR(__xludf.DUMMYFUNCTION("""COMPUTED_VALUE"""),"CENTRO DE SALUD SALVADOR MAZZA")</f>
        <v>CENTRO DE SALUD SALVADOR MAZZA</v>
      </c>
      <c r="C628" s="30" t="str">
        <f ca="1">IFERROR(__xludf.DUMMYFUNCTION("""COMPUTED_VALUE"""),"Córdoba")</f>
        <v>Córdoba</v>
      </c>
      <c r="D628" s="30" t="str">
        <f ca="1">IFERROR(__xludf.DUMMYFUNCTION("""COMPUTED_VALUE"""),"14")</f>
        <v>14</v>
      </c>
      <c r="E628" s="30" t="str">
        <f ca="1">IFERROR(__xludf.DUMMYFUNCTION("""COMPUTED_VALUE"""),"")</f>
        <v/>
      </c>
      <c r="F628" s="29"/>
      <c r="G628" s="29"/>
      <c r="H628" s="30" t="str">
        <f ca="1">IFERROR(__xludf.DUMMYFUNCTION("""COMPUTED_VALUE"""),"activo")</f>
        <v>activo</v>
      </c>
      <c r="I628" s="29"/>
      <c r="J628" s="29"/>
      <c r="K628" s="29"/>
      <c r="L628" s="30" t="str">
        <f ca="1">IFERROR(__xludf.DUMMYFUNCTION("""COMPUTED_VALUE"""),"No")</f>
        <v>No</v>
      </c>
      <c r="M628" s="30" t="str">
        <f ca="1">IFERROR(__xludf.DUMMYFUNCTION("""COMPUTED_VALUE"""),"14091320000")</f>
        <v>14091320000</v>
      </c>
      <c r="N628" s="30" t="str">
        <f ca="1">IFERROR(__xludf.DUMMYFUNCTION("""COMPUTED_VALUE"""),"VILLA SANTA CRUZ DEL LAGO")</f>
        <v>VILLA SANTA CRUZ DEL LAGO</v>
      </c>
      <c r="O628" s="30" t="str">
        <f ca="1">IFERROR(__xludf.DUMMYFUNCTION("""COMPUTED_VALUE"""),"1491")</f>
        <v>1491</v>
      </c>
      <c r="P628" s="30" t="str">
        <f ca="1">IFERROR(__xludf.DUMMYFUNCTION("""COMPUTED_VALUE"""),"PUNILLA")</f>
        <v>PUNILLA</v>
      </c>
      <c r="Q628" s="30" t="str">
        <f ca="1">IFERROR(__xludf.DUMMYFUNCTION("""COMPUTED_VALUE"""),"-31.3700688")</f>
        <v>-31.3700688</v>
      </c>
      <c r="R628" s="30" t="str">
        <f ca="1">IFERROR(__xludf.DUMMYFUNCTION("""COMPUTED_VALUE"""),"-64.5198895")</f>
        <v>-64.5198895</v>
      </c>
      <c r="S628" s="30" t="str">
        <f ca="1">IFERROR(__xludf.DUMMYFUNCTION("""COMPUTED_VALUE"""),"Municipal")</f>
        <v>Municipal</v>
      </c>
      <c r="T628" s="29"/>
    </row>
    <row r="629" spans="1:20" ht="15.75" customHeight="1" x14ac:dyDescent="0.25">
      <c r="A629" s="30" t="str">
        <f ca="1">IFERROR(__xludf.DUMMYFUNCTION("""COMPUTED_VALUE"""),"50140982231704")</f>
        <v>50140982231704</v>
      </c>
      <c r="B629" s="30" t="str">
        <f ca="1">IFERROR(__xludf.DUMMYFUNCTION("""COMPUTED_VALUE"""),"CENTRO DE SALUD MUNICIPAL DE RIO CUARTO")</f>
        <v>CENTRO DE SALUD MUNICIPAL DE RIO CUARTO</v>
      </c>
      <c r="C629" s="30" t="str">
        <f ca="1">IFERROR(__xludf.DUMMYFUNCTION("""COMPUTED_VALUE"""),"Córdoba")</f>
        <v>Córdoba</v>
      </c>
      <c r="D629" s="30" t="str">
        <f ca="1">IFERROR(__xludf.DUMMYFUNCTION("""COMPUTED_VALUE"""),"14")</f>
        <v>14</v>
      </c>
      <c r="E629" s="30" t="str">
        <f ca="1">IFERROR(__xludf.DUMMYFUNCTION("""COMPUTED_VALUE"""),"si")</f>
        <v>si</v>
      </c>
      <c r="F629" s="29"/>
      <c r="G629" s="29"/>
      <c r="H629" s="30" t="str">
        <f ca="1">IFERROR(__xludf.DUMMYFUNCTION("""COMPUTED_VALUE"""),"activo")</f>
        <v>activo</v>
      </c>
      <c r="I629" s="29"/>
      <c r="J629" s="29"/>
      <c r="K629" s="29"/>
      <c r="L629" s="30" t="str">
        <f ca="1">IFERROR(__xludf.DUMMYFUNCTION("""COMPUTED_VALUE"""),"No")</f>
        <v>No</v>
      </c>
      <c r="M629" s="30" t="str">
        <f ca="1">IFERROR(__xludf.DUMMYFUNCTION("""COMPUTED_VALUE"""),"14098230000")</f>
        <v>14098230000</v>
      </c>
      <c r="N629" s="30" t="str">
        <f ca="1">IFERROR(__xludf.DUMMYFUNCTION("""COMPUTED_VALUE"""),"RIO CUARTO")</f>
        <v>RIO CUARTO</v>
      </c>
      <c r="O629" s="30" t="str">
        <f ca="1">IFERROR(__xludf.DUMMYFUNCTION("""COMPUTED_VALUE"""),"1498")</f>
        <v>1498</v>
      </c>
      <c r="P629" s="30" t="str">
        <f ca="1">IFERROR(__xludf.DUMMYFUNCTION("""COMPUTED_VALUE"""),"RÍO CUARTO")</f>
        <v>RÍO CUARTO</v>
      </c>
      <c r="Q629" s="30" t="str">
        <f ca="1">IFERROR(__xludf.DUMMYFUNCTION("""COMPUTED_VALUE"""),"-33.129204")</f>
        <v>-33.129204</v>
      </c>
      <c r="R629" s="30" t="str">
        <f ca="1">IFERROR(__xludf.DUMMYFUNCTION("""COMPUTED_VALUE"""),"-64.3534044")</f>
        <v>-64.3534044</v>
      </c>
      <c r="S629" s="30" t="str">
        <f ca="1">IFERROR(__xludf.DUMMYFUNCTION("""COMPUTED_VALUE"""),"Municipal")</f>
        <v>Municipal</v>
      </c>
      <c r="T629" s="29"/>
    </row>
    <row r="630" spans="1:20" ht="15.75" customHeight="1" x14ac:dyDescent="0.25">
      <c r="A630" s="30" t="str">
        <f ca="1">IFERROR(__xludf.DUMMYFUNCTION("""COMPUTED_VALUE"""),"50140982231943")</f>
        <v>50140982231943</v>
      </c>
      <c r="B630" s="30" t="str">
        <f ca="1">IFERROR(__xludf.DUMMYFUNCTION("""COMPUTED_VALUE"""),"CENTRO PERIFERICO N° 3 DE RIO CUARTO")</f>
        <v>CENTRO PERIFERICO N° 3 DE RIO CUARTO</v>
      </c>
      <c r="C630" s="30" t="str">
        <f ca="1">IFERROR(__xludf.DUMMYFUNCTION("""COMPUTED_VALUE"""),"Córdoba")</f>
        <v>Córdoba</v>
      </c>
      <c r="D630" s="30" t="str">
        <f ca="1">IFERROR(__xludf.DUMMYFUNCTION("""COMPUTED_VALUE"""),"14")</f>
        <v>14</v>
      </c>
      <c r="E630" s="30" t="str">
        <f ca="1">IFERROR(__xludf.DUMMYFUNCTION("""COMPUTED_VALUE"""),"si")</f>
        <v>si</v>
      </c>
      <c r="F630" s="29"/>
      <c r="G630" s="29"/>
      <c r="H630" s="30" t="str">
        <f ca="1">IFERROR(__xludf.DUMMYFUNCTION("""COMPUTED_VALUE"""),"activo")</f>
        <v>activo</v>
      </c>
      <c r="I630" s="29"/>
      <c r="J630" s="29"/>
      <c r="K630" s="29"/>
      <c r="L630" s="30" t="str">
        <f ca="1">IFERROR(__xludf.DUMMYFUNCTION("""COMPUTED_VALUE"""),"No")</f>
        <v>No</v>
      </c>
      <c r="M630" s="30" t="str">
        <f ca="1">IFERROR(__xludf.DUMMYFUNCTION("""COMPUTED_VALUE"""),"14098230000")</f>
        <v>14098230000</v>
      </c>
      <c r="N630" s="30" t="str">
        <f ca="1">IFERROR(__xludf.DUMMYFUNCTION("""COMPUTED_VALUE"""),"RIO CUARTO")</f>
        <v>RIO CUARTO</v>
      </c>
      <c r="O630" s="30" t="str">
        <f ca="1">IFERROR(__xludf.DUMMYFUNCTION("""COMPUTED_VALUE"""),"1498")</f>
        <v>1498</v>
      </c>
      <c r="P630" s="30" t="str">
        <f ca="1">IFERROR(__xludf.DUMMYFUNCTION("""COMPUTED_VALUE"""),"RÍO CUARTO")</f>
        <v>RÍO CUARTO</v>
      </c>
      <c r="Q630" s="30" t="str">
        <f ca="1">IFERROR(__xludf.DUMMYFUNCTION("""COMPUTED_VALUE"""),"-33.1231063")</f>
        <v>-33.1231063</v>
      </c>
      <c r="R630" s="30" t="str">
        <f ca="1">IFERROR(__xludf.DUMMYFUNCTION("""COMPUTED_VALUE"""),"-64.3718803")</f>
        <v>-64.3718803</v>
      </c>
      <c r="S630" s="30" t="str">
        <f ca="1">IFERROR(__xludf.DUMMYFUNCTION("""COMPUTED_VALUE"""),"Municipal")</f>
        <v>Municipal</v>
      </c>
      <c r="T630" s="29"/>
    </row>
    <row r="631" spans="1:20" ht="15.75" customHeight="1" x14ac:dyDescent="0.25">
      <c r="A631" s="30" t="str">
        <f ca="1">IFERROR(__xludf.DUMMYFUNCTION("""COMPUTED_VALUE"""),"50140982231947")</f>
        <v>50140982231947</v>
      </c>
      <c r="B631" s="30" t="str">
        <f ca="1">IFERROR(__xludf.DUMMYFUNCTION("""COMPUTED_VALUE"""),"CENTRO DE SALUD Nº 5")</f>
        <v>CENTRO DE SALUD Nº 5</v>
      </c>
      <c r="C631" s="30" t="str">
        <f ca="1">IFERROR(__xludf.DUMMYFUNCTION("""COMPUTED_VALUE"""),"Córdoba")</f>
        <v>Córdoba</v>
      </c>
      <c r="D631" s="30" t="str">
        <f ca="1">IFERROR(__xludf.DUMMYFUNCTION("""COMPUTED_VALUE"""),"14")</f>
        <v>14</v>
      </c>
      <c r="E631" s="30" t="str">
        <f ca="1">IFERROR(__xludf.DUMMYFUNCTION("""COMPUTED_VALUE"""),"si")</f>
        <v>si</v>
      </c>
      <c r="F631" s="29"/>
      <c r="G631" s="29"/>
      <c r="H631" s="30" t="str">
        <f ca="1">IFERROR(__xludf.DUMMYFUNCTION("""COMPUTED_VALUE"""),"activo")</f>
        <v>activo</v>
      </c>
      <c r="I631" s="29"/>
      <c r="J631" s="29"/>
      <c r="K631" s="29"/>
      <c r="L631" s="30" t="str">
        <f ca="1">IFERROR(__xludf.DUMMYFUNCTION("""COMPUTED_VALUE"""),"No")</f>
        <v>No</v>
      </c>
      <c r="M631" s="30" t="str">
        <f ca="1">IFERROR(__xludf.DUMMYFUNCTION("""COMPUTED_VALUE"""),"14098230000")</f>
        <v>14098230000</v>
      </c>
      <c r="N631" s="30" t="str">
        <f ca="1">IFERROR(__xludf.DUMMYFUNCTION("""COMPUTED_VALUE"""),"RIO CUARTO")</f>
        <v>RIO CUARTO</v>
      </c>
      <c r="O631" s="30" t="str">
        <f ca="1">IFERROR(__xludf.DUMMYFUNCTION("""COMPUTED_VALUE"""),"1498")</f>
        <v>1498</v>
      </c>
      <c r="P631" s="30" t="str">
        <f ca="1">IFERROR(__xludf.DUMMYFUNCTION("""COMPUTED_VALUE"""),"RÍO CUARTO")</f>
        <v>RÍO CUARTO</v>
      </c>
      <c r="Q631" s="30" t="str">
        <f ca="1">IFERROR(__xludf.DUMMYFUNCTION("""COMPUTED_VALUE"""),"-33.123238")</f>
        <v>-33.123238</v>
      </c>
      <c r="R631" s="30" t="str">
        <f ca="1">IFERROR(__xludf.DUMMYFUNCTION("""COMPUTED_VALUE"""),"-64.346728")</f>
        <v>-64.346728</v>
      </c>
      <c r="S631" s="30" t="str">
        <f ca="1">IFERROR(__xludf.DUMMYFUNCTION("""COMPUTED_VALUE"""),"Municipal")</f>
        <v>Municipal</v>
      </c>
      <c r="T631" s="29"/>
    </row>
    <row r="632" spans="1:20" ht="15.75" customHeight="1" x14ac:dyDescent="0.25">
      <c r="A632" s="30" t="str">
        <f ca="1">IFERROR(__xludf.DUMMYFUNCTION("""COMPUTED_VALUE"""),"50140982231949")</f>
        <v>50140982231949</v>
      </c>
      <c r="B632" s="30" t="str">
        <f ca="1">IFERROR(__xludf.DUMMYFUNCTION("""COMPUTED_VALUE"""),"CENTRO DE SALUD Nº 6")</f>
        <v>CENTRO DE SALUD Nº 6</v>
      </c>
      <c r="C632" s="30" t="str">
        <f ca="1">IFERROR(__xludf.DUMMYFUNCTION("""COMPUTED_VALUE"""),"Córdoba")</f>
        <v>Córdoba</v>
      </c>
      <c r="D632" s="30" t="str">
        <f ca="1">IFERROR(__xludf.DUMMYFUNCTION("""COMPUTED_VALUE"""),"14")</f>
        <v>14</v>
      </c>
      <c r="E632" s="30" t="str">
        <f ca="1">IFERROR(__xludf.DUMMYFUNCTION("""COMPUTED_VALUE"""),"si")</f>
        <v>si</v>
      </c>
      <c r="F632" s="29"/>
      <c r="G632" s="29"/>
      <c r="H632" s="30" t="str">
        <f ca="1">IFERROR(__xludf.DUMMYFUNCTION("""COMPUTED_VALUE"""),"activo")</f>
        <v>activo</v>
      </c>
      <c r="I632" s="29"/>
      <c r="J632" s="29"/>
      <c r="K632" s="29"/>
      <c r="L632" s="30" t="str">
        <f ca="1">IFERROR(__xludf.DUMMYFUNCTION("""COMPUTED_VALUE"""),"No")</f>
        <v>No</v>
      </c>
      <c r="M632" s="30" t="str">
        <f ca="1">IFERROR(__xludf.DUMMYFUNCTION("""COMPUTED_VALUE"""),"14098230000")</f>
        <v>14098230000</v>
      </c>
      <c r="N632" s="30" t="str">
        <f ca="1">IFERROR(__xludf.DUMMYFUNCTION("""COMPUTED_VALUE"""),"RIO CUARTO")</f>
        <v>RIO CUARTO</v>
      </c>
      <c r="O632" s="30" t="str">
        <f ca="1">IFERROR(__xludf.DUMMYFUNCTION("""COMPUTED_VALUE"""),"1498")</f>
        <v>1498</v>
      </c>
      <c r="P632" s="30" t="str">
        <f ca="1">IFERROR(__xludf.DUMMYFUNCTION("""COMPUTED_VALUE"""),"RÍO CUARTO")</f>
        <v>RÍO CUARTO</v>
      </c>
      <c r="Q632" s="30" t="str">
        <f ca="1">IFERROR(__xludf.DUMMYFUNCTION("""COMPUTED_VALUE"""),"-33.123238")</f>
        <v>-33.123238</v>
      </c>
      <c r="R632" s="30" t="str">
        <f ca="1">IFERROR(__xludf.DUMMYFUNCTION("""COMPUTED_VALUE"""),"-64.346728")</f>
        <v>-64.346728</v>
      </c>
      <c r="S632" s="30" t="str">
        <f ca="1">IFERROR(__xludf.DUMMYFUNCTION("""COMPUTED_VALUE"""),"Municipal")</f>
        <v>Municipal</v>
      </c>
      <c r="T632" s="29"/>
    </row>
    <row r="633" spans="1:20" ht="15.75" customHeight="1" x14ac:dyDescent="0.25">
      <c r="A633" s="30" t="str">
        <f ca="1">IFERROR(__xludf.DUMMYFUNCTION("""COMPUTED_VALUE"""),"50140982231951")</f>
        <v>50140982231951</v>
      </c>
      <c r="B633" s="30" t="str">
        <f ca="1">IFERROR(__xludf.DUMMYFUNCTION("""COMPUTED_VALUE"""),"CENTRO PERIFERICO N° 7")</f>
        <v>CENTRO PERIFERICO N° 7</v>
      </c>
      <c r="C633" s="30" t="str">
        <f ca="1">IFERROR(__xludf.DUMMYFUNCTION("""COMPUTED_VALUE"""),"Córdoba")</f>
        <v>Córdoba</v>
      </c>
      <c r="D633" s="30" t="str">
        <f ca="1">IFERROR(__xludf.DUMMYFUNCTION("""COMPUTED_VALUE"""),"14")</f>
        <v>14</v>
      </c>
      <c r="E633" s="30" t="str">
        <f ca="1">IFERROR(__xludf.DUMMYFUNCTION("""COMPUTED_VALUE"""),"si")</f>
        <v>si</v>
      </c>
      <c r="F633" s="29"/>
      <c r="G633" s="29"/>
      <c r="H633" s="30" t="str">
        <f ca="1">IFERROR(__xludf.DUMMYFUNCTION("""COMPUTED_VALUE"""),"activo")</f>
        <v>activo</v>
      </c>
      <c r="I633" s="29"/>
      <c r="J633" s="29"/>
      <c r="K633" s="29"/>
      <c r="L633" s="30" t="str">
        <f ca="1">IFERROR(__xludf.DUMMYFUNCTION("""COMPUTED_VALUE"""),"No")</f>
        <v>No</v>
      </c>
      <c r="M633" s="30" t="str">
        <f ca="1">IFERROR(__xludf.DUMMYFUNCTION("""COMPUTED_VALUE"""),"14098230000")</f>
        <v>14098230000</v>
      </c>
      <c r="N633" s="30" t="str">
        <f ca="1">IFERROR(__xludf.DUMMYFUNCTION("""COMPUTED_VALUE"""),"RIO CUARTO")</f>
        <v>RIO CUARTO</v>
      </c>
      <c r="O633" s="30" t="str">
        <f ca="1">IFERROR(__xludf.DUMMYFUNCTION("""COMPUTED_VALUE"""),"1498")</f>
        <v>1498</v>
      </c>
      <c r="P633" s="30" t="str">
        <f ca="1">IFERROR(__xludf.DUMMYFUNCTION("""COMPUTED_VALUE"""),"RÍO CUARTO")</f>
        <v>RÍO CUARTO</v>
      </c>
      <c r="Q633" s="30" t="str">
        <f ca="1">IFERROR(__xludf.DUMMYFUNCTION("""COMPUTED_VALUE"""),"-33.141664")</f>
        <v>-33.141664</v>
      </c>
      <c r="R633" s="30" t="str">
        <f ca="1">IFERROR(__xludf.DUMMYFUNCTION("""COMPUTED_VALUE"""),"-64.372272")</f>
        <v>-64.372272</v>
      </c>
      <c r="S633" s="30" t="str">
        <f ca="1">IFERROR(__xludf.DUMMYFUNCTION("""COMPUTED_VALUE"""),"Municipal")</f>
        <v>Municipal</v>
      </c>
      <c r="T633" s="29"/>
    </row>
    <row r="634" spans="1:20" ht="15.75" customHeight="1" x14ac:dyDescent="0.25">
      <c r="A634" s="30" t="str">
        <f ca="1">IFERROR(__xludf.DUMMYFUNCTION("""COMPUTED_VALUE"""),"50140982231935")</f>
        <v>50140982231935</v>
      </c>
      <c r="B634" s="30" t="str">
        <f ca="1">IFERROR(__xludf.DUMMYFUNCTION("""COMPUTED_VALUE"""),"CENTRO PERIFERICO Nº 8")</f>
        <v>CENTRO PERIFERICO Nº 8</v>
      </c>
      <c r="C634" s="30" t="str">
        <f ca="1">IFERROR(__xludf.DUMMYFUNCTION("""COMPUTED_VALUE"""),"Córdoba")</f>
        <v>Córdoba</v>
      </c>
      <c r="D634" s="30" t="str">
        <f ca="1">IFERROR(__xludf.DUMMYFUNCTION("""COMPUTED_VALUE"""),"14")</f>
        <v>14</v>
      </c>
      <c r="E634" s="30" t="str">
        <f ca="1">IFERROR(__xludf.DUMMYFUNCTION("""COMPUTED_VALUE"""),"si")</f>
        <v>si</v>
      </c>
      <c r="F634" s="29"/>
      <c r="G634" s="29"/>
      <c r="H634" s="30" t="str">
        <f ca="1">IFERROR(__xludf.DUMMYFUNCTION("""COMPUTED_VALUE"""),"activo")</f>
        <v>activo</v>
      </c>
      <c r="I634" s="29"/>
      <c r="J634" s="29"/>
      <c r="K634" s="29"/>
      <c r="L634" s="30" t="str">
        <f ca="1">IFERROR(__xludf.DUMMYFUNCTION("""COMPUTED_VALUE"""),"No")</f>
        <v>No</v>
      </c>
      <c r="M634" s="30" t="str">
        <f ca="1">IFERROR(__xludf.DUMMYFUNCTION("""COMPUTED_VALUE"""),"14098230000")</f>
        <v>14098230000</v>
      </c>
      <c r="N634" s="30" t="str">
        <f ca="1">IFERROR(__xludf.DUMMYFUNCTION("""COMPUTED_VALUE"""),"RIO CUARTO")</f>
        <v>RIO CUARTO</v>
      </c>
      <c r="O634" s="30" t="str">
        <f ca="1">IFERROR(__xludf.DUMMYFUNCTION("""COMPUTED_VALUE"""),"1498")</f>
        <v>1498</v>
      </c>
      <c r="P634" s="30" t="str">
        <f ca="1">IFERROR(__xludf.DUMMYFUNCTION("""COMPUTED_VALUE"""),"RÍO CUARTO")</f>
        <v>RÍO CUARTO</v>
      </c>
      <c r="Q634" s="30" t="str">
        <f ca="1">IFERROR(__xludf.DUMMYFUNCTION("""COMPUTED_VALUE"""),"-33.10757577")</f>
        <v>-33.10757577</v>
      </c>
      <c r="R634" s="30" t="str">
        <f ca="1">IFERROR(__xludf.DUMMYFUNCTION("""COMPUTED_VALUE"""),"-64.31334257")</f>
        <v>-64.31334257</v>
      </c>
      <c r="S634" s="30" t="str">
        <f ca="1">IFERROR(__xludf.DUMMYFUNCTION("""COMPUTED_VALUE"""),"Municipal")</f>
        <v>Municipal</v>
      </c>
      <c r="T634" s="29"/>
    </row>
    <row r="635" spans="1:20" ht="15.75" customHeight="1" x14ac:dyDescent="0.25">
      <c r="A635" s="30" t="str">
        <f ca="1">IFERROR(__xludf.DUMMYFUNCTION("""COMPUTED_VALUE"""),"50140982231953")</f>
        <v>50140982231953</v>
      </c>
      <c r="B635" s="30" t="str">
        <f ca="1">IFERROR(__xludf.DUMMYFUNCTION("""COMPUTED_VALUE"""),"CENTRO PERIFERICO Nº 9")</f>
        <v>CENTRO PERIFERICO Nº 9</v>
      </c>
      <c r="C635" s="30" t="str">
        <f ca="1">IFERROR(__xludf.DUMMYFUNCTION("""COMPUTED_VALUE"""),"Córdoba")</f>
        <v>Córdoba</v>
      </c>
      <c r="D635" s="30" t="str">
        <f ca="1">IFERROR(__xludf.DUMMYFUNCTION("""COMPUTED_VALUE"""),"14")</f>
        <v>14</v>
      </c>
      <c r="E635" s="30" t="str">
        <f ca="1">IFERROR(__xludf.DUMMYFUNCTION("""COMPUTED_VALUE"""),"si")</f>
        <v>si</v>
      </c>
      <c r="F635" s="29"/>
      <c r="G635" s="29"/>
      <c r="H635" s="30" t="str">
        <f ca="1">IFERROR(__xludf.DUMMYFUNCTION("""COMPUTED_VALUE"""),"activo")</f>
        <v>activo</v>
      </c>
      <c r="I635" s="29"/>
      <c r="J635" s="29"/>
      <c r="K635" s="29"/>
      <c r="L635" s="30" t="str">
        <f ca="1">IFERROR(__xludf.DUMMYFUNCTION("""COMPUTED_VALUE"""),"No")</f>
        <v>No</v>
      </c>
      <c r="M635" s="30" t="str">
        <f ca="1">IFERROR(__xludf.DUMMYFUNCTION("""COMPUTED_VALUE"""),"14098230000")</f>
        <v>14098230000</v>
      </c>
      <c r="N635" s="30" t="str">
        <f ca="1">IFERROR(__xludf.DUMMYFUNCTION("""COMPUTED_VALUE"""),"RIO CUARTO")</f>
        <v>RIO CUARTO</v>
      </c>
      <c r="O635" s="30" t="str">
        <f ca="1">IFERROR(__xludf.DUMMYFUNCTION("""COMPUTED_VALUE"""),"1498")</f>
        <v>1498</v>
      </c>
      <c r="P635" s="30" t="str">
        <f ca="1">IFERROR(__xludf.DUMMYFUNCTION("""COMPUTED_VALUE"""),"RÍO CUARTO")</f>
        <v>RÍO CUARTO</v>
      </c>
      <c r="Q635" s="30" t="str">
        <f ca="1">IFERROR(__xludf.DUMMYFUNCTION("""COMPUTED_VALUE"""),"-33.12320272")</f>
        <v>-33.12320272</v>
      </c>
      <c r="R635" s="30" t="str">
        <f ca="1">IFERROR(__xludf.DUMMYFUNCTION("""COMPUTED_VALUE"""),"-64.34668779")</f>
        <v>-64.34668779</v>
      </c>
      <c r="S635" s="30" t="str">
        <f ca="1">IFERROR(__xludf.DUMMYFUNCTION("""COMPUTED_VALUE"""),"Municipal")</f>
        <v>Municipal</v>
      </c>
      <c r="T635" s="29"/>
    </row>
    <row r="636" spans="1:20" ht="15.75" customHeight="1" x14ac:dyDescent="0.25">
      <c r="A636" s="30" t="str">
        <f ca="1">IFERROR(__xludf.DUMMYFUNCTION("""COMPUTED_VALUE"""),"50140982231698")</f>
        <v>50140982231698</v>
      </c>
      <c r="B636" s="30" t="str">
        <f ca="1">IFERROR(__xludf.DUMMYFUNCTION("""COMPUTED_VALUE"""),"CENTRO PERIFERICO Nº 11")</f>
        <v>CENTRO PERIFERICO Nº 11</v>
      </c>
      <c r="C636" s="30" t="str">
        <f ca="1">IFERROR(__xludf.DUMMYFUNCTION("""COMPUTED_VALUE"""),"Córdoba")</f>
        <v>Córdoba</v>
      </c>
      <c r="D636" s="30" t="str">
        <f ca="1">IFERROR(__xludf.DUMMYFUNCTION("""COMPUTED_VALUE"""),"14")</f>
        <v>14</v>
      </c>
      <c r="E636" s="30" t="str">
        <f ca="1">IFERROR(__xludf.DUMMYFUNCTION("""COMPUTED_VALUE"""),"si")</f>
        <v>si</v>
      </c>
      <c r="F636" s="29"/>
      <c r="G636" s="29"/>
      <c r="H636" s="30" t="str">
        <f ca="1">IFERROR(__xludf.DUMMYFUNCTION("""COMPUTED_VALUE"""),"activo")</f>
        <v>activo</v>
      </c>
      <c r="I636" s="29"/>
      <c r="J636" s="29"/>
      <c r="K636" s="29"/>
      <c r="L636" s="30" t="str">
        <f ca="1">IFERROR(__xludf.DUMMYFUNCTION("""COMPUTED_VALUE"""),"No")</f>
        <v>No</v>
      </c>
      <c r="M636" s="30" t="str">
        <f ca="1">IFERROR(__xludf.DUMMYFUNCTION("""COMPUTED_VALUE"""),"14098230000")</f>
        <v>14098230000</v>
      </c>
      <c r="N636" s="30" t="str">
        <f ca="1">IFERROR(__xludf.DUMMYFUNCTION("""COMPUTED_VALUE"""),"RIO CUARTO")</f>
        <v>RIO CUARTO</v>
      </c>
      <c r="O636" s="30" t="str">
        <f ca="1">IFERROR(__xludf.DUMMYFUNCTION("""COMPUTED_VALUE"""),"1498")</f>
        <v>1498</v>
      </c>
      <c r="P636" s="30" t="str">
        <f ca="1">IFERROR(__xludf.DUMMYFUNCTION("""COMPUTED_VALUE"""),"RÍO CUARTO")</f>
        <v>RÍO CUARTO</v>
      </c>
      <c r="Q636" s="30" t="str">
        <f ca="1">IFERROR(__xludf.DUMMYFUNCTION("""COMPUTED_VALUE"""),"-33.145936")</f>
        <v>-33.145936</v>
      </c>
      <c r="R636" s="30" t="str">
        <f ca="1">IFERROR(__xludf.DUMMYFUNCTION("""COMPUTED_VALUE"""),"-64.32768")</f>
        <v>-64.32768</v>
      </c>
      <c r="S636" s="30" t="str">
        <f ca="1">IFERROR(__xludf.DUMMYFUNCTION("""COMPUTED_VALUE"""),"Municipal")</f>
        <v>Municipal</v>
      </c>
      <c r="T636" s="29"/>
    </row>
    <row r="637" spans="1:20" ht="15.75" customHeight="1" x14ac:dyDescent="0.25">
      <c r="A637" s="30" t="str">
        <f ca="1">IFERROR(__xludf.DUMMYFUNCTION("""COMPUTED_VALUE"""),"50140982231700")</f>
        <v>50140982231700</v>
      </c>
      <c r="B637" s="30" t="str">
        <f ca="1">IFERROR(__xludf.DUMMYFUNCTION("""COMPUTED_VALUE"""),"CENTRO PERIFERICO Nº 12")</f>
        <v>CENTRO PERIFERICO Nº 12</v>
      </c>
      <c r="C637" s="30" t="str">
        <f ca="1">IFERROR(__xludf.DUMMYFUNCTION("""COMPUTED_VALUE"""),"Córdoba")</f>
        <v>Córdoba</v>
      </c>
      <c r="D637" s="30" t="str">
        <f ca="1">IFERROR(__xludf.DUMMYFUNCTION("""COMPUTED_VALUE"""),"14")</f>
        <v>14</v>
      </c>
      <c r="E637" s="30" t="str">
        <f ca="1">IFERROR(__xludf.DUMMYFUNCTION("""COMPUTED_VALUE"""),"si")</f>
        <v>si</v>
      </c>
      <c r="F637" s="29"/>
      <c r="G637" s="29"/>
      <c r="H637" s="30" t="str">
        <f ca="1">IFERROR(__xludf.DUMMYFUNCTION("""COMPUTED_VALUE"""),"activo")</f>
        <v>activo</v>
      </c>
      <c r="I637" s="29"/>
      <c r="J637" s="29"/>
      <c r="K637" s="29"/>
      <c r="L637" s="30" t="str">
        <f ca="1">IFERROR(__xludf.DUMMYFUNCTION("""COMPUTED_VALUE"""),"No")</f>
        <v>No</v>
      </c>
      <c r="M637" s="30" t="str">
        <f ca="1">IFERROR(__xludf.DUMMYFUNCTION("""COMPUTED_VALUE"""),"14098230000")</f>
        <v>14098230000</v>
      </c>
      <c r="N637" s="30" t="str">
        <f ca="1">IFERROR(__xludf.DUMMYFUNCTION("""COMPUTED_VALUE"""),"RIO CUARTO")</f>
        <v>RIO CUARTO</v>
      </c>
      <c r="O637" s="30" t="str">
        <f ca="1">IFERROR(__xludf.DUMMYFUNCTION("""COMPUTED_VALUE"""),"1498")</f>
        <v>1498</v>
      </c>
      <c r="P637" s="30" t="str">
        <f ca="1">IFERROR(__xludf.DUMMYFUNCTION("""COMPUTED_VALUE"""),"RÍO CUARTO")</f>
        <v>RÍO CUARTO</v>
      </c>
      <c r="Q637" s="30" t="str">
        <f ca="1">IFERROR(__xludf.DUMMYFUNCTION("""COMPUTED_VALUE"""),"-33.149541")</f>
        <v>-33.149541</v>
      </c>
      <c r="R637" s="30" t="str">
        <f ca="1">IFERROR(__xludf.DUMMYFUNCTION("""COMPUTED_VALUE"""),"-64.373885")</f>
        <v>-64.373885</v>
      </c>
      <c r="S637" s="30" t="str">
        <f ca="1">IFERROR(__xludf.DUMMYFUNCTION("""COMPUTED_VALUE"""),"Municipal")</f>
        <v>Municipal</v>
      </c>
      <c r="T637" s="29"/>
    </row>
    <row r="638" spans="1:20" ht="15.75" customHeight="1" x14ac:dyDescent="0.25">
      <c r="A638" s="30" t="str">
        <f ca="1">IFERROR(__xludf.DUMMYFUNCTION("""COMPUTED_VALUE"""),"50140982231955")</f>
        <v>50140982231955</v>
      </c>
      <c r="B638" s="30" t="str">
        <f ca="1">IFERROR(__xludf.DUMMYFUNCTION("""COMPUTED_VALUE"""),"CENTRO PERIFERICO Nº 16")</f>
        <v>CENTRO PERIFERICO Nº 16</v>
      </c>
      <c r="C638" s="30" t="str">
        <f ca="1">IFERROR(__xludf.DUMMYFUNCTION("""COMPUTED_VALUE"""),"Córdoba")</f>
        <v>Córdoba</v>
      </c>
      <c r="D638" s="30" t="str">
        <f ca="1">IFERROR(__xludf.DUMMYFUNCTION("""COMPUTED_VALUE"""),"14")</f>
        <v>14</v>
      </c>
      <c r="E638" s="30" t="str">
        <f ca="1">IFERROR(__xludf.DUMMYFUNCTION("""COMPUTED_VALUE"""),"si")</f>
        <v>si</v>
      </c>
      <c r="F638" s="29"/>
      <c r="G638" s="29"/>
      <c r="H638" s="30" t="str">
        <f ca="1">IFERROR(__xludf.DUMMYFUNCTION("""COMPUTED_VALUE"""),"activo")</f>
        <v>activo</v>
      </c>
      <c r="I638" s="29"/>
      <c r="J638" s="29"/>
      <c r="K638" s="29"/>
      <c r="L638" s="30" t="str">
        <f ca="1">IFERROR(__xludf.DUMMYFUNCTION("""COMPUTED_VALUE"""),"No")</f>
        <v>No</v>
      </c>
      <c r="M638" s="30" t="str">
        <f ca="1">IFERROR(__xludf.DUMMYFUNCTION("""COMPUTED_VALUE"""),"14098230000")</f>
        <v>14098230000</v>
      </c>
      <c r="N638" s="30" t="str">
        <f ca="1">IFERROR(__xludf.DUMMYFUNCTION("""COMPUTED_VALUE"""),"RIO CUARTO")</f>
        <v>RIO CUARTO</v>
      </c>
      <c r="O638" s="30" t="str">
        <f ca="1">IFERROR(__xludf.DUMMYFUNCTION("""COMPUTED_VALUE"""),"1498")</f>
        <v>1498</v>
      </c>
      <c r="P638" s="30" t="str">
        <f ca="1">IFERROR(__xludf.DUMMYFUNCTION("""COMPUTED_VALUE"""),"RÍO CUARTO")</f>
        <v>RÍO CUARTO</v>
      </c>
      <c r="Q638" s="30" t="str">
        <f ca="1">IFERROR(__xludf.DUMMYFUNCTION("""COMPUTED_VALUE"""),"-33.106742")</f>
        <v>-33.106742</v>
      </c>
      <c r="R638" s="30" t="str">
        <f ca="1">IFERROR(__xludf.DUMMYFUNCTION("""COMPUTED_VALUE"""),"-64.320037")</f>
        <v>-64.320037</v>
      </c>
      <c r="S638" s="30" t="str">
        <f ca="1">IFERROR(__xludf.DUMMYFUNCTION("""COMPUTED_VALUE"""),"Municipal")</f>
        <v>Municipal</v>
      </c>
      <c r="T638" s="29"/>
    </row>
    <row r="639" spans="1:20" ht="15.75" customHeight="1" x14ac:dyDescent="0.25">
      <c r="A639" s="30" t="str">
        <f ca="1">IFERROR(__xludf.DUMMYFUNCTION("""COMPUTED_VALUE"""),"10141052231214")</f>
        <v>10141052231214</v>
      </c>
      <c r="B639" s="30" t="str">
        <f ca="1">IFERROR(__xludf.DUMMYFUNCTION("""COMPUTED_VALUE"""),"HOSPITAL MUNICIPAL LA PARA")</f>
        <v>HOSPITAL MUNICIPAL LA PARA</v>
      </c>
      <c r="C639" s="30" t="str">
        <f ca="1">IFERROR(__xludf.DUMMYFUNCTION("""COMPUTED_VALUE"""),"Córdoba")</f>
        <v>Córdoba</v>
      </c>
      <c r="D639" s="30" t="str">
        <f ca="1">IFERROR(__xludf.DUMMYFUNCTION("""COMPUTED_VALUE"""),"14")</f>
        <v>14</v>
      </c>
      <c r="E639" s="30" t="str">
        <f ca="1">IFERROR(__xludf.DUMMYFUNCTION("""COMPUTED_VALUE"""),"")</f>
        <v/>
      </c>
      <c r="F639" s="29"/>
      <c r="G639" s="29"/>
      <c r="H639" s="30" t="str">
        <f ca="1">IFERROR(__xludf.DUMMYFUNCTION("""COMPUTED_VALUE"""),"activo")</f>
        <v>activo</v>
      </c>
      <c r="I639" s="29"/>
      <c r="J639" s="29"/>
      <c r="K639" s="29"/>
      <c r="L639" s="30" t="str">
        <f ca="1">IFERROR(__xludf.DUMMYFUNCTION("""COMPUTED_VALUE"""),"No")</f>
        <v>No</v>
      </c>
      <c r="M639" s="30" t="str">
        <f ca="1">IFERROR(__xludf.DUMMYFUNCTION("""COMPUTED_VALUE"""),"14105110000")</f>
        <v>14105110000</v>
      </c>
      <c r="N639" s="30" t="str">
        <f ca="1">IFERROR(__xludf.DUMMYFUNCTION("""COMPUTED_VALUE"""),"LA PARA")</f>
        <v>LA PARA</v>
      </c>
      <c r="O639" s="30" t="str">
        <f ca="1">IFERROR(__xludf.DUMMYFUNCTION("""COMPUTED_VALUE"""),"14105")</f>
        <v>14105</v>
      </c>
      <c r="P639" s="30" t="str">
        <f ca="1">IFERROR(__xludf.DUMMYFUNCTION("""COMPUTED_VALUE"""),"RÍO PRIMERO")</f>
        <v>RÍO PRIMERO</v>
      </c>
      <c r="Q639" s="30" t="str">
        <f ca="1">IFERROR(__xludf.DUMMYFUNCTION("""COMPUTED_VALUE"""),"-30.893444")</f>
        <v>-30.893444</v>
      </c>
      <c r="R639" s="30" t="str">
        <f ca="1">IFERROR(__xludf.DUMMYFUNCTION("""COMPUTED_VALUE"""),"-62.998132")</f>
        <v>-62.998132</v>
      </c>
      <c r="S639" s="30" t="str">
        <f ca="1">IFERROR(__xludf.DUMMYFUNCTION("""COMPUTED_VALUE"""),"Municipal")</f>
        <v>Municipal</v>
      </c>
      <c r="T639" s="29"/>
    </row>
    <row r="640" spans="1:20" ht="15.75" customHeight="1" x14ac:dyDescent="0.25">
      <c r="A640" s="30" t="str">
        <f ca="1">IFERROR(__xludf.DUMMYFUNCTION("""COMPUTED_VALUE"""),"10141192231225")</f>
        <v>10141192231225</v>
      </c>
      <c r="B640" s="30" t="str">
        <f ca="1">IFERROR(__xludf.DUMMYFUNCTION("""COMPUTED_VALUE"""),"HOSPITAL MUNICIPAL SAN ISIDRO")</f>
        <v>HOSPITAL MUNICIPAL SAN ISIDRO</v>
      </c>
      <c r="C640" s="30" t="str">
        <f ca="1">IFERROR(__xludf.DUMMYFUNCTION("""COMPUTED_VALUE"""),"Córdoba")</f>
        <v>Córdoba</v>
      </c>
      <c r="D640" s="30" t="str">
        <f ca="1">IFERROR(__xludf.DUMMYFUNCTION("""COMPUTED_VALUE"""),"14")</f>
        <v>14</v>
      </c>
      <c r="E640" s="30" t="str">
        <f ca="1">IFERROR(__xludf.DUMMYFUNCTION("""COMPUTED_VALUE"""),"")</f>
        <v/>
      </c>
      <c r="F640" s="29"/>
      <c r="G640" s="29"/>
      <c r="H640" s="30" t="str">
        <f ca="1">IFERROR(__xludf.DUMMYFUNCTION("""COMPUTED_VALUE"""),"activo")</f>
        <v>activo</v>
      </c>
      <c r="I640" s="29"/>
      <c r="J640" s="29"/>
      <c r="K640" s="29"/>
      <c r="L640" s="30" t="str">
        <f ca="1">IFERROR(__xludf.DUMMYFUNCTION("""COMPUTED_VALUE"""),"No")</f>
        <v>No</v>
      </c>
      <c r="M640" s="30" t="str">
        <f ca="1">IFERROR(__xludf.DUMMYFUNCTION("""COMPUTED_VALUE"""),"14119150000")</f>
        <v>14119150000</v>
      </c>
      <c r="N640" s="30" t="str">
        <f ca="1">IFERROR(__xludf.DUMMYFUNCTION("""COMPUTED_VALUE"""),"ONCATIVO")</f>
        <v>ONCATIVO</v>
      </c>
      <c r="O640" s="30" t="str">
        <f ca="1">IFERROR(__xludf.DUMMYFUNCTION("""COMPUTED_VALUE"""),"14119")</f>
        <v>14119</v>
      </c>
      <c r="P640" s="30" t="str">
        <f ca="1">IFERROR(__xludf.DUMMYFUNCTION("""COMPUTED_VALUE"""),"RÍO SEGUNDO")</f>
        <v>RÍO SEGUNDO</v>
      </c>
      <c r="Q640" s="30" t="str">
        <f ca="1">IFERROR(__xludf.DUMMYFUNCTION("""COMPUTED_VALUE"""),"-31.910504")</f>
        <v>-31.910504</v>
      </c>
      <c r="R640" s="30" t="str">
        <f ca="1">IFERROR(__xludf.DUMMYFUNCTION("""COMPUTED_VALUE"""),"-63.688835")</f>
        <v>-63.688835</v>
      </c>
      <c r="S640" s="30" t="str">
        <f ca="1">IFERROR(__xludf.DUMMYFUNCTION("""COMPUTED_VALUE"""),"Municipal")</f>
        <v>Municipal</v>
      </c>
      <c r="T640" s="29"/>
    </row>
    <row r="641" spans="1:20" ht="15.75" customHeight="1" x14ac:dyDescent="0.25">
      <c r="A641" s="30" t="str">
        <f ca="1">IFERROR(__xludf.DUMMYFUNCTION("""COMPUTED_VALUE"""),"50141192231403")</f>
        <v>50141192231403</v>
      </c>
      <c r="B641" s="30" t="str">
        <f ca="1">IFERROR(__xludf.DUMMYFUNCTION("""COMPUTED_VALUE"""),"CAPS LUZ DE VIDA")</f>
        <v>CAPS LUZ DE VIDA</v>
      </c>
      <c r="C641" s="30" t="str">
        <f ca="1">IFERROR(__xludf.DUMMYFUNCTION("""COMPUTED_VALUE"""),"Córdoba")</f>
        <v>Córdoba</v>
      </c>
      <c r="D641" s="30" t="str">
        <f ca="1">IFERROR(__xludf.DUMMYFUNCTION("""COMPUTED_VALUE"""),"14")</f>
        <v>14</v>
      </c>
      <c r="E641" s="30" t="str">
        <f ca="1">IFERROR(__xludf.DUMMYFUNCTION("""COMPUTED_VALUE"""),"")</f>
        <v/>
      </c>
      <c r="F641" s="29"/>
      <c r="G641" s="29"/>
      <c r="H641" s="30" t="str">
        <f ca="1">IFERROR(__xludf.DUMMYFUNCTION("""COMPUTED_VALUE"""),"activo")</f>
        <v>activo</v>
      </c>
      <c r="I641" s="29"/>
      <c r="J641" s="29"/>
      <c r="K641" s="29"/>
      <c r="L641" s="30" t="str">
        <f ca="1">IFERROR(__xludf.DUMMYFUNCTION("""COMPUTED_VALUE"""),"No")</f>
        <v>No</v>
      </c>
      <c r="M641" s="30" t="str">
        <f ca="1">IFERROR(__xludf.DUMMYFUNCTION("""COMPUTED_VALUE"""),"14119210000")</f>
        <v>14119210000</v>
      </c>
      <c r="N641" s="30" t="str">
        <f ca="1">IFERROR(__xludf.DUMMYFUNCTION("""COMPUTED_VALUE"""),"VILLA DEL ROSARIO")</f>
        <v>VILLA DEL ROSARIO</v>
      </c>
      <c r="O641" s="30" t="str">
        <f ca="1">IFERROR(__xludf.DUMMYFUNCTION("""COMPUTED_VALUE"""),"14119")</f>
        <v>14119</v>
      </c>
      <c r="P641" s="30" t="str">
        <f ca="1">IFERROR(__xludf.DUMMYFUNCTION("""COMPUTED_VALUE"""),"RÍO SEGUNDO")</f>
        <v>RÍO SEGUNDO</v>
      </c>
      <c r="Q641" s="30" t="str">
        <f ca="1">IFERROR(__xludf.DUMMYFUNCTION("""COMPUTED_VALUE"""),"-31.553879")</f>
        <v>-31.553879</v>
      </c>
      <c r="R641" s="30" t="str">
        <f ca="1">IFERROR(__xludf.DUMMYFUNCTION("""COMPUTED_VALUE"""),"-63.534235")</f>
        <v>-63.534235</v>
      </c>
      <c r="S641" s="30" t="str">
        <f ca="1">IFERROR(__xludf.DUMMYFUNCTION("""COMPUTED_VALUE"""),"Municipal")</f>
        <v>Municipal</v>
      </c>
      <c r="T641" s="29"/>
    </row>
    <row r="642" spans="1:20" ht="15.75" customHeight="1" x14ac:dyDescent="0.25">
      <c r="A642" s="30" t="str">
        <f ca="1">IFERROR(__xludf.DUMMYFUNCTION("""COMPUTED_VALUE"""),"50141402231513")</f>
        <v>50141402231513</v>
      </c>
      <c r="B642" s="30" t="str">
        <f ca="1">IFERROR(__xludf.DUMMYFUNCTION("""COMPUTED_VALUE"""),"DISPENSARIO JUAN ANTONIO FERNANDEZ")</f>
        <v>DISPENSARIO JUAN ANTONIO FERNANDEZ</v>
      </c>
      <c r="C642" s="30" t="str">
        <f ca="1">IFERROR(__xludf.DUMMYFUNCTION("""COMPUTED_VALUE"""),"Córdoba")</f>
        <v>Córdoba</v>
      </c>
      <c r="D642" s="30" t="str">
        <f ca="1">IFERROR(__xludf.DUMMYFUNCTION("""COMPUTED_VALUE"""),"14")</f>
        <v>14</v>
      </c>
      <c r="E642" s="30" t="str">
        <f ca="1">IFERROR(__xludf.DUMMYFUNCTION("""COMPUTED_VALUE"""),"")</f>
        <v/>
      </c>
      <c r="F642" s="29"/>
      <c r="G642" s="29"/>
      <c r="H642" s="30" t="str">
        <f ca="1">IFERROR(__xludf.DUMMYFUNCTION("""COMPUTED_VALUE"""),"activo")</f>
        <v>activo</v>
      </c>
      <c r="I642" s="29"/>
      <c r="J642" s="29"/>
      <c r="K642" s="29"/>
      <c r="L642" s="30" t="str">
        <f ca="1">IFERROR(__xludf.DUMMYFUNCTION("""COMPUTED_VALUE"""),"No")</f>
        <v>No</v>
      </c>
      <c r="M642" s="30" t="str">
        <f ca="1">IFERROR(__xludf.DUMMYFUNCTION("""COMPUTED_VALUE"""),"14140290000")</f>
        <v>14140290000</v>
      </c>
      <c r="N642" s="30" t="str">
        <f ca="1">IFERROR(__xludf.DUMMYFUNCTION("""COMPUTED_VALUE"""),"MIRAMAR")</f>
        <v>MIRAMAR</v>
      </c>
      <c r="O642" s="30" t="str">
        <f ca="1">IFERROR(__xludf.DUMMYFUNCTION("""COMPUTED_VALUE"""),"14140")</f>
        <v>14140</v>
      </c>
      <c r="P642" s="30" t="str">
        <f ca="1">IFERROR(__xludf.DUMMYFUNCTION("""COMPUTED_VALUE"""),"SAN JUSTO")</f>
        <v>SAN JUSTO</v>
      </c>
      <c r="Q642" s="30" t="str">
        <f ca="1">IFERROR(__xludf.DUMMYFUNCTION("""COMPUTED_VALUE"""),"-30.91467")</f>
        <v>-30.91467</v>
      </c>
      <c r="R642" s="30" t="str">
        <f ca="1">IFERROR(__xludf.DUMMYFUNCTION("""COMPUTED_VALUE"""),"-62.67628")</f>
        <v>-62.67628</v>
      </c>
      <c r="S642" s="30" t="str">
        <f ca="1">IFERROR(__xludf.DUMMYFUNCTION("""COMPUTED_VALUE"""),"Municipal")</f>
        <v>Municipal</v>
      </c>
      <c r="T642" s="29"/>
    </row>
    <row r="643" spans="1:20" ht="15.75" customHeight="1" x14ac:dyDescent="0.25">
      <c r="A643" s="30" t="str">
        <f ca="1">IFERROR(__xludf.DUMMYFUNCTION("""COMPUTED_VALUE"""),"50141822231712")</f>
        <v>50141822231712</v>
      </c>
      <c r="B643" s="30" t="str">
        <f ca="1">IFERROR(__xludf.DUMMYFUNCTION("""COMPUTED_VALUE"""),"ASISTENCIA PUBLICA DR. ARMANDO LEONELLI")</f>
        <v>ASISTENCIA PUBLICA DR. ARMANDO LEONELLI</v>
      </c>
      <c r="C643" s="30" t="str">
        <f ca="1">IFERROR(__xludf.DUMMYFUNCTION("""COMPUTED_VALUE"""),"Córdoba")</f>
        <v>Córdoba</v>
      </c>
      <c r="D643" s="30" t="str">
        <f ca="1">IFERROR(__xludf.DUMMYFUNCTION("""COMPUTED_VALUE"""),"14")</f>
        <v>14</v>
      </c>
      <c r="E643" s="30" t="str">
        <f ca="1">IFERROR(__xludf.DUMMYFUNCTION("""COMPUTED_VALUE"""),"")</f>
        <v/>
      </c>
      <c r="F643" s="29"/>
      <c r="G643" s="29"/>
      <c r="H643" s="30" t="str">
        <f ca="1">IFERROR(__xludf.DUMMYFUNCTION("""COMPUTED_VALUE"""),"activo")</f>
        <v>activo</v>
      </c>
      <c r="I643" s="29"/>
      <c r="J643" s="29"/>
      <c r="K643" s="29"/>
      <c r="L643" s="30" t="str">
        <f ca="1">IFERROR(__xludf.DUMMYFUNCTION("""COMPUTED_VALUE"""),"No")</f>
        <v>No</v>
      </c>
      <c r="M643" s="30" t="str">
        <f ca="1">IFERROR(__xludf.DUMMYFUNCTION("""COMPUTED_VALUE"""),"14182060000")</f>
        <v>14182060000</v>
      </c>
      <c r="N643" s="30" t="str">
        <f ca="1">IFERROR(__xludf.DUMMYFUNCTION("""COMPUTED_VALUE"""),"BELL VILLE")</f>
        <v>BELL VILLE</v>
      </c>
      <c r="O643" s="30" t="str">
        <f ca="1">IFERROR(__xludf.DUMMYFUNCTION("""COMPUTED_VALUE"""),"14182")</f>
        <v>14182</v>
      </c>
      <c r="P643" s="30" t="str">
        <f ca="1">IFERROR(__xludf.DUMMYFUNCTION("""COMPUTED_VALUE"""),"UNIÓN")</f>
        <v>UNIÓN</v>
      </c>
      <c r="Q643" s="30" t="str">
        <f ca="1">IFERROR(__xludf.DUMMYFUNCTION("""COMPUTED_VALUE"""),"-32.629718")</f>
        <v>-32.629718</v>
      </c>
      <c r="R643" s="30" t="str">
        <f ca="1">IFERROR(__xludf.DUMMYFUNCTION("""COMPUTED_VALUE"""),"-62.6878939")</f>
        <v>-62.6878939</v>
      </c>
      <c r="S643" s="30" t="str">
        <f ca="1">IFERROR(__xludf.DUMMYFUNCTION("""COMPUTED_VALUE"""),"Municipal")</f>
        <v>Municipal</v>
      </c>
      <c r="T643" s="29"/>
    </row>
    <row r="644" spans="1:20" ht="15.75" customHeight="1" x14ac:dyDescent="0.25">
      <c r="A644" s="30" t="str">
        <f ca="1">IFERROR(__xludf.DUMMYFUNCTION("""COMPUTED_VALUE"""),"50141822231714")</f>
        <v>50141822231714</v>
      </c>
      <c r="B644" s="30" t="str">
        <f ca="1">IFERROR(__xludf.DUMMYFUNCTION("""COMPUTED_VALUE"""),"DISPENSARIO HILARIO ASCASUBI")</f>
        <v>DISPENSARIO HILARIO ASCASUBI</v>
      </c>
      <c r="C644" s="30" t="str">
        <f ca="1">IFERROR(__xludf.DUMMYFUNCTION("""COMPUTED_VALUE"""),"Córdoba")</f>
        <v>Córdoba</v>
      </c>
      <c r="D644" s="30" t="str">
        <f ca="1">IFERROR(__xludf.DUMMYFUNCTION("""COMPUTED_VALUE"""),"14")</f>
        <v>14</v>
      </c>
      <c r="E644" s="30" t="str">
        <f ca="1">IFERROR(__xludf.DUMMYFUNCTION("""COMPUTED_VALUE"""),"")</f>
        <v/>
      </c>
      <c r="F644" s="29"/>
      <c r="G644" s="29"/>
      <c r="H644" s="30" t="str">
        <f ca="1">IFERROR(__xludf.DUMMYFUNCTION("""COMPUTED_VALUE"""),"activo")</f>
        <v>activo</v>
      </c>
      <c r="I644" s="29"/>
      <c r="J644" s="29"/>
      <c r="K644" s="29"/>
      <c r="L644" s="30" t="str">
        <f ca="1">IFERROR(__xludf.DUMMYFUNCTION("""COMPUTED_VALUE"""),"No")</f>
        <v>No</v>
      </c>
      <c r="M644" s="30" t="str">
        <f ca="1">IFERROR(__xludf.DUMMYFUNCTION("""COMPUTED_VALUE"""),"14182060000")</f>
        <v>14182060000</v>
      </c>
      <c r="N644" s="30" t="str">
        <f ca="1">IFERROR(__xludf.DUMMYFUNCTION("""COMPUTED_VALUE"""),"BELL VILLE")</f>
        <v>BELL VILLE</v>
      </c>
      <c r="O644" s="30" t="str">
        <f ca="1">IFERROR(__xludf.DUMMYFUNCTION("""COMPUTED_VALUE"""),"14182")</f>
        <v>14182</v>
      </c>
      <c r="P644" s="30" t="str">
        <f ca="1">IFERROR(__xludf.DUMMYFUNCTION("""COMPUTED_VALUE"""),"UNIÓN")</f>
        <v>UNIÓN</v>
      </c>
      <c r="Q644" s="30" t="str">
        <f ca="1">IFERROR(__xludf.DUMMYFUNCTION("""COMPUTED_VALUE"""),"-32.61624341")</f>
        <v>-32.61624341</v>
      </c>
      <c r="R644" s="30" t="str">
        <f ca="1">IFERROR(__xludf.DUMMYFUNCTION("""COMPUTED_VALUE"""),"-62.68798828")</f>
        <v>-62.68798828</v>
      </c>
      <c r="S644" s="30" t="str">
        <f ca="1">IFERROR(__xludf.DUMMYFUNCTION("""COMPUTED_VALUE"""),"Municipal")</f>
        <v>Municipal</v>
      </c>
      <c r="T644" s="29"/>
    </row>
    <row r="645" spans="1:20" ht="15.75" customHeight="1" x14ac:dyDescent="0.25">
      <c r="A645" s="30" t="str">
        <f ca="1">IFERROR(__xludf.DUMMYFUNCTION("""COMPUTED_VALUE"""),"50141822231722")</f>
        <v>50141822231722</v>
      </c>
      <c r="B645" s="30" t="str">
        <f ca="1">IFERROR(__xludf.DUMMYFUNCTION("""COMPUTED_VALUE"""),"PUESTO SANITARIO JUAN XXIII")</f>
        <v>PUESTO SANITARIO JUAN XXIII</v>
      </c>
      <c r="C645" s="30" t="str">
        <f ca="1">IFERROR(__xludf.DUMMYFUNCTION("""COMPUTED_VALUE"""),"Córdoba")</f>
        <v>Córdoba</v>
      </c>
      <c r="D645" s="30" t="str">
        <f ca="1">IFERROR(__xludf.DUMMYFUNCTION("""COMPUTED_VALUE"""),"14")</f>
        <v>14</v>
      </c>
      <c r="E645" s="30" t="str">
        <f ca="1">IFERROR(__xludf.DUMMYFUNCTION("""COMPUTED_VALUE"""),"")</f>
        <v/>
      </c>
      <c r="F645" s="29"/>
      <c r="G645" s="29"/>
      <c r="H645" s="30" t="str">
        <f ca="1">IFERROR(__xludf.DUMMYFUNCTION("""COMPUTED_VALUE"""),"activo")</f>
        <v>activo</v>
      </c>
      <c r="I645" s="29"/>
      <c r="J645" s="29"/>
      <c r="K645" s="29"/>
      <c r="L645" s="30" t="str">
        <f ca="1">IFERROR(__xludf.DUMMYFUNCTION("""COMPUTED_VALUE"""),"No")</f>
        <v>No</v>
      </c>
      <c r="M645" s="30" t="str">
        <f ca="1">IFERROR(__xludf.DUMMYFUNCTION("""COMPUTED_VALUE"""),"14182060000")</f>
        <v>14182060000</v>
      </c>
      <c r="N645" s="30" t="str">
        <f ca="1">IFERROR(__xludf.DUMMYFUNCTION("""COMPUTED_VALUE"""),"BELL VILLE")</f>
        <v>BELL VILLE</v>
      </c>
      <c r="O645" s="30" t="str">
        <f ca="1">IFERROR(__xludf.DUMMYFUNCTION("""COMPUTED_VALUE"""),"14182")</f>
        <v>14182</v>
      </c>
      <c r="P645" s="30" t="str">
        <f ca="1">IFERROR(__xludf.DUMMYFUNCTION("""COMPUTED_VALUE"""),"UNIÓN")</f>
        <v>UNIÓN</v>
      </c>
      <c r="Q645" s="30" t="str">
        <f ca="1">IFERROR(__xludf.DUMMYFUNCTION("""COMPUTED_VALUE"""),"-32.62087018")</f>
        <v>-32.62087018</v>
      </c>
      <c r="R645" s="30" t="str">
        <f ca="1">IFERROR(__xludf.DUMMYFUNCTION("""COMPUTED_VALUE"""),"-62.69760132")</f>
        <v>-62.69760132</v>
      </c>
      <c r="S645" s="30" t="str">
        <f ca="1">IFERROR(__xludf.DUMMYFUNCTION("""COMPUTED_VALUE"""),"Municipal")</f>
        <v>Municipal</v>
      </c>
      <c r="T645" s="29"/>
    </row>
    <row r="646" spans="1:20" ht="15.75" customHeight="1" x14ac:dyDescent="0.25">
      <c r="A646" s="30" t="str">
        <f ca="1">IFERROR(__xludf.DUMMYFUNCTION("""COMPUTED_VALUE"""),"50141822231724")</f>
        <v>50141822231724</v>
      </c>
      <c r="B646" s="30" t="str">
        <f ca="1">IFERROR(__xludf.DUMMYFUNCTION("""COMPUTED_VALUE"""),"PUESTO SANITARIO SANTA RITA")</f>
        <v>PUESTO SANITARIO SANTA RITA</v>
      </c>
      <c r="C646" s="30" t="str">
        <f ca="1">IFERROR(__xludf.DUMMYFUNCTION("""COMPUTED_VALUE"""),"Córdoba")</f>
        <v>Córdoba</v>
      </c>
      <c r="D646" s="30" t="str">
        <f ca="1">IFERROR(__xludf.DUMMYFUNCTION("""COMPUTED_VALUE"""),"14")</f>
        <v>14</v>
      </c>
      <c r="E646" s="30" t="str">
        <f ca="1">IFERROR(__xludf.DUMMYFUNCTION("""COMPUTED_VALUE"""),"")</f>
        <v/>
      </c>
      <c r="F646" s="29"/>
      <c r="G646" s="29"/>
      <c r="H646" s="30" t="str">
        <f ca="1">IFERROR(__xludf.DUMMYFUNCTION("""COMPUTED_VALUE"""),"activo")</f>
        <v>activo</v>
      </c>
      <c r="I646" s="29"/>
      <c r="J646" s="29"/>
      <c r="K646" s="29"/>
      <c r="L646" s="30" t="str">
        <f ca="1">IFERROR(__xludf.DUMMYFUNCTION("""COMPUTED_VALUE"""),"No")</f>
        <v>No</v>
      </c>
      <c r="M646" s="30" t="str">
        <f ca="1">IFERROR(__xludf.DUMMYFUNCTION("""COMPUTED_VALUE"""),"14182060000")</f>
        <v>14182060000</v>
      </c>
      <c r="N646" s="30" t="str">
        <f ca="1">IFERROR(__xludf.DUMMYFUNCTION("""COMPUTED_VALUE"""),"BELL VILLE")</f>
        <v>BELL VILLE</v>
      </c>
      <c r="O646" s="30" t="str">
        <f ca="1">IFERROR(__xludf.DUMMYFUNCTION("""COMPUTED_VALUE"""),"14182")</f>
        <v>14182</v>
      </c>
      <c r="P646" s="30" t="str">
        <f ca="1">IFERROR(__xludf.DUMMYFUNCTION("""COMPUTED_VALUE"""),"UNIÓN")</f>
        <v>UNIÓN</v>
      </c>
      <c r="Q646" s="30" t="str">
        <f ca="1">IFERROR(__xludf.DUMMYFUNCTION("""COMPUTED_VALUE"""),"-32.6314323")</f>
        <v>-32.6314323</v>
      </c>
      <c r="R646" s="30" t="str">
        <f ca="1">IFERROR(__xludf.DUMMYFUNCTION("""COMPUTED_VALUE"""),"-62.7032918")</f>
        <v>-62.7032918</v>
      </c>
      <c r="S646" s="30" t="str">
        <f ca="1">IFERROR(__xludf.DUMMYFUNCTION("""COMPUTED_VALUE"""),"Municipal")</f>
        <v>Municipal</v>
      </c>
      <c r="T646" s="29"/>
    </row>
    <row r="647" spans="1:20" ht="15.75" customHeight="1" x14ac:dyDescent="0.25">
      <c r="A647" s="30" t="str">
        <f ca="1">IFERROR(__xludf.DUMMYFUNCTION("""COMPUTED_VALUE"""),"10141822231166")</f>
        <v>10141822231166</v>
      </c>
      <c r="B647" s="30" t="str">
        <f ca="1">IFERROR(__xludf.DUMMYFUNCTION("""COMPUTED_VALUE"""),"CENTRO DE ATENCION PRIMARIA DR. CLAUDIO RODRIGUEZ DE MORRISON")</f>
        <v>CENTRO DE ATENCION PRIMARIA DR. CLAUDIO RODRIGUEZ DE MORRISON</v>
      </c>
      <c r="C647" s="30" t="str">
        <f ca="1">IFERROR(__xludf.DUMMYFUNCTION("""COMPUTED_VALUE"""),"Córdoba")</f>
        <v>Córdoba</v>
      </c>
      <c r="D647" s="30" t="str">
        <f ca="1">IFERROR(__xludf.DUMMYFUNCTION("""COMPUTED_VALUE"""),"14")</f>
        <v>14</v>
      </c>
      <c r="E647" s="30" t="str">
        <f ca="1">IFERROR(__xludf.DUMMYFUNCTION("""COMPUTED_VALUE"""),"")</f>
        <v/>
      </c>
      <c r="F647" s="29"/>
      <c r="G647" s="29"/>
      <c r="H647" s="30" t="str">
        <f ca="1">IFERROR(__xludf.DUMMYFUNCTION("""COMPUTED_VALUE"""),"activo")</f>
        <v>activo</v>
      </c>
      <c r="I647" s="29"/>
      <c r="J647" s="29"/>
      <c r="K647" s="29"/>
      <c r="L647" s="30" t="str">
        <f ca="1">IFERROR(__xludf.DUMMYFUNCTION("""COMPUTED_VALUE"""),"No")</f>
        <v>No</v>
      </c>
      <c r="M647" s="30" t="str">
        <f ca="1">IFERROR(__xludf.DUMMYFUNCTION("""COMPUTED_VALUE"""),"14182180000")</f>
        <v>14182180000</v>
      </c>
      <c r="N647" s="30" t="str">
        <f ca="1">IFERROR(__xludf.DUMMYFUNCTION("""COMPUTED_VALUE"""),"MORRISON")</f>
        <v>MORRISON</v>
      </c>
      <c r="O647" s="30" t="str">
        <f ca="1">IFERROR(__xludf.DUMMYFUNCTION("""COMPUTED_VALUE"""),"14182")</f>
        <v>14182</v>
      </c>
      <c r="P647" s="30" t="str">
        <f ca="1">IFERROR(__xludf.DUMMYFUNCTION("""COMPUTED_VALUE"""),"UNIÓN")</f>
        <v>UNIÓN</v>
      </c>
      <c r="Q647" s="30" t="str">
        <f ca="1">IFERROR(__xludf.DUMMYFUNCTION("""COMPUTED_VALUE"""),"-32.593149")</f>
        <v>-32.593149</v>
      </c>
      <c r="R647" s="30" t="str">
        <f ca="1">IFERROR(__xludf.DUMMYFUNCTION("""COMPUTED_VALUE"""),"-62.834866")</f>
        <v>-62.834866</v>
      </c>
      <c r="S647" s="30" t="str">
        <f ca="1">IFERROR(__xludf.DUMMYFUNCTION("""COMPUTED_VALUE"""),"Municipal")</f>
        <v>Municipal</v>
      </c>
      <c r="T647" s="29"/>
    </row>
    <row r="648" spans="1:20" ht="15.75" customHeight="1" x14ac:dyDescent="0.25">
      <c r="A648" s="30" t="str">
        <f ca="1">IFERROR(__xludf.DUMMYFUNCTION("""COMPUTED_VALUE"""),"50141822231409")</f>
        <v>50141822231409</v>
      </c>
      <c r="B648" s="30" t="str">
        <f ca="1">IFERROR(__xludf.DUMMYFUNCTION("""COMPUTED_VALUE"""),"CAPS NOETINGER")</f>
        <v>CAPS NOETINGER</v>
      </c>
      <c r="C648" s="30" t="str">
        <f ca="1">IFERROR(__xludf.DUMMYFUNCTION("""COMPUTED_VALUE"""),"Córdoba")</f>
        <v>Córdoba</v>
      </c>
      <c r="D648" s="30" t="str">
        <f ca="1">IFERROR(__xludf.DUMMYFUNCTION("""COMPUTED_VALUE"""),"14")</f>
        <v>14</v>
      </c>
      <c r="E648" s="30" t="str">
        <f ca="1">IFERROR(__xludf.DUMMYFUNCTION("""COMPUTED_VALUE"""),"")</f>
        <v/>
      </c>
      <c r="F648" s="29"/>
      <c r="G648" s="29"/>
      <c r="H648" s="30" t="str">
        <f ca="1">IFERROR(__xludf.DUMMYFUNCTION("""COMPUTED_VALUE"""),"activo")</f>
        <v>activo</v>
      </c>
      <c r="I648" s="29"/>
      <c r="J648" s="29"/>
      <c r="K648" s="29"/>
      <c r="L648" s="30" t="str">
        <f ca="1">IFERROR(__xludf.DUMMYFUNCTION("""COMPUTED_VALUE"""),"No")</f>
        <v>No</v>
      </c>
      <c r="M648" s="30" t="str">
        <f ca="1">IFERROR(__xludf.DUMMYFUNCTION("""COMPUTED_VALUE"""),"14182190000")</f>
        <v>14182190000</v>
      </c>
      <c r="N648" s="30" t="str">
        <f ca="1">IFERROR(__xludf.DUMMYFUNCTION("""COMPUTED_VALUE"""),"NOETINGER")</f>
        <v>NOETINGER</v>
      </c>
      <c r="O648" s="30" t="str">
        <f ca="1">IFERROR(__xludf.DUMMYFUNCTION("""COMPUTED_VALUE"""),"14182")</f>
        <v>14182</v>
      </c>
      <c r="P648" s="30" t="str">
        <f ca="1">IFERROR(__xludf.DUMMYFUNCTION("""COMPUTED_VALUE"""),"UNIÓN")</f>
        <v>UNIÓN</v>
      </c>
      <c r="Q648" s="30" t="str">
        <f ca="1">IFERROR(__xludf.DUMMYFUNCTION("""COMPUTED_VALUE"""),"-32.3985158")</f>
        <v>-32.3985158</v>
      </c>
      <c r="R648" s="30" t="str">
        <f ca="1">IFERROR(__xludf.DUMMYFUNCTION("""COMPUTED_VALUE"""),"-62.49023438")</f>
        <v>-62.49023438</v>
      </c>
      <c r="S648" s="30" t="str">
        <f ca="1">IFERROR(__xludf.DUMMYFUNCTION("""COMPUTED_VALUE"""),"Municipal")</f>
        <v>Municipal</v>
      </c>
      <c r="T648" s="29"/>
    </row>
    <row r="649" spans="1:20" ht="15.75" customHeight="1" x14ac:dyDescent="0.25">
      <c r="A649" s="30" t="str">
        <f ca="1">IFERROR(__xludf.DUMMYFUNCTION("""COMPUTED_VALUE"""),"10141822231220")</f>
        <v>10141822231220</v>
      </c>
      <c r="B649" s="30" t="str">
        <f ca="1">IFERROR(__xludf.DUMMYFUNCTION("""COMPUTED_VALUE"""),"CENTRO DE ATENCION PRIMARIA DE LA SALUD PASCANAS")</f>
        <v>CENTRO DE ATENCION PRIMARIA DE LA SALUD PASCANAS</v>
      </c>
      <c r="C649" s="30" t="str">
        <f ca="1">IFERROR(__xludf.DUMMYFUNCTION("""COMPUTED_VALUE"""),"Córdoba")</f>
        <v>Córdoba</v>
      </c>
      <c r="D649" s="30" t="str">
        <f ca="1">IFERROR(__xludf.DUMMYFUNCTION("""COMPUTED_VALUE"""),"14")</f>
        <v>14</v>
      </c>
      <c r="E649" s="30" t="str">
        <f ca="1">IFERROR(__xludf.DUMMYFUNCTION("""COMPUTED_VALUE"""),"")</f>
        <v/>
      </c>
      <c r="F649" s="29"/>
      <c r="G649" s="29"/>
      <c r="H649" s="30" t="str">
        <f ca="1">IFERROR(__xludf.DUMMYFUNCTION("""COMPUTED_VALUE"""),"activo")</f>
        <v>activo</v>
      </c>
      <c r="I649" s="29"/>
      <c r="J649" s="29"/>
      <c r="K649" s="29"/>
      <c r="L649" s="30" t="str">
        <f ca="1">IFERROR(__xludf.DUMMYFUNCTION("""COMPUTED_VALUE"""),"No")</f>
        <v>No</v>
      </c>
      <c r="M649" s="30" t="str">
        <f ca="1">IFERROR(__xludf.DUMMYFUNCTION("""COMPUTED_VALUE"""),"14182210000")</f>
        <v>14182210000</v>
      </c>
      <c r="N649" s="30" t="str">
        <f ca="1">IFERROR(__xludf.DUMMYFUNCTION("""COMPUTED_VALUE"""),"PASCANAS")</f>
        <v>PASCANAS</v>
      </c>
      <c r="O649" s="30" t="str">
        <f ca="1">IFERROR(__xludf.DUMMYFUNCTION("""COMPUTED_VALUE"""),"14182")</f>
        <v>14182</v>
      </c>
      <c r="P649" s="30" t="str">
        <f ca="1">IFERROR(__xludf.DUMMYFUNCTION("""COMPUTED_VALUE"""),"UNIÓN")</f>
        <v>UNIÓN</v>
      </c>
      <c r="Q649" s="30" t="str">
        <f ca="1">IFERROR(__xludf.DUMMYFUNCTION("""COMPUTED_VALUE"""),"-33.127164")</f>
        <v>-33.127164</v>
      </c>
      <c r="R649" s="30" t="str">
        <f ca="1">IFERROR(__xludf.DUMMYFUNCTION("""COMPUTED_VALUE"""),"-63.045352")</f>
        <v>-63.045352</v>
      </c>
      <c r="S649" s="30" t="str">
        <f ca="1">IFERROR(__xludf.DUMMYFUNCTION("""COMPUTED_VALUE"""),"Municipal")</f>
        <v>Municipal</v>
      </c>
      <c r="T649" s="29"/>
    </row>
    <row r="650" spans="1:20" ht="15.75" customHeight="1" x14ac:dyDescent="0.25">
      <c r="A650" s="30" t="str">
        <f ca="1">IFERROR(__xludf.DUMMYFUNCTION("""COMPUTED_VALUE"""),"50140212231503")</f>
        <v>50140212231503</v>
      </c>
      <c r="B650" s="30" t="str">
        <f ca="1">IFERROR(__xludf.DUMMYFUNCTION("""COMPUTED_VALUE"""),"DISPENSARIO COMUNAL ESTACION GENERAL PAZ")</f>
        <v>DISPENSARIO COMUNAL ESTACION GENERAL PAZ</v>
      </c>
      <c r="C650" s="30" t="str">
        <f ca="1">IFERROR(__xludf.DUMMYFUNCTION("""COMPUTED_VALUE"""),"Córdoba")</f>
        <v>Córdoba</v>
      </c>
      <c r="D650" s="30" t="str">
        <f ca="1">IFERROR(__xludf.DUMMYFUNCTION("""COMPUTED_VALUE"""),"14")</f>
        <v>14</v>
      </c>
      <c r="E650" s="30" t="str">
        <f ca="1">IFERROR(__xludf.DUMMYFUNCTION("""COMPUTED_VALUE"""),"")</f>
        <v/>
      </c>
      <c r="F650" s="29"/>
      <c r="G650" s="29"/>
      <c r="H650" s="30" t="str">
        <f ca="1">IFERROR(__xludf.DUMMYFUNCTION("""COMPUTED_VALUE"""),"activo")</f>
        <v>activo</v>
      </c>
      <c r="I650" s="29"/>
      <c r="J650" s="29"/>
      <c r="K650" s="29"/>
      <c r="L650" s="30" t="str">
        <f ca="1">IFERROR(__xludf.DUMMYFUNCTION("""COMPUTED_VALUE"""),"No")</f>
        <v>No</v>
      </c>
      <c r="M650" s="30" t="str">
        <f ca="1">IFERROR(__xludf.DUMMYFUNCTION("""COMPUTED_VALUE"""),"14021130000")</f>
        <v>14021130000</v>
      </c>
      <c r="N650" s="30" t="str">
        <f ca="1">IFERROR(__xludf.DUMMYFUNCTION("""COMPUTED_VALUE"""),"GENERAL PAZ")</f>
        <v>GENERAL PAZ</v>
      </c>
      <c r="O650" s="30" t="str">
        <f ca="1">IFERROR(__xludf.DUMMYFUNCTION("""COMPUTED_VALUE"""),"1421")</f>
        <v>1421</v>
      </c>
      <c r="P650" s="30" t="str">
        <f ca="1">IFERROR(__xludf.DUMMYFUNCTION("""COMPUTED_VALUE"""),"COLÓN")</f>
        <v>COLÓN</v>
      </c>
      <c r="Q650" s="30" t="str">
        <f ca="1">IFERROR(__xludf.DUMMYFUNCTION("""COMPUTED_VALUE"""),"-31.3078965")</f>
        <v>-31.3078965</v>
      </c>
      <c r="R650" s="30" t="str">
        <f ca="1">IFERROR(__xludf.DUMMYFUNCTION("""COMPUTED_VALUE"""),"-64.2766436")</f>
        <v>-64.2766436</v>
      </c>
      <c r="S650" s="30" t="str">
        <f ca="1">IFERROR(__xludf.DUMMYFUNCTION("""COMPUTED_VALUE"""),"Municipal")</f>
        <v>Municipal</v>
      </c>
      <c r="T650" s="29"/>
    </row>
    <row r="651" spans="1:20" ht="15.75" customHeight="1" x14ac:dyDescent="0.25">
      <c r="A651" s="30" t="str">
        <f ca="1">IFERROR(__xludf.DUMMYFUNCTION("""COMPUTED_VALUE"""),"50140212232969")</f>
        <v>50140212232969</v>
      </c>
      <c r="B651" s="30" t="str">
        <f ca="1">IFERROR(__xludf.DUMMYFUNCTION("""COMPUTED_VALUE"""),"CAPS ESTEBAN MARADONA")</f>
        <v>CAPS ESTEBAN MARADONA</v>
      </c>
      <c r="C651" s="30" t="str">
        <f ca="1">IFERROR(__xludf.DUMMYFUNCTION("""COMPUTED_VALUE"""),"Córdoba")</f>
        <v>Córdoba</v>
      </c>
      <c r="D651" s="30" t="str">
        <f ca="1">IFERROR(__xludf.DUMMYFUNCTION("""COMPUTED_VALUE"""),"14")</f>
        <v>14</v>
      </c>
      <c r="E651" s="30" t="str">
        <f ca="1">IFERROR(__xludf.DUMMYFUNCTION("""COMPUTED_VALUE"""),"")</f>
        <v/>
      </c>
      <c r="F651" s="29"/>
      <c r="G651" s="29"/>
      <c r="H651" s="30" t="str">
        <f ca="1">IFERROR(__xludf.DUMMYFUNCTION("""COMPUTED_VALUE"""),"activo")</f>
        <v>activo</v>
      </c>
      <c r="I651" s="29"/>
      <c r="J651" s="29"/>
      <c r="K651" s="29"/>
      <c r="L651" s="30" t="str">
        <f ca="1">IFERROR(__xludf.DUMMYFUNCTION("""COMPUTED_VALUE"""),"No")</f>
        <v>No</v>
      </c>
      <c r="M651" s="30" t="str">
        <f ca="1">IFERROR(__xludf.DUMMYFUNCTION("""COMPUTED_VALUE"""),"14021320001")</f>
        <v>14021320001</v>
      </c>
      <c r="N651" s="30" t="str">
        <f ca="1">IFERROR(__xludf.DUMMYFUNCTION("""COMPUTED_VALUE"""),"JUAREZ CELMAN")</f>
        <v>JUAREZ CELMAN</v>
      </c>
      <c r="O651" s="30" t="str">
        <f ca="1">IFERROR(__xludf.DUMMYFUNCTION("""COMPUTED_VALUE"""),"1421")</f>
        <v>1421</v>
      </c>
      <c r="P651" s="30" t="str">
        <f ca="1">IFERROR(__xludf.DUMMYFUNCTION("""COMPUTED_VALUE"""),"COLÓN")</f>
        <v>COLÓN</v>
      </c>
      <c r="Q651" s="30" t="str">
        <f ca="1">IFERROR(__xludf.DUMMYFUNCTION("""COMPUTED_VALUE"""),"-31.56937045")</f>
        <v>-31.56937045</v>
      </c>
      <c r="R651" s="30" t="str">
        <f ca="1">IFERROR(__xludf.DUMMYFUNCTION("""COMPUTED_VALUE"""),"-64.18345643")</f>
        <v>-64.18345643</v>
      </c>
      <c r="S651" s="30" t="str">
        <f ca="1">IFERROR(__xludf.DUMMYFUNCTION("""COMPUTED_VALUE"""),"Municipal")</f>
        <v>Municipal</v>
      </c>
      <c r="T651" s="29"/>
    </row>
    <row r="652" spans="1:20" ht="15.75" customHeight="1" x14ac:dyDescent="0.25">
      <c r="A652" s="30" t="str">
        <f ca="1">IFERROR(__xludf.DUMMYFUNCTION("""COMPUTED_VALUE"""),"50140212231442")</f>
        <v>50140212231442</v>
      </c>
      <c r="B652" s="30" t="str">
        <f ca="1">IFERROR(__xludf.DUMMYFUNCTION("""COMPUTED_VALUE"""),"CENTRO DE SALUD EVITA DE MALVINAS ARGENTINAS")</f>
        <v>CENTRO DE SALUD EVITA DE MALVINAS ARGENTINAS</v>
      </c>
      <c r="C652" s="30" t="str">
        <f ca="1">IFERROR(__xludf.DUMMYFUNCTION("""COMPUTED_VALUE"""),"Córdoba")</f>
        <v>Córdoba</v>
      </c>
      <c r="D652" s="30" t="str">
        <f ca="1">IFERROR(__xludf.DUMMYFUNCTION("""COMPUTED_VALUE"""),"14")</f>
        <v>14</v>
      </c>
      <c r="E652" s="30" t="str">
        <f ca="1">IFERROR(__xludf.DUMMYFUNCTION("""COMPUTED_VALUE"""),"")</f>
        <v/>
      </c>
      <c r="F652" s="29"/>
      <c r="G652" s="29"/>
      <c r="H652" s="30" t="str">
        <f ca="1">IFERROR(__xludf.DUMMYFUNCTION("""COMPUTED_VALUE"""),"activo")</f>
        <v>activo</v>
      </c>
      <c r="I652" s="29"/>
      <c r="J652" s="29"/>
      <c r="K652" s="29"/>
      <c r="L652" s="30" t="str">
        <f ca="1">IFERROR(__xludf.DUMMYFUNCTION("""COMPUTED_VALUE"""),"No")</f>
        <v>No</v>
      </c>
      <c r="M652" s="30" t="str">
        <f ca="1">IFERROR(__xludf.DUMMYFUNCTION("""COMPUTED_VALUE"""),"14021190000")</f>
        <v>14021190000</v>
      </c>
      <c r="N652" s="30" t="str">
        <f ca="1">IFERROR(__xludf.DUMMYFUNCTION("""COMPUTED_VALUE"""),"MALVINAS ARGENTINAS")</f>
        <v>MALVINAS ARGENTINAS</v>
      </c>
      <c r="O652" s="30" t="str">
        <f ca="1">IFERROR(__xludf.DUMMYFUNCTION("""COMPUTED_VALUE"""),"1421")</f>
        <v>1421</v>
      </c>
      <c r="P652" s="30" t="str">
        <f ca="1">IFERROR(__xludf.DUMMYFUNCTION("""COMPUTED_VALUE"""),"COLÓN")</f>
        <v>COLÓN</v>
      </c>
      <c r="Q652" s="30" t="str">
        <f ca="1">IFERROR(__xludf.DUMMYFUNCTION("""COMPUTED_VALUE"""),"-31.37884773")</f>
        <v>-31.37884773</v>
      </c>
      <c r="R652" s="30" t="str">
        <f ca="1">IFERROR(__xludf.DUMMYFUNCTION("""COMPUTED_VALUE"""),"-64.05389786")</f>
        <v>-64.05389786</v>
      </c>
      <c r="S652" s="30" t="str">
        <f ca="1">IFERROR(__xludf.DUMMYFUNCTION("""COMPUTED_VALUE"""),"Municipal")</f>
        <v>Municipal</v>
      </c>
      <c r="T652" s="29"/>
    </row>
    <row r="653" spans="1:20" ht="15.75" customHeight="1" x14ac:dyDescent="0.25">
      <c r="A653" s="30" t="str">
        <f ca="1">IFERROR(__xludf.DUMMYFUNCTION("""COMPUTED_VALUE"""),"50140212232541")</f>
        <v>50140212232541</v>
      </c>
      <c r="B653" s="30" t="str">
        <f ca="1">IFERROR(__xludf.DUMMYFUNCTION("""COMPUTED_VALUE"""),"CENTRO VECINAL SAN FRANCISCO")</f>
        <v>CENTRO VECINAL SAN FRANCISCO</v>
      </c>
      <c r="C653" s="30" t="str">
        <f ca="1">IFERROR(__xludf.DUMMYFUNCTION("""COMPUTED_VALUE"""),"Córdoba")</f>
        <v>Córdoba</v>
      </c>
      <c r="D653" s="30" t="str">
        <f ca="1">IFERROR(__xludf.DUMMYFUNCTION("""COMPUTED_VALUE"""),"14")</f>
        <v>14</v>
      </c>
      <c r="E653" s="30" t="str">
        <f ca="1">IFERROR(__xludf.DUMMYFUNCTION("""COMPUTED_VALUE"""),"")</f>
        <v/>
      </c>
      <c r="F653" s="29"/>
      <c r="G653" s="29"/>
      <c r="H653" s="30" t="str">
        <f ca="1">IFERROR(__xludf.DUMMYFUNCTION("""COMPUTED_VALUE"""),"activo")</f>
        <v>activo</v>
      </c>
      <c r="I653" s="29"/>
      <c r="J653" s="29"/>
      <c r="K653" s="29"/>
      <c r="L653" s="30" t="str">
        <f ca="1">IFERROR(__xludf.DUMMYFUNCTION("""COMPUTED_VALUE"""),"No")</f>
        <v>No</v>
      </c>
      <c r="M653" s="30" t="str">
        <f ca="1">IFERROR(__xludf.DUMMYFUNCTION("""COMPUTED_VALUE"""),"14021230000")</f>
        <v>14021230000</v>
      </c>
      <c r="N653" s="30" t="str">
        <f ca="1">IFERROR(__xludf.DUMMYFUNCTION("""COMPUTED_VALUE"""),"RIO CEBALLOS")</f>
        <v>RIO CEBALLOS</v>
      </c>
      <c r="O653" s="30" t="str">
        <f ca="1">IFERROR(__xludf.DUMMYFUNCTION("""COMPUTED_VALUE"""),"1421")</f>
        <v>1421</v>
      </c>
      <c r="P653" s="30" t="str">
        <f ca="1">IFERROR(__xludf.DUMMYFUNCTION("""COMPUTED_VALUE"""),"COLÓN")</f>
        <v>COLÓN</v>
      </c>
      <c r="Q653" s="30" t="str">
        <f ca="1">IFERROR(__xludf.DUMMYFUNCTION("""COMPUTED_VALUE"""),"-31.170677")</f>
        <v>-31.170677</v>
      </c>
      <c r="R653" s="30" t="str">
        <f ca="1">IFERROR(__xludf.DUMMYFUNCTION("""COMPUTED_VALUE"""),"-64.316183")</f>
        <v>-64.316183</v>
      </c>
      <c r="S653" s="30" t="str">
        <f ca="1">IFERROR(__xludf.DUMMYFUNCTION("""COMPUTED_VALUE"""),"Municipal")</f>
        <v>Municipal</v>
      </c>
      <c r="T653" s="29"/>
    </row>
    <row r="654" spans="1:20" ht="15.75" customHeight="1" x14ac:dyDescent="0.25">
      <c r="A654" s="30" t="str">
        <f ca="1">IFERROR(__xludf.DUMMYFUNCTION("""COMPUTED_VALUE"""),"50140212232537")</f>
        <v>50140212232537</v>
      </c>
      <c r="B654" s="30" t="str">
        <f ca="1">IFERROR(__xludf.DUMMYFUNCTION("""COMPUTED_VALUE"""),"PUESTO AMUCHASTEGUI LA QUEBRADA")</f>
        <v>PUESTO AMUCHASTEGUI LA QUEBRADA</v>
      </c>
      <c r="C654" s="30" t="str">
        <f ca="1">IFERROR(__xludf.DUMMYFUNCTION("""COMPUTED_VALUE"""),"Córdoba")</f>
        <v>Córdoba</v>
      </c>
      <c r="D654" s="30" t="str">
        <f ca="1">IFERROR(__xludf.DUMMYFUNCTION("""COMPUTED_VALUE"""),"14")</f>
        <v>14</v>
      </c>
      <c r="E654" s="30" t="str">
        <f ca="1">IFERROR(__xludf.DUMMYFUNCTION("""COMPUTED_VALUE"""),"")</f>
        <v/>
      </c>
      <c r="F654" s="29"/>
      <c r="G654" s="29"/>
      <c r="H654" s="30" t="str">
        <f ca="1">IFERROR(__xludf.DUMMYFUNCTION("""COMPUTED_VALUE"""),"activo")</f>
        <v>activo</v>
      </c>
      <c r="I654" s="29"/>
      <c r="J654" s="29"/>
      <c r="K654" s="29"/>
      <c r="L654" s="30" t="str">
        <f ca="1">IFERROR(__xludf.DUMMYFUNCTION("""COMPUTED_VALUE"""),"No")</f>
        <v>No</v>
      </c>
      <c r="M654" s="30" t="str">
        <f ca="1">IFERROR(__xludf.DUMMYFUNCTION("""COMPUTED_VALUE"""),"14021230000")</f>
        <v>14021230000</v>
      </c>
      <c r="N654" s="30" t="str">
        <f ca="1">IFERROR(__xludf.DUMMYFUNCTION("""COMPUTED_VALUE"""),"RIO CEBALLOS")</f>
        <v>RIO CEBALLOS</v>
      </c>
      <c r="O654" s="30" t="str">
        <f ca="1">IFERROR(__xludf.DUMMYFUNCTION("""COMPUTED_VALUE"""),"1421")</f>
        <v>1421</v>
      </c>
      <c r="P654" s="30" t="str">
        <f ca="1">IFERROR(__xludf.DUMMYFUNCTION("""COMPUTED_VALUE"""),"COLÓN")</f>
        <v>COLÓN</v>
      </c>
      <c r="Q654" s="30" t="str">
        <f ca="1">IFERROR(__xludf.DUMMYFUNCTION("""COMPUTED_VALUE"""),"-31.170677")</f>
        <v>-31.170677</v>
      </c>
      <c r="R654" s="30" t="str">
        <f ca="1">IFERROR(__xludf.DUMMYFUNCTION("""COMPUTED_VALUE"""),"-64.316183")</f>
        <v>-64.316183</v>
      </c>
      <c r="S654" s="30" t="str">
        <f ca="1">IFERROR(__xludf.DUMMYFUNCTION("""COMPUTED_VALUE"""),"Municipal")</f>
        <v>Municipal</v>
      </c>
      <c r="T654" s="29"/>
    </row>
    <row r="655" spans="1:20" ht="15.75" customHeight="1" x14ac:dyDescent="0.25">
      <c r="A655" s="30" t="str">
        <f ca="1">IFERROR(__xludf.DUMMYFUNCTION("""COMPUTED_VALUE"""),"50140212232535")</f>
        <v>50140212232535</v>
      </c>
      <c r="B655" s="30" t="str">
        <f ca="1">IFERROR(__xludf.DUMMYFUNCTION("""COMPUTED_VALUE"""),"CENTRO DE SALUD MUNICIPAL DR. NORCELO CARDOZO")</f>
        <v>CENTRO DE SALUD MUNICIPAL DR. NORCELO CARDOZO</v>
      </c>
      <c r="C655" s="30" t="str">
        <f ca="1">IFERROR(__xludf.DUMMYFUNCTION("""COMPUTED_VALUE"""),"Córdoba")</f>
        <v>Córdoba</v>
      </c>
      <c r="D655" s="30" t="str">
        <f ca="1">IFERROR(__xludf.DUMMYFUNCTION("""COMPUTED_VALUE"""),"14")</f>
        <v>14</v>
      </c>
      <c r="E655" s="30" t="str">
        <f ca="1">IFERROR(__xludf.DUMMYFUNCTION("""COMPUTED_VALUE"""),"")</f>
        <v/>
      </c>
      <c r="F655" s="29"/>
      <c r="G655" s="29"/>
      <c r="H655" s="30" t="str">
        <f ca="1">IFERROR(__xludf.DUMMYFUNCTION("""COMPUTED_VALUE"""),"activo")</f>
        <v>activo</v>
      </c>
      <c r="I655" s="29"/>
      <c r="J655" s="29"/>
      <c r="K655" s="29"/>
      <c r="L655" s="30" t="str">
        <f ca="1">IFERROR(__xludf.DUMMYFUNCTION("""COMPUTED_VALUE"""),"No")</f>
        <v>No</v>
      </c>
      <c r="M655" s="30" t="str">
        <f ca="1">IFERROR(__xludf.DUMMYFUNCTION("""COMPUTED_VALUE"""),"14021230000")</f>
        <v>14021230000</v>
      </c>
      <c r="N655" s="30" t="str">
        <f ca="1">IFERROR(__xludf.DUMMYFUNCTION("""COMPUTED_VALUE"""),"RIO CEBALLOS")</f>
        <v>RIO CEBALLOS</v>
      </c>
      <c r="O655" s="30" t="str">
        <f ca="1">IFERROR(__xludf.DUMMYFUNCTION("""COMPUTED_VALUE"""),"1421")</f>
        <v>1421</v>
      </c>
      <c r="P655" s="30" t="str">
        <f ca="1">IFERROR(__xludf.DUMMYFUNCTION("""COMPUTED_VALUE"""),"COLÓN")</f>
        <v>COLÓN</v>
      </c>
      <c r="Q655" s="30" t="str">
        <f ca="1">IFERROR(__xludf.DUMMYFUNCTION("""COMPUTED_VALUE"""),"-31.16492827")</f>
        <v>-31.16492827</v>
      </c>
      <c r="R655" s="30" t="str">
        <f ca="1">IFERROR(__xludf.DUMMYFUNCTION("""COMPUTED_VALUE"""),"-64.33344841")</f>
        <v>-64.33344841</v>
      </c>
      <c r="S655" s="30" t="str">
        <f ca="1">IFERROR(__xludf.DUMMYFUNCTION("""COMPUTED_VALUE"""),"Municipal")</f>
        <v>Municipal</v>
      </c>
      <c r="T655" s="29"/>
    </row>
    <row r="656" spans="1:20" ht="15.75" customHeight="1" x14ac:dyDescent="0.25">
      <c r="A656" s="30" t="str">
        <f ca="1">IFERROR(__xludf.DUMMYFUNCTION("""COMPUTED_VALUE"""),"50140212232423")</f>
        <v>50140212232423</v>
      </c>
      <c r="B656" s="30" t="str">
        <f ca="1">IFERROR(__xludf.DUMMYFUNCTION("""COMPUTED_VALUE"""),"CENTRO DE ATENCION PRIMARIA DE SALUD CABANA")</f>
        <v>CENTRO DE ATENCION PRIMARIA DE SALUD CABANA</v>
      </c>
      <c r="C656" s="30" t="str">
        <f ca="1">IFERROR(__xludf.DUMMYFUNCTION("""COMPUTED_VALUE"""),"Córdoba")</f>
        <v>Córdoba</v>
      </c>
      <c r="D656" s="30" t="str">
        <f ca="1">IFERROR(__xludf.DUMMYFUNCTION("""COMPUTED_VALUE"""),"14")</f>
        <v>14</v>
      </c>
      <c r="E656" s="30" t="str">
        <f ca="1">IFERROR(__xludf.DUMMYFUNCTION("""COMPUTED_VALUE"""),"")</f>
        <v/>
      </c>
      <c r="F656" s="29"/>
      <c r="G656" s="29"/>
      <c r="H656" s="30" t="str">
        <f ca="1">IFERROR(__xludf.DUMMYFUNCTION("""COMPUTED_VALUE"""),"activo")</f>
        <v>activo</v>
      </c>
      <c r="I656" s="29"/>
      <c r="J656" s="29"/>
      <c r="K656" s="29"/>
      <c r="L656" s="30" t="str">
        <f ca="1">IFERROR(__xludf.DUMMYFUNCTION("""COMPUTED_VALUE"""),"No")</f>
        <v>No</v>
      </c>
      <c r="M656" s="30" t="str">
        <f ca="1">IFERROR(__xludf.DUMMYFUNCTION("""COMPUTED_VALUE"""),"14021280000")</f>
        <v>14021280000</v>
      </c>
      <c r="N656" s="30" t="str">
        <f ca="1">IFERROR(__xludf.DUMMYFUNCTION("""COMPUTED_VALUE"""),"UNQUILLO")</f>
        <v>UNQUILLO</v>
      </c>
      <c r="O656" s="30" t="str">
        <f ca="1">IFERROR(__xludf.DUMMYFUNCTION("""COMPUTED_VALUE"""),"1421")</f>
        <v>1421</v>
      </c>
      <c r="P656" s="30" t="str">
        <f ca="1">IFERROR(__xludf.DUMMYFUNCTION("""COMPUTED_VALUE"""),"COLÓN")</f>
        <v>COLÓN</v>
      </c>
      <c r="Q656" s="30" t="str">
        <f ca="1">IFERROR(__xludf.DUMMYFUNCTION("""COMPUTED_VALUE"""),"-31.2297515")</f>
        <v>-31.2297515</v>
      </c>
      <c r="R656" s="30" t="str">
        <f ca="1">IFERROR(__xludf.DUMMYFUNCTION("""COMPUTED_VALUE"""),"-64.3426681")</f>
        <v>-64.3426681</v>
      </c>
      <c r="S656" s="30" t="str">
        <f ca="1">IFERROR(__xludf.DUMMYFUNCTION("""COMPUTED_VALUE"""),"Municipal")</f>
        <v>Municipal</v>
      </c>
      <c r="T656" s="29"/>
    </row>
    <row r="657" spans="1:20" ht="15.75" customHeight="1" x14ac:dyDescent="0.25">
      <c r="A657" s="30" t="str">
        <f ca="1">IFERROR(__xludf.DUMMYFUNCTION("""COMPUTED_VALUE"""),"50140212232449")</f>
        <v>50140212232449</v>
      </c>
      <c r="B657" s="30" t="str">
        <f ca="1">IFERROR(__xludf.DUMMYFUNCTION("""COMPUTED_VALUE"""),"CENTRO DE SALUD VILLA FORCHIERI")</f>
        <v>CENTRO DE SALUD VILLA FORCHIERI</v>
      </c>
      <c r="C657" s="30" t="str">
        <f ca="1">IFERROR(__xludf.DUMMYFUNCTION("""COMPUTED_VALUE"""),"Córdoba")</f>
        <v>Córdoba</v>
      </c>
      <c r="D657" s="30" t="str">
        <f ca="1">IFERROR(__xludf.DUMMYFUNCTION("""COMPUTED_VALUE"""),"14")</f>
        <v>14</v>
      </c>
      <c r="E657" s="30" t="str">
        <f ca="1">IFERROR(__xludf.DUMMYFUNCTION("""COMPUTED_VALUE"""),"")</f>
        <v/>
      </c>
      <c r="F657" s="29"/>
      <c r="G657" s="29"/>
      <c r="H657" s="30" t="str">
        <f ca="1">IFERROR(__xludf.DUMMYFUNCTION("""COMPUTED_VALUE"""),"activo")</f>
        <v>activo</v>
      </c>
      <c r="I657" s="29"/>
      <c r="J657" s="29"/>
      <c r="K657" s="29"/>
      <c r="L657" s="30" t="str">
        <f ca="1">IFERROR(__xludf.DUMMYFUNCTION("""COMPUTED_VALUE"""),"No")</f>
        <v>No</v>
      </c>
      <c r="M657" s="30" t="str">
        <f ca="1">IFERROR(__xludf.DUMMYFUNCTION("""COMPUTED_VALUE"""),"14021280000")</f>
        <v>14021280000</v>
      </c>
      <c r="N657" s="30" t="str">
        <f ca="1">IFERROR(__xludf.DUMMYFUNCTION("""COMPUTED_VALUE"""),"UNQUILLO")</f>
        <v>UNQUILLO</v>
      </c>
      <c r="O657" s="30" t="str">
        <f ca="1">IFERROR(__xludf.DUMMYFUNCTION("""COMPUTED_VALUE"""),"1421")</f>
        <v>1421</v>
      </c>
      <c r="P657" s="30" t="str">
        <f ca="1">IFERROR(__xludf.DUMMYFUNCTION("""COMPUTED_VALUE"""),"COLÓN")</f>
        <v>COLÓN</v>
      </c>
      <c r="Q657" s="30" t="str">
        <f ca="1">IFERROR(__xludf.DUMMYFUNCTION("""COMPUTED_VALUE"""),"-31.244975")</f>
        <v>-31.244975</v>
      </c>
      <c r="R657" s="30" t="str">
        <f ca="1">IFERROR(__xludf.DUMMYFUNCTION("""COMPUTED_VALUE"""),"-64.300623")</f>
        <v>-64.300623</v>
      </c>
      <c r="S657" s="30" t="str">
        <f ca="1">IFERROR(__xludf.DUMMYFUNCTION("""COMPUTED_VALUE"""),"Municipal")</f>
        <v>Municipal</v>
      </c>
      <c r="T657" s="29"/>
    </row>
    <row r="658" spans="1:20" ht="15.75" customHeight="1" x14ac:dyDescent="0.25">
      <c r="A658" s="30" t="str">
        <f ca="1">IFERROR(__xludf.DUMMYFUNCTION("""COMPUTED_VALUE"""),"50140212232440")</f>
        <v>50140212232440</v>
      </c>
      <c r="B658" s="30" t="str">
        <f ca="1">IFERROR(__xludf.DUMMYFUNCTION("""COMPUTED_VALUE"""),"CENTRO DE ATENCION PRIMARIA GOBERNADOR PIZARRO")</f>
        <v>CENTRO DE ATENCION PRIMARIA GOBERNADOR PIZARRO</v>
      </c>
      <c r="C658" s="30" t="str">
        <f ca="1">IFERROR(__xludf.DUMMYFUNCTION("""COMPUTED_VALUE"""),"Córdoba")</f>
        <v>Córdoba</v>
      </c>
      <c r="D658" s="30" t="str">
        <f ca="1">IFERROR(__xludf.DUMMYFUNCTION("""COMPUTED_VALUE"""),"14")</f>
        <v>14</v>
      </c>
      <c r="E658" s="30" t="str">
        <f ca="1">IFERROR(__xludf.DUMMYFUNCTION("""COMPUTED_VALUE"""),"")</f>
        <v/>
      </c>
      <c r="F658" s="29"/>
      <c r="G658" s="29"/>
      <c r="H658" s="30" t="str">
        <f ca="1">IFERROR(__xludf.DUMMYFUNCTION("""COMPUTED_VALUE"""),"activo")</f>
        <v>activo</v>
      </c>
      <c r="I658" s="29"/>
      <c r="J658" s="29"/>
      <c r="K658" s="29"/>
      <c r="L658" s="30" t="str">
        <f ca="1">IFERROR(__xludf.DUMMYFUNCTION("""COMPUTED_VALUE"""),"No")</f>
        <v>No</v>
      </c>
      <c r="M658" s="30" t="str">
        <f ca="1">IFERROR(__xludf.DUMMYFUNCTION("""COMPUTED_VALUE"""),"14021280000")</f>
        <v>14021280000</v>
      </c>
      <c r="N658" s="30" t="str">
        <f ca="1">IFERROR(__xludf.DUMMYFUNCTION("""COMPUTED_VALUE"""),"UNQUILLO")</f>
        <v>UNQUILLO</v>
      </c>
      <c r="O658" s="30" t="str">
        <f ca="1">IFERROR(__xludf.DUMMYFUNCTION("""COMPUTED_VALUE"""),"1421")</f>
        <v>1421</v>
      </c>
      <c r="P658" s="30" t="str">
        <f ca="1">IFERROR(__xludf.DUMMYFUNCTION("""COMPUTED_VALUE"""),"COLÓN")</f>
        <v>COLÓN</v>
      </c>
      <c r="Q658" s="30" t="str">
        <f ca="1">IFERROR(__xludf.DUMMYFUNCTION("""COMPUTED_VALUE"""),"-31.2284599")</f>
        <v>-31.2284599</v>
      </c>
      <c r="R658" s="30" t="str">
        <f ca="1">IFERROR(__xludf.DUMMYFUNCTION("""COMPUTED_VALUE"""),"-64.3033018")</f>
        <v>-64.3033018</v>
      </c>
      <c r="S658" s="30" t="str">
        <f ca="1">IFERROR(__xludf.DUMMYFUNCTION("""COMPUTED_VALUE"""),"Municipal")</f>
        <v>Municipal</v>
      </c>
      <c r="T658" s="29"/>
    </row>
    <row r="659" spans="1:20" ht="15.75" customHeight="1" x14ac:dyDescent="0.25">
      <c r="A659" s="30" t="str">
        <f ca="1">IFERROR(__xludf.DUMMYFUNCTION("""COMPUTED_VALUE"""),"10140212231168")</f>
        <v>10140212231168</v>
      </c>
      <c r="B659" s="30" t="str">
        <f ca="1">IFERROR(__xludf.DUMMYFUNCTION("""COMPUTED_VALUE"""),"HOSPITAL JOSE URRUTIA DE UNQUILLO")</f>
        <v>HOSPITAL JOSE URRUTIA DE UNQUILLO</v>
      </c>
      <c r="C659" s="30" t="str">
        <f ca="1">IFERROR(__xludf.DUMMYFUNCTION("""COMPUTED_VALUE"""),"Córdoba")</f>
        <v>Córdoba</v>
      </c>
      <c r="D659" s="30" t="str">
        <f ca="1">IFERROR(__xludf.DUMMYFUNCTION("""COMPUTED_VALUE"""),"14")</f>
        <v>14</v>
      </c>
      <c r="E659" s="30" t="str">
        <f ca="1">IFERROR(__xludf.DUMMYFUNCTION("""COMPUTED_VALUE"""),"")</f>
        <v/>
      </c>
      <c r="F659" s="29"/>
      <c r="G659" s="29"/>
      <c r="H659" s="30" t="str">
        <f ca="1">IFERROR(__xludf.DUMMYFUNCTION("""COMPUTED_VALUE"""),"activo")</f>
        <v>activo</v>
      </c>
      <c r="I659" s="29"/>
      <c r="J659" s="29"/>
      <c r="K659" s="29"/>
      <c r="L659" s="30" t="str">
        <f ca="1">IFERROR(__xludf.DUMMYFUNCTION("""COMPUTED_VALUE"""),"No")</f>
        <v>No</v>
      </c>
      <c r="M659" s="30" t="str">
        <f ca="1">IFERROR(__xludf.DUMMYFUNCTION("""COMPUTED_VALUE"""),"14021280000")</f>
        <v>14021280000</v>
      </c>
      <c r="N659" s="30" t="str">
        <f ca="1">IFERROR(__xludf.DUMMYFUNCTION("""COMPUTED_VALUE"""),"UNQUILLO")</f>
        <v>UNQUILLO</v>
      </c>
      <c r="O659" s="30" t="str">
        <f ca="1">IFERROR(__xludf.DUMMYFUNCTION("""COMPUTED_VALUE"""),"1421")</f>
        <v>1421</v>
      </c>
      <c r="P659" s="30" t="str">
        <f ca="1">IFERROR(__xludf.DUMMYFUNCTION("""COMPUTED_VALUE"""),"COLÓN")</f>
        <v>COLÓN</v>
      </c>
      <c r="Q659" s="30" t="str">
        <f ca="1">IFERROR(__xludf.DUMMYFUNCTION("""COMPUTED_VALUE"""),"-31.234349")</f>
        <v>-31.234349</v>
      </c>
      <c r="R659" s="30" t="str">
        <f ca="1">IFERROR(__xludf.DUMMYFUNCTION("""COMPUTED_VALUE"""),"-64.320479")</f>
        <v>-64.320479</v>
      </c>
      <c r="S659" s="30" t="str">
        <f ca="1">IFERROR(__xludf.DUMMYFUNCTION("""COMPUTED_VALUE"""),"Provincial")</f>
        <v>Provincial</v>
      </c>
      <c r="T659" s="29"/>
    </row>
    <row r="660" spans="1:20" ht="15.75" customHeight="1" x14ac:dyDescent="0.25">
      <c r="A660" s="30" t="str">
        <f ca="1">IFERROR(__xludf.DUMMYFUNCTION("""COMPUTED_VALUE"""),"10140912231163")</f>
        <v>10140912231163</v>
      </c>
      <c r="B660" s="30" t="str">
        <f ca="1">IFERROR(__xludf.DUMMYFUNCTION("""COMPUTED_VALUE"""),"HOSPITAL DR. ARMANDO CIMA")</f>
        <v>HOSPITAL DR. ARMANDO CIMA</v>
      </c>
      <c r="C660" s="30" t="str">
        <f ca="1">IFERROR(__xludf.DUMMYFUNCTION("""COMPUTED_VALUE"""),"Córdoba")</f>
        <v>Córdoba</v>
      </c>
      <c r="D660" s="30" t="str">
        <f ca="1">IFERROR(__xludf.DUMMYFUNCTION("""COMPUTED_VALUE"""),"14")</f>
        <v>14</v>
      </c>
      <c r="E660" s="30" t="str">
        <f ca="1">IFERROR(__xludf.DUMMYFUNCTION("""COMPUTED_VALUE"""),"")</f>
        <v/>
      </c>
      <c r="F660" s="29"/>
      <c r="G660" s="29"/>
      <c r="H660" s="30" t="str">
        <f ca="1">IFERROR(__xludf.DUMMYFUNCTION("""COMPUTED_VALUE"""),"activo")</f>
        <v>activo</v>
      </c>
      <c r="I660" s="29"/>
      <c r="J660" s="29"/>
      <c r="K660" s="29"/>
      <c r="L660" s="30" t="str">
        <f ca="1">IFERROR(__xludf.DUMMYFUNCTION("""COMPUTED_VALUE"""),"No")</f>
        <v>No</v>
      </c>
      <c r="M660" s="30" t="str">
        <f ca="1">IFERROR(__xludf.DUMMYFUNCTION("""COMPUTED_VALUE"""),"14091070000")</f>
        <v>14091070000</v>
      </c>
      <c r="N660" s="30" t="str">
        <f ca="1">IFERROR(__xludf.DUMMYFUNCTION("""COMPUTED_VALUE"""),"COSQUIN")</f>
        <v>COSQUIN</v>
      </c>
      <c r="O660" s="30" t="str">
        <f ca="1">IFERROR(__xludf.DUMMYFUNCTION("""COMPUTED_VALUE"""),"1491")</f>
        <v>1491</v>
      </c>
      <c r="P660" s="30" t="str">
        <f ca="1">IFERROR(__xludf.DUMMYFUNCTION("""COMPUTED_VALUE"""),"PUNILLA")</f>
        <v>PUNILLA</v>
      </c>
      <c r="Q660" s="30" t="str">
        <f ca="1">IFERROR(__xludf.DUMMYFUNCTION("""COMPUTED_VALUE"""),"-31.24241637")</f>
        <v>-31.24241637</v>
      </c>
      <c r="R660" s="30" t="str">
        <f ca="1">IFERROR(__xludf.DUMMYFUNCTION("""COMPUTED_VALUE"""),"-64.46369648")</f>
        <v>-64.46369648</v>
      </c>
      <c r="S660" s="30" t="str">
        <f ca="1">IFERROR(__xludf.DUMMYFUNCTION("""COMPUTED_VALUE"""),"Municipal")</f>
        <v>Municipal</v>
      </c>
      <c r="T660" s="29"/>
    </row>
    <row r="661" spans="1:20" ht="15.75" customHeight="1" x14ac:dyDescent="0.25">
      <c r="A661" s="30" t="str">
        <f ca="1">IFERROR(__xludf.DUMMYFUNCTION("""COMPUTED_VALUE"""),"50140912231972")</f>
        <v>50140912231972</v>
      </c>
      <c r="B661" s="30" t="str">
        <f ca="1">IFERROR(__xludf.DUMMYFUNCTION("""COMPUTED_VALUE"""),"CENTRO DE INTEGRACION COMUNAL EVA PERON")</f>
        <v>CENTRO DE INTEGRACION COMUNAL EVA PERON</v>
      </c>
      <c r="C661" s="30" t="str">
        <f ca="1">IFERROR(__xludf.DUMMYFUNCTION("""COMPUTED_VALUE"""),"Córdoba")</f>
        <v>Córdoba</v>
      </c>
      <c r="D661" s="30" t="str">
        <f ca="1">IFERROR(__xludf.DUMMYFUNCTION("""COMPUTED_VALUE"""),"14")</f>
        <v>14</v>
      </c>
      <c r="E661" s="30" t="str">
        <f ca="1">IFERROR(__xludf.DUMMYFUNCTION("""COMPUTED_VALUE"""),"")</f>
        <v/>
      </c>
      <c r="F661" s="29"/>
      <c r="G661" s="29"/>
      <c r="H661" s="30" t="str">
        <f ca="1">IFERROR(__xludf.DUMMYFUNCTION("""COMPUTED_VALUE"""),"activo")</f>
        <v>activo</v>
      </c>
      <c r="I661" s="29"/>
      <c r="J661" s="29"/>
      <c r="K661" s="29"/>
      <c r="L661" s="30" t="str">
        <f ca="1">IFERROR(__xludf.DUMMYFUNCTION("""COMPUTED_VALUE"""),"No")</f>
        <v>No</v>
      </c>
      <c r="M661" s="30" t="str">
        <f ca="1">IFERROR(__xludf.DUMMYFUNCTION("""COMPUTED_VALUE"""),"14091070000")</f>
        <v>14091070000</v>
      </c>
      <c r="N661" s="30" t="str">
        <f ca="1">IFERROR(__xludf.DUMMYFUNCTION("""COMPUTED_VALUE"""),"COSQUIN")</f>
        <v>COSQUIN</v>
      </c>
      <c r="O661" s="30" t="str">
        <f ca="1">IFERROR(__xludf.DUMMYFUNCTION("""COMPUTED_VALUE"""),"1491")</f>
        <v>1491</v>
      </c>
      <c r="P661" s="30" t="str">
        <f ca="1">IFERROR(__xludf.DUMMYFUNCTION("""COMPUTED_VALUE"""),"PUNILLA")</f>
        <v>PUNILLA</v>
      </c>
      <c r="Q661" s="30" t="str">
        <f ca="1">IFERROR(__xludf.DUMMYFUNCTION("""COMPUTED_VALUE"""),"-31.238244")</f>
        <v>-31.238244</v>
      </c>
      <c r="R661" s="30" t="str">
        <f ca="1">IFERROR(__xludf.DUMMYFUNCTION("""COMPUTED_VALUE"""),"-64.465768")</f>
        <v>-64.465768</v>
      </c>
      <c r="S661" s="30" t="str">
        <f ca="1">IFERROR(__xludf.DUMMYFUNCTION("""COMPUTED_VALUE"""),"Municipal")</f>
        <v>Municipal</v>
      </c>
      <c r="T661" s="29"/>
    </row>
    <row r="662" spans="1:20" ht="15.75" customHeight="1" x14ac:dyDescent="0.25">
      <c r="A662" s="30" t="str">
        <f ca="1">IFERROR(__xludf.DUMMYFUNCTION("""COMPUTED_VALUE"""),"50141472231545")</f>
        <v>50141472231545</v>
      </c>
      <c r="B662" s="30" t="str">
        <f ca="1">IFERROR(__xludf.DUMMYFUNCTION("""COMPUTED_VALUE"""),"DISPENSARIO MUNICIPAL Nº 1 BARRIO VILLA OVIEDO")</f>
        <v>DISPENSARIO MUNICIPAL Nº 1 BARRIO VILLA OVIEDO</v>
      </c>
      <c r="C662" s="30" t="str">
        <f ca="1">IFERROR(__xludf.DUMMYFUNCTION("""COMPUTED_VALUE"""),"Córdoba")</f>
        <v>Córdoba</v>
      </c>
      <c r="D662" s="30" t="str">
        <f ca="1">IFERROR(__xludf.DUMMYFUNCTION("""COMPUTED_VALUE"""),"14")</f>
        <v>14</v>
      </c>
      <c r="E662" s="30" t="str">
        <f ca="1">IFERROR(__xludf.DUMMYFUNCTION("""COMPUTED_VALUE"""),"")</f>
        <v/>
      </c>
      <c r="F662" s="29"/>
      <c r="G662" s="29"/>
      <c r="H662" s="30" t="str">
        <f ca="1">IFERROR(__xludf.DUMMYFUNCTION("""COMPUTED_VALUE"""),"activo")</f>
        <v>activo</v>
      </c>
      <c r="I662" s="30" t="str">
        <f ca="1">IFERROR(__xludf.DUMMYFUNCTION("""COMPUTED_VALUE"""),"no coincide el nombre (alta gracia 03)")</f>
        <v>no coincide el nombre (alta gracia 03)</v>
      </c>
      <c r="J662" s="29"/>
      <c r="K662" s="29"/>
      <c r="L662" s="30" t="str">
        <f ca="1">IFERROR(__xludf.DUMMYFUNCTION("""COMPUTED_VALUE"""),"No")</f>
        <v>No</v>
      </c>
      <c r="M662" s="30" t="str">
        <f ca="1">IFERROR(__xludf.DUMMYFUNCTION("""COMPUTED_VALUE"""),"14147010000")</f>
        <v>14147010000</v>
      </c>
      <c r="N662" s="30" t="str">
        <f ca="1">IFERROR(__xludf.DUMMYFUNCTION("""COMPUTED_VALUE"""),"ALTA GRACIA")</f>
        <v>ALTA GRACIA</v>
      </c>
      <c r="O662" s="30" t="str">
        <f ca="1">IFERROR(__xludf.DUMMYFUNCTION("""COMPUTED_VALUE"""),"14147")</f>
        <v>14147</v>
      </c>
      <c r="P662" s="30" t="str">
        <f ca="1">IFERROR(__xludf.DUMMYFUNCTION("""COMPUTED_VALUE"""),"SANTA MARÍA")</f>
        <v>SANTA MARÍA</v>
      </c>
      <c r="Q662" s="30" t="str">
        <f ca="1">IFERROR(__xludf.DUMMYFUNCTION("""COMPUTED_VALUE"""),"-31.661486")</f>
        <v>-31.661486</v>
      </c>
      <c r="R662" s="30" t="str">
        <f ca="1">IFERROR(__xludf.DUMMYFUNCTION("""COMPUTED_VALUE"""),"-64.4314829")</f>
        <v>-64.4314829</v>
      </c>
      <c r="S662" s="30" t="str">
        <f ca="1">IFERROR(__xludf.DUMMYFUNCTION("""COMPUTED_VALUE"""),"Municipal")</f>
        <v>Municipal</v>
      </c>
      <c r="T662" s="29"/>
    </row>
    <row r="663" spans="1:20" ht="15.75" customHeight="1" x14ac:dyDescent="0.25">
      <c r="A663" s="30" t="str">
        <f ca="1">IFERROR(__xludf.DUMMYFUNCTION("""COMPUTED_VALUE"""),"50140212231563")</f>
        <v>50140212231563</v>
      </c>
      <c r="B663" s="30" t="str">
        <f ca="1">IFERROR(__xludf.DUMMYFUNCTION("""COMPUTED_VALUE"""),"CENTRO DE ATENCION PRIMARIA DE LA SALUD PBRO. SANTIAGO KUZMAN")</f>
        <v>CENTRO DE ATENCION PRIMARIA DE LA SALUD PBRO. SANTIAGO KUZMAN</v>
      </c>
      <c r="C663" s="30" t="str">
        <f ca="1">IFERROR(__xludf.DUMMYFUNCTION("""COMPUTED_VALUE"""),"Córdoba")</f>
        <v>Córdoba</v>
      </c>
      <c r="D663" s="30" t="str">
        <f ca="1">IFERROR(__xludf.DUMMYFUNCTION("""COMPUTED_VALUE"""),"14")</f>
        <v>14</v>
      </c>
      <c r="E663" s="30" t="str">
        <f ca="1">IFERROR(__xludf.DUMMYFUNCTION("""COMPUTED_VALUE"""),"")</f>
        <v/>
      </c>
      <c r="F663" s="29"/>
      <c r="G663" s="29"/>
      <c r="H663" s="30" t="str">
        <f ca="1">IFERROR(__xludf.DUMMYFUNCTION("""COMPUTED_VALUE"""),"activo")</f>
        <v>activo</v>
      </c>
      <c r="I663" s="29"/>
      <c r="J663" s="29"/>
      <c r="K663" s="29"/>
      <c r="L663" s="30" t="str">
        <f ca="1">IFERROR(__xludf.DUMMYFUNCTION("""COMPUTED_VALUE"""),"No")</f>
        <v>No</v>
      </c>
      <c r="M663" s="30" t="str">
        <f ca="1">IFERROR(__xludf.DUMMYFUNCTION("""COMPUTED_VALUE"""),"14021250001")</f>
        <v>14021250001</v>
      </c>
      <c r="N663" s="30" t="str">
        <f ca="1">IFERROR(__xludf.DUMMYFUNCTION("""COMPUTED_VALUE"""),"EL PUEBLITO")</f>
        <v>EL PUEBLITO</v>
      </c>
      <c r="O663" s="30" t="str">
        <f ca="1">IFERROR(__xludf.DUMMYFUNCTION("""COMPUTED_VALUE"""),"1421")</f>
        <v>1421</v>
      </c>
      <c r="P663" s="30" t="str">
        <f ca="1">IFERROR(__xludf.DUMMYFUNCTION("""COMPUTED_VALUE"""),"COLÓN")</f>
        <v>COLÓN</v>
      </c>
      <c r="Q663" s="30" t="str">
        <f ca="1">IFERROR(__xludf.DUMMYFUNCTION("""COMPUTED_VALUE"""),"-31.14983438")</f>
        <v>-31.14983438</v>
      </c>
      <c r="R663" s="30" t="str">
        <f ca="1">IFERROR(__xludf.DUMMYFUNCTION("""COMPUTED_VALUE"""),"-64.31658268")</f>
        <v>-64.31658268</v>
      </c>
      <c r="S663" s="30" t="str">
        <f ca="1">IFERROR(__xludf.DUMMYFUNCTION("""COMPUTED_VALUE"""),"Municipal")</f>
        <v>Municipal</v>
      </c>
      <c r="T663" s="29"/>
    </row>
    <row r="664" spans="1:20" ht="15.75" customHeight="1" x14ac:dyDescent="0.25">
      <c r="A664" s="30" t="str">
        <f ca="1">IFERROR(__xludf.DUMMYFUNCTION("""COMPUTED_VALUE"""),"50140212231393")</f>
        <v>50140212231393</v>
      </c>
      <c r="B664" s="30" t="str">
        <f ca="1">IFERROR(__xludf.DUMMYFUNCTION("""COMPUTED_VALUE"""),"CAPS DR. OSTROVSKY")</f>
        <v>CAPS DR. OSTROVSKY</v>
      </c>
      <c r="C664" s="30" t="str">
        <f ca="1">IFERROR(__xludf.DUMMYFUNCTION("""COMPUTED_VALUE"""),"Córdoba")</f>
        <v>Córdoba</v>
      </c>
      <c r="D664" s="30" t="str">
        <f ca="1">IFERROR(__xludf.DUMMYFUNCTION("""COMPUTED_VALUE"""),"14")</f>
        <v>14</v>
      </c>
      <c r="E664" s="30" t="str">
        <f ca="1">IFERROR(__xludf.DUMMYFUNCTION("""COMPUTED_VALUE"""),"si")</f>
        <v>si</v>
      </c>
      <c r="F664" s="29"/>
      <c r="G664" s="29"/>
      <c r="H664" s="30" t="str">
        <f ca="1">IFERROR(__xludf.DUMMYFUNCTION("""COMPUTED_VALUE"""),"activo")</f>
        <v>activo</v>
      </c>
      <c r="I664" s="29"/>
      <c r="J664" s="29"/>
      <c r="K664" s="29"/>
      <c r="L664" s="30" t="str">
        <f ca="1">IFERROR(__xludf.DUMMYFUNCTION("""COMPUTED_VALUE"""),"No")</f>
        <v>No</v>
      </c>
      <c r="M664" s="30" t="str">
        <f ca="1">IFERROR(__xludf.DUMMYFUNCTION("""COMPUTED_VALUE"""),"14021250")</f>
        <v>14021250</v>
      </c>
      <c r="N664" s="30" t="str">
        <f ca="1">IFERROR(__xludf.DUMMYFUNCTION("""COMPUTED_VALUE"""),"SALSIPUEDES (SALSIPUEDES)")</f>
        <v>SALSIPUEDES (SALSIPUEDES)</v>
      </c>
      <c r="O664" s="30" t="str">
        <f ca="1">IFERROR(__xludf.DUMMYFUNCTION("""COMPUTED_VALUE"""),"1421")</f>
        <v>1421</v>
      </c>
      <c r="P664" s="30" t="str">
        <f ca="1">IFERROR(__xludf.DUMMYFUNCTION("""COMPUTED_VALUE"""),"COLÓN")</f>
        <v>COLÓN</v>
      </c>
      <c r="Q664" s="30" t="str">
        <f ca="1">IFERROR(__xludf.DUMMYFUNCTION("""COMPUTED_VALUE"""),"-31.15082603")</f>
        <v>-31.15082603</v>
      </c>
      <c r="R664" s="30" t="str">
        <f ca="1">IFERROR(__xludf.DUMMYFUNCTION("""COMPUTED_VALUE"""),"-64.31688309")</f>
        <v>-64.31688309</v>
      </c>
      <c r="S664" s="30" t="str">
        <f ca="1">IFERROR(__xludf.DUMMYFUNCTION("""COMPUTED_VALUE"""),"Municipal")</f>
        <v>Municipal</v>
      </c>
      <c r="T664" s="29"/>
    </row>
    <row r="665" spans="1:20" ht="15.75" customHeight="1" x14ac:dyDescent="0.25">
      <c r="A665" s="30" t="str">
        <f ca="1">IFERROR(__xludf.DUMMYFUNCTION("""COMPUTED_VALUE"""),"50141472232241")</f>
        <v>50141472232241</v>
      </c>
      <c r="B665" s="30" t="str">
        <f ca="1">IFERROR(__xludf.DUMMYFUNCTION("""COMPUTED_VALUE"""),"CENTRO PERIFERICO SAN NICOLAS")</f>
        <v>CENTRO PERIFERICO SAN NICOLAS</v>
      </c>
      <c r="C665" s="30" t="str">
        <f ca="1">IFERROR(__xludf.DUMMYFUNCTION("""COMPUTED_VALUE"""),"Córdoba")</f>
        <v>Córdoba</v>
      </c>
      <c r="D665" s="30" t="str">
        <f ca="1">IFERROR(__xludf.DUMMYFUNCTION("""COMPUTED_VALUE"""),"14")</f>
        <v>14</v>
      </c>
      <c r="E665" s="30" t="str">
        <f ca="1">IFERROR(__xludf.DUMMYFUNCTION("""COMPUTED_VALUE"""),"")</f>
        <v/>
      </c>
      <c r="F665" s="29"/>
      <c r="G665" s="29"/>
      <c r="H665" s="30" t="str">
        <f ca="1">IFERROR(__xludf.DUMMYFUNCTION("""COMPUTED_VALUE"""),"activo")</f>
        <v>activo</v>
      </c>
      <c r="I665" s="29"/>
      <c r="J665" s="29"/>
      <c r="K665" s="29"/>
      <c r="L665" s="30" t="str">
        <f ca="1">IFERROR(__xludf.DUMMYFUNCTION("""COMPUTED_VALUE"""),"No")</f>
        <v>No</v>
      </c>
      <c r="M665" s="30" t="str">
        <f ca="1">IFERROR(__xludf.DUMMYFUNCTION("""COMPUTED_VALUE"""),"14147210000")</f>
        <v>14147210000</v>
      </c>
      <c r="N665" s="30" t="str">
        <f ca="1">IFERROR(__xludf.DUMMYFUNCTION("""COMPUTED_VALUE"""),"MALAGUEÑO")</f>
        <v>MALAGUEÑO</v>
      </c>
      <c r="O665" s="30" t="str">
        <f ca="1">IFERROR(__xludf.DUMMYFUNCTION("""COMPUTED_VALUE"""),"14147")</f>
        <v>14147</v>
      </c>
      <c r="P665" s="30" t="str">
        <f ca="1">IFERROR(__xludf.DUMMYFUNCTION("""COMPUTED_VALUE"""),"SANTA MARÍA")</f>
        <v>SANTA MARÍA</v>
      </c>
      <c r="Q665" s="30" t="str">
        <f ca="1">IFERROR(__xludf.DUMMYFUNCTION("""COMPUTED_VALUE"""),"-31.462275")</f>
        <v>-31.462275</v>
      </c>
      <c r="R665" s="30" t="str">
        <f ca="1">IFERROR(__xludf.DUMMYFUNCTION("""COMPUTED_VALUE"""),"-64.358088")</f>
        <v>-64.358088</v>
      </c>
      <c r="S665" s="30" t="str">
        <f ca="1">IFERROR(__xludf.DUMMYFUNCTION("""COMPUTED_VALUE"""),"Municipal")</f>
        <v>Municipal</v>
      </c>
      <c r="T665" s="29"/>
    </row>
    <row r="666" spans="1:20" ht="15.75" customHeight="1" x14ac:dyDescent="0.25">
      <c r="A666" s="30" t="str">
        <f ca="1">IFERROR(__xludf.DUMMYFUNCTION("""COMPUTED_VALUE"""),"10141472231218")</f>
        <v>10141472231218</v>
      </c>
      <c r="B666" s="30" t="str">
        <f ca="1">IFERROR(__xludf.DUMMYFUNCTION("""COMPUTED_VALUE"""),"HOSPITAL MUNICIPAL NUESTRA SEÑORA DE LAS NIEVAS DE MALAGUEÑO")</f>
        <v>HOSPITAL MUNICIPAL NUESTRA SEÑORA DE LAS NIEVAS DE MALAGUEÑO</v>
      </c>
      <c r="C666" s="30" t="str">
        <f ca="1">IFERROR(__xludf.DUMMYFUNCTION("""COMPUTED_VALUE"""),"Córdoba")</f>
        <v>Córdoba</v>
      </c>
      <c r="D666" s="30" t="str">
        <f ca="1">IFERROR(__xludf.DUMMYFUNCTION("""COMPUTED_VALUE"""),"14")</f>
        <v>14</v>
      </c>
      <c r="E666" s="30" t="str">
        <f ca="1">IFERROR(__xludf.DUMMYFUNCTION("""COMPUTED_VALUE"""),"")</f>
        <v/>
      </c>
      <c r="F666" s="29"/>
      <c r="G666" s="29"/>
      <c r="H666" s="30" t="str">
        <f ca="1">IFERROR(__xludf.DUMMYFUNCTION("""COMPUTED_VALUE"""),"activo")</f>
        <v>activo</v>
      </c>
      <c r="I666" s="29"/>
      <c r="J666" s="29"/>
      <c r="K666" s="29"/>
      <c r="L666" s="30" t="str">
        <f ca="1">IFERROR(__xludf.DUMMYFUNCTION("""COMPUTED_VALUE"""),"No")</f>
        <v>No</v>
      </c>
      <c r="M666" s="30" t="str">
        <f ca="1">IFERROR(__xludf.DUMMYFUNCTION("""COMPUTED_VALUE"""),"14147210000")</f>
        <v>14147210000</v>
      </c>
      <c r="N666" s="30" t="str">
        <f ca="1">IFERROR(__xludf.DUMMYFUNCTION("""COMPUTED_VALUE"""),"MALAGUEÑO")</f>
        <v>MALAGUEÑO</v>
      </c>
      <c r="O666" s="30" t="str">
        <f ca="1">IFERROR(__xludf.DUMMYFUNCTION("""COMPUTED_VALUE"""),"14147")</f>
        <v>14147</v>
      </c>
      <c r="P666" s="30" t="str">
        <f ca="1">IFERROR(__xludf.DUMMYFUNCTION("""COMPUTED_VALUE"""),"SANTA MARÍA")</f>
        <v>SANTA MARÍA</v>
      </c>
      <c r="Q666" s="30" t="str">
        <f ca="1">IFERROR(__xludf.DUMMYFUNCTION("""COMPUTED_VALUE"""),"-31.82529868")</f>
        <v>-31.82529868</v>
      </c>
      <c r="R666" s="30" t="str">
        <f ca="1">IFERROR(__xludf.DUMMYFUNCTION("""COMPUTED_VALUE"""),"-64.4443363")</f>
        <v>-64.4443363</v>
      </c>
      <c r="S666" s="30" t="str">
        <f ca="1">IFERROR(__xludf.DUMMYFUNCTION("""COMPUTED_VALUE"""),"Municipal")</f>
        <v>Municipal</v>
      </c>
      <c r="T666" s="29"/>
    </row>
    <row r="667" spans="1:20" ht="15.75" customHeight="1" x14ac:dyDescent="0.25">
      <c r="A667" s="30" t="str">
        <f ca="1">IFERROR(__xludf.DUMMYFUNCTION("""COMPUTED_VALUE"""),"50141612231462")</f>
        <v>50141612231462</v>
      </c>
      <c r="B667" s="30" t="str">
        <f ca="1">IFERROR(__xludf.DUMMYFUNCTION("""COMPUTED_VALUE"""),"CENTRO DE SALUD Nº 3 SAN CAYETANO")</f>
        <v>CENTRO DE SALUD Nº 3 SAN CAYETANO</v>
      </c>
      <c r="C667" s="30" t="str">
        <f ca="1">IFERROR(__xludf.DUMMYFUNCTION("""COMPUTED_VALUE"""),"Córdoba")</f>
        <v>Córdoba</v>
      </c>
      <c r="D667" s="30" t="str">
        <f ca="1">IFERROR(__xludf.DUMMYFUNCTION("""COMPUTED_VALUE"""),"14")</f>
        <v>14</v>
      </c>
      <c r="E667" s="30" t="str">
        <f ca="1">IFERROR(__xludf.DUMMYFUNCTION("""COMPUTED_VALUE"""),"")</f>
        <v/>
      </c>
      <c r="F667" s="29"/>
      <c r="G667" s="29"/>
      <c r="H667" s="30" t="str">
        <f ca="1">IFERROR(__xludf.DUMMYFUNCTION("""COMPUTED_VALUE"""),"activo")</f>
        <v>activo</v>
      </c>
      <c r="I667" s="29"/>
      <c r="J667" s="29"/>
      <c r="K667" s="29"/>
      <c r="L667" s="30" t="str">
        <f ca="1">IFERROR(__xludf.DUMMYFUNCTION("""COMPUTED_VALUE"""),"No")</f>
        <v>No</v>
      </c>
      <c r="M667" s="30" t="str">
        <f ca="1">IFERROR(__xludf.DUMMYFUNCTION("""COMPUTED_VALUE"""),"14161110000")</f>
        <v>14161110000</v>
      </c>
      <c r="N667" s="30" t="str">
        <f ca="1">IFERROR(__xludf.DUMMYFUNCTION("""COMPUTED_VALUE"""),"OLIVA")</f>
        <v>OLIVA</v>
      </c>
      <c r="O667" s="30" t="str">
        <f ca="1">IFERROR(__xludf.DUMMYFUNCTION("""COMPUTED_VALUE"""),"14161")</f>
        <v>14161</v>
      </c>
      <c r="P667" s="30" t="str">
        <f ca="1">IFERROR(__xludf.DUMMYFUNCTION("""COMPUTED_VALUE"""),"TERCERO ARRIBA")</f>
        <v>TERCERO ARRIBA</v>
      </c>
      <c r="Q667" s="30" t="str">
        <f ca="1">IFERROR(__xludf.DUMMYFUNCTION("""COMPUTED_VALUE"""),"-32.033781")</f>
        <v>-32.033781</v>
      </c>
      <c r="R667" s="30" t="str">
        <f ca="1">IFERROR(__xludf.DUMMYFUNCTION("""COMPUTED_VALUE"""),"-63.572963")</f>
        <v>-63.572963</v>
      </c>
      <c r="S667" s="30" t="str">
        <f ca="1">IFERROR(__xludf.DUMMYFUNCTION("""COMPUTED_VALUE"""),"Municipal")</f>
        <v>Municipal</v>
      </c>
      <c r="T667" s="29"/>
    </row>
    <row r="668" spans="1:20" ht="15.75" customHeight="1" x14ac:dyDescent="0.25">
      <c r="A668" s="30" t="str">
        <f ca="1">IFERROR(__xludf.DUMMYFUNCTION("""COMPUTED_VALUE"""),"50140142233669")</f>
        <v>50140142233669</v>
      </c>
      <c r="B668" s="30" t="str">
        <f ca="1">IFERROR(__xludf.DUMMYFUNCTION("""COMPUTED_VALUE"""),"CENTRO DE SALUD N° 34 LOS NOGALES - BARRIO 9 DE JULIO")</f>
        <v>CENTRO DE SALUD N° 34 LOS NOGALES - BARRIO 9 DE JULIO</v>
      </c>
      <c r="C668" s="30" t="str">
        <f ca="1">IFERROR(__xludf.DUMMYFUNCTION("""COMPUTED_VALUE"""),"Córdoba")</f>
        <v>Córdoba</v>
      </c>
      <c r="D668" s="30" t="str">
        <f ca="1">IFERROR(__xludf.DUMMYFUNCTION("""COMPUTED_VALUE"""),"14")</f>
        <v>14</v>
      </c>
      <c r="E668" s="30" t="str">
        <f ca="1">IFERROR(__xludf.DUMMYFUNCTION("""COMPUTED_VALUE"""),"si")</f>
        <v>si</v>
      </c>
      <c r="F668" s="29"/>
      <c r="G668" s="29"/>
      <c r="H668" s="30" t="str">
        <f ca="1">IFERROR(__xludf.DUMMYFUNCTION("""COMPUTED_VALUE"""),"activo")</f>
        <v>activo</v>
      </c>
      <c r="I668" s="29"/>
      <c r="J668" s="29"/>
      <c r="K668" s="29"/>
      <c r="L668" s="30" t="str">
        <f ca="1">IFERROR(__xludf.DUMMYFUNCTION("""COMPUTED_VALUE"""),"No")</f>
        <v>No</v>
      </c>
      <c r="M668" s="30" t="str">
        <f ca="1">IFERROR(__xludf.DUMMYFUNCTION("""COMPUTED_VALUE"""),"14014010000")</f>
        <v>14014010000</v>
      </c>
      <c r="N668" s="30" t="str">
        <f ca="1">IFERROR(__xludf.DUMMYFUNCTION("""COMPUTED_VALUE"""),"CORDOBA")</f>
        <v>CORDOBA</v>
      </c>
      <c r="O668" s="30" t="str">
        <f ca="1">IFERROR(__xludf.DUMMYFUNCTION("""COMPUTED_VALUE"""),"1414")</f>
        <v>1414</v>
      </c>
      <c r="P668" s="30" t="str">
        <f ca="1">IFERROR(__xludf.DUMMYFUNCTION("""COMPUTED_VALUE"""),"CAPITAL")</f>
        <v>CAPITAL</v>
      </c>
      <c r="Q668" s="30" t="str">
        <f ca="1">IFERROR(__xludf.DUMMYFUNCTION("""COMPUTED_VALUE"""),"-31.32879")</f>
        <v>-31.32879</v>
      </c>
      <c r="R668" s="30" t="str">
        <f ca="1">IFERROR(__xludf.DUMMYFUNCTION("""COMPUTED_VALUE"""),"-64.271122")</f>
        <v>-64.271122</v>
      </c>
      <c r="S668" s="30" t="str">
        <f ca="1">IFERROR(__xludf.DUMMYFUNCTION("""COMPUTED_VALUE"""),"Municipal")</f>
        <v>Municipal</v>
      </c>
      <c r="T668" s="29"/>
    </row>
    <row r="669" spans="1:20" ht="15.75" customHeight="1" x14ac:dyDescent="0.25">
      <c r="A669" s="30" t="str">
        <f ca="1">IFERROR(__xludf.DUMMYFUNCTION("""COMPUTED_VALUE"""),"50140142233665")</f>
        <v>50140142233665</v>
      </c>
      <c r="B669" s="30" t="str">
        <f ca="1">IFERROR(__xludf.DUMMYFUNCTION("""COMPUTED_VALUE"""),"CENTRO DE SALUD N° 38 - BARRIO URQUIZA")</f>
        <v>CENTRO DE SALUD N° 38 - BARRIO URQUIZA</v>
      </c>
      <c r="C669" s="30" t="str">
        <f ca="1">IFERROR(__xludf.DUMMYFUNCTION("""COMPUTED_VALUE"""),"Córdoba")</f>
        <v>Córdoba</v>
      </c>
      <c r="D669" s="30" t="str">
        <f ca="1">IFERROR(__xludf.DUMMYFUNCTION("""COMPUTED_VALUE"""),"14")</f>
        <v>14</v>
      </c>
      <c r="E669" s="30" t="str">
        <f ca="1">IFERROR(__xludf.DUMMYFUNCTION("""COMPUTED_VALUE"""),"")</f>
        <v/>
      </c>
      <c r="F669" s="29"/>
      <c r="G669" s="29"/>
      <c r="H669" s="30" t="str">
        <f ca="1">IFERROR(__xludf.DUMMYFUNCTION("""COMPUTED_VALUE"""),"activo")</f>
        <v>activo</v>
      </c>
      <c r="I669" s="29"/>
      <c r="J669" s="29"/>
      <c r="K669" s="29"/>
      <c r="L669" s="30" t="str">
        <f ca="1">IFERROR(__xludf.DUMMYFUNCTION("""COMPUTED_VALUE"""),"No")</f>
        <v>No</v>
      </c>
      <c r="M669" s="30" t="str">
        <f ca="1">IFERROR(__xludf.DUMMYFUNCTION("""COMPUTED_VALUE"""),"14014010000")</f>
        <v>14014010000</v>
      </c>
      <c r="N669" s="30" t="str">
        <f ca="1">IFERROR(__xludf.DUMMYFUNCTION("""COMPUTED_VALUE"""),"CORDOBA")</f>
        <v>CORDOBA</v>
      </c>
      <c r="O669" s="30" t="str">
        <f ca="1">IFERROR(__xludf.DUMMYFUNCTION("""COMPUTED_VALUE"""),"1414")</f>
        <v>1414</v>
      </c>
      <c r="P669" s="30" t="str">
        <f ca="1">IFERROR(__xludf.DUMMYFUNCTION("""COMPUTED_VALUE"""),"CAPITAL")</f>
        <v>CAPITAL</v>
      </c>
      <c r="Q669" s="30" t="str">
        <f ca="1">IFERROR(__xludf.DUMMYFUNCTION("""COMPUTED_VALUE"""),"-31.439291")</f>
        <v>-31.439291</v>
      </c>
      <c r="R669" s="30" t="str">
        <f ca="1">IFERROR(__xludf.DUMMYFUNCTION("""COMPUTED_VALUE"""),"-64.147792")</f>
        <v>-64.147792</v>
      </c>
      <c r="S669" s="30" t="str">
        <f ca="1">IFERROR(__xludf.DUMMYFUNCTION("""COMPUTED_VALUE"""),"Municipal")</f>
        <v>Municipal</v>
      </c>
      <c r="T669" s="29"/>
    </row>
    <row r="670" spans="1:20" ht="15.75" customHeight="1" x14ac:dyDescent="0.25">
      <c r="A670" s="30" t="str">
        <f ca="1">IFERROR(__xludf.DUMMYFUNCTION("""COMPUTED_VALUE"""),"50140142233265")</f>
        <v>50140142233265</v>
      </c>
      <c r="B670" s="30" t="str">
        <f ca="1">IFERROR(__xludf.DUMMYFUNCTION("""COMPUTED_VALUE"""),"UPAS N°3 - BARRIO VILLA CORNU")</f>
        <v>UPAS N°3 - BARRIO VILLA CORNU</v>
      </c>
      <c r="C670" s="30" t="str">
        <f ca="1">IFERROR(__xludf.DUMMYFUNCTION("""COMPUTED_VALUE"""),"Córdoba")</f>
        <v>Córdoba</v>
      </c>
      <c r="D670" s="30" t="str">
        <f ca="1">IFERROR(__xludf.DUMMYFUNCTION("""COMPUTED_VALUE"""),"14")</f>
        <v>14</v>
      </c>
      <c r="E670" s="30" t="str">
        <f ca="1">IFERROR(__xludf.DUMMYFUNCTION("""COMPUTED_VALUE"""),"")</f>
        <v/>
      </c>
      <c r="F670" s="29"/>
      <c r="G670" s="30" t="str">
        <f ca="1">IFERROR(__xludf.DUMMYFUNCTION("""COMPUTED_VALUE"""),"10140562231151")</f>
        <v>10140562231151</v>
      </c>
      <c r="H670" s="30" t="str">
        <f ca="1">IFERROR(__xludf.DUMMYFUNCTION("""COMPUTED_VALUE"""),"inactivo")</f>
        <v>inactivo</v>
      </c>
      <c r="I670" s="29"/>
      <c r="J670" s="29"/>
      <c r="K670" s="29"/>
      <c r="L670" s="30" t="str">
        <f ca="1">IFERROR(__xludf.DUMMYFUNCTION("""COMPUTED_VALUE"""),"No")</f>
        <v>No</v>
      </c>
      <c r="M670" s="30" t="str">
        <f ca="1">IFERROR(__xludf.DUMMYFUNCTION("""COMPUTED_VALUE"""),"14014010000")</f>
        <v>14014010000</v>
      </c>
      <c r="N670" s="30" t="str">
        <f ca="1">IFERROR(__xludf.DUMMYFUNCTION("""COMPUTED_VALUE"""),"CORDOBA")</f>
        <v>CORDOBA</v>
      </c>
      <c r="O670" s="30" t="str">
        <f ca="1">IFERROR(__xludf.DUMMYFUNCTION("""COMPUTED_VALUE"""),"1414")</f>
        <v>1414</v>
      </c>
      <c r="P670" s="30" t="str">
        <f ca="1">IFERROR(__xludf.DUMMYFUNCTION("""COMPUTED_VALUE"""),"CAPITAL")</f>
        <v>CAPITAL</v>
      </c>
      <c r="Q670" s="30" t="str">
        <f ca="1">IFERROR(__xludf.DUMMYFUNCTION("""COMPUTED_VALUE"""),"-31.32229725")</f>
        <v>-31.32229725</v>
      </c>
      <c r="R670" s="30" t="str">
        <f ca="1">IFERROR(__xludf.DUMMYFUNCTION("""COMPUTED_VALUE"""),"-64.2797184")</f>
        <v>-64.2797184</v>
      </c>
      <c r="S670" s="30" t="str">
        <f ca="1">IFERROR(__xludf.DUMMYFUNCTION("""COMPUTED_VALUE"""),"Municipal")</f>
        <v>Municipal</v>
      </c>
      <c r="T670" s="29"/>
    </row>
    <row r="671" spans="1:20" ht="15.75" customHeight="1" x14ac:dyDescent="0.25">
      <c r="A671" s="30" t="str">
        <f ca="1">IFERROR(__xludf.DUMMYFUNCTION("""COMPUTED_VALUE"""),"50140142233660")</f>
        <v>50140142233660</v>
      </c>
      <c r="B671" s="30" t="str">
        <f ca="1">IFERROR(__xludf.DUMMYFUNCTION("""COMPUTED_VALUE"""),"CENTRO DE SALUD N° 27 - BARRIO PILAR")</f>
        <v>CENTRO DE SALUD N° 27 - BARRIO PILAR</v>
      </c>
      <c r="C671" s="30" t="str">
        <f ca="1">IFERROR(__xludf.DUMMYFUNCTION("""COMPUTED_VALUE"""),"Córdoba")</f>
        <v>Córdoba</v>
      </c>
      <c r="D671" s="30" t="str">
        <f ca="1">IFERROR(__xludf.DUMMYFUNCTION("""COMPUTED_VALUE"""),"14")</f>
        <v>14</v>
      </c>
      <c r="E671" s="30" t="str">
        <f ca="1">IFERROR(__xludf.DUMMYFUNCTION("""COMPUTED_VALUE"""),"")</f>
        <v/>
      </c>
      <c r="F671" s="29"/>
      <c r="G671" s="29"/>
      <c r="H671" s="30" t="str">
        <f ca="1">IFERROR(__xludf.DUMMYFUNCTION("""COMPUTED_VALUE"""),"activo")</f>
        <v>activo</v>
      </c>
      <c r="I671" s="29"/>
      <c r="J671" s="29"/>
      <c r="K671" s="29"/>
      <c r="L671" s="30" t="str">
        <f ca="1">IFERROR(__xludf.DUMMYFUNCTION("""COMPUTED_VALUE"""),"No")</f>
        <v>No</v>
      </c>
      <c r="M671" s="30" t="str">
        <f ca="1">IFERROR(__xludf.DUMMYFUNCTION("""COMPUTED_VALUE"""),"14014010000")</f>
        <v>14014010000</v>
      </c>
      <c r="N671" s="30" t="str">
        <f ca="1">IFERROR(__xludf.DUMMYFUNCTION("""COMPUTED_VALUE"""),"CORDOBA")</f>
        <v>CORDOBA</v>
      </c>
      <c r="O671" s="30" t="str">
        <f ca="1">IFERROR(__xludf.DUMMYFUNCTION("""COMPUTED_VALUE"""),"1414")</f>
        <v>1414</v>
      </c>
      <c r="P671" s="30" t="str">
        <f ca="1">IFERROR(__xludf.DUMMYFUNCTION("""COMPUTED_VALUE"""),"CAPITAL")</f>
        <v>CAPITAL</v>
      </c>
      <c r="Q671" s="30" t="str">
        <f ca="1">IFERROR(__xludf.DUMMYFUNCTION("""COMPUTED_VALUE"""),"-31.443952")</f>
        <v>-31.443952</v>
      </c>
      <c r="R671" s="30" t="str">
        <f ca="1">IFERROR(__xludf.DUMMYFUNCTION("""COMPUTED_VALUE"""),"-64.159097")</f>
        <v>-64.159097</v>
      </c>
      <c r="S671" s="30" t="str">
        <f ca="1">IFERROR(__xludf.DUMMYFUNCTION("""COMPUTED_VALUE"""),"Municipal")</f>
        <v>Municipal</v>
      </c>
      <c r="T671" s="29"/>
    </row>
    <row r="672" spans="1:20" ht="15.75" customHeight="1" x14ac:dyDescent="0.25">
      <c r="A672" s="30" t="str">
        <f ca="1">IFERROR(__xludf.DUMMYFUNCTION("""COMPUTED_VALUE"""),"50140142233656")</f>
        <v>50140142233656</v>
      </c>
      <c r="B672" s="30" t="str">
        <f ca="1">IFERROR(__xludf.DUMMYFUNCTION("""COMPUTED_VALUE"""),"CENTRO DE SALUD N° 10 - BARRIO COLONIA LOLA")</f>
        <v>CENTRO DE SALUD N° 10 - BARRIO COLONIA LOLA</v>
      </c>
      <c r="C672" s="30" t="str">
        <f ca="1">IFERROR(__xludf.DUMMYFUNCTION("""COMPUTED_VALUE"""),"Córdoba")</f>
        <v>Córdoba</v>
      </c>
      <c r="D672" s="30" t="str">
        <f ca="1">IFERROR(__xludf.DUMMYFUNCTION("""COMPUTED_VALUE"""),"14")</f>
        <v>14</v>
      </c>
      <c r="E672" s="30" t="str">
        <f ca="1">IFERROR(__xludf.DUMMYFUNCTION("""COMPUTED_VALUE"""),"")</f>
        <v/>
      </c>
      <c r="F672" s="29"/>
      <c r="G672" s="29"/>
      <c r="H672" s="30" t="str">
        <f ca="1">IFERROR(__xludf.DUMMYFUNCTION("""COMPUTED_VALUE"""),"activo")</f>
        <v>activo</v>
      </c>
      <c r="I672" s="29"/>
      <c r="J672" s="29"/>
      <c r="K672" s="29"/>
      <c r="L672" s="30" t="str">
        <f ca="1">IFERROR(__xludf.DUMMYFUNCTION("""COMPUTED_VALUE"""),"No")</f>
        <v>No</v>
      </c>
      <c r="M672" s="30" t="str">
        <f ca="1">IFERROR(__xludf.DUMMYFUNCTION("""COMPUTED_VALUE"""),"14014010000")</f>
        <v>14014010000</v>
      </c>
      <c r="N672" s="30" t="str">
        <f ca="1">IFERROR(__xludf.DUMMYFUNCTION("""COMPUTED_VALUE"""),"CORDOBA")</f>
        <v>CORDOBA</v>
      </c>
      <c r="O672" s="30" t="str">
        <f ca="1">IFERROR(__xludf.DUMMYFUNCTION("""COMPUTED_VALUE"""),"1414")</f>
        <v>1414</v>
      </c>
      <c r="P672" s="30" t="str">
        <f ca="1">IFERROR(__xludf.DUMMYFUNCTION("""COMPUTED_VALUE"""),"CAPITAL")</f>
        <v>CAPITAL</v>
      </c>
      <c r="Q672" s="30" t="str">
        <f ca="1">IFERROR(__xludf.DUMMYFUNCTION("""COMPUTED_VALUE"""),"-31.424909")</f>
        <v>-31.424909</v>
      </c>
      <c r="R672" s="30" t="str">
        <f ca="1">IFERROR(__xludf.DUMMYFUNCTION("""COMPUTED_VALUE"""),"-64.115102")</f>
        <v>-64.115102</v>
      </c>
      <c r="S672" s="30" t="str">
        <f ca="1">IFERROR(__xludf.DUMMYFUNCTION("""COMPUTED_VALUE"""),"Municipal")</f>
        <v>Municipal</v>
      </c>
      <c r="T672" s="29"/>
    </row>
    <row r="673" spans="1:20" ht="15.75" customHeight="1" x14ac:dyDescent="0.25">
      <c r="A673" s="30" t="str">
        <f ca="1">IFERROR(__xludf.DUMMYFUNCTION("""COMPUTED_VALUE"""),"50140142233210")</f>
        <v>50140142233210</v>
      </c>
      <c r="B673" s="30" t="str">
        <f ca="1">IFERROR(__xludf.DUMMYFUNCTION("""COMPUTED_VALUE"""),"UPAS N° 5 - BARRIO GRAL. ARENALES")</f>
        <v>UPAS N° 5 - BARRIO GRAL. ARENALES</v>
      </c>
      <c r="C673" s="30" t="str">
        <f ca="1">IFERROR(__xludf.DUMMYFUNCTION("""COMPUTED_VALUE"""),"Córdoba")</f>
        <v>Córdoba</v>
      </c>
      <c r="D673" s="30" t="str">
        <f ca="1">IFERROR(__xludf.DUMMYFUNCTION("""COMPUTED_VALUE"""),"14")</f>
        <v>14</v>
      </c>
      <c r="E673" s="30" t="str">
        <f ca="1">IFERROR(__xludf.DUMMYFUNCTION("""COMPUTED_VALUE"""),"")</f>
        <v/>
      </c>
      <c r="F673" s="29"/>
      <c r="G673" s="29"/>
      <c r="H673" s="30" t="str">
        <f ca="1">IFERROR(__xludf.DUMMYFUNCTION("""COMPUTED_VALUE"""),"activo")</f>
        <v>activo</v>
      </c>
      <c r="I673" s="29"/>
      <c r="J673" s="29"/>
      <c r="K673" s="29"/>
      <c r="L673" s="30" t="str">
        <f ca="1">IFERROR(__xludf.DUMMYFUNCTION("""COMPUTED_VALUE"""),"No")</f>
        <v>No</v>
      </c>
      <c r="M673" s="30" t="str">
        <f ca="1">IFERROR(__xludf.DUMMYFUNCTION("""COMPUTED_VALUE"""),"14014010000")</f>
        <v>14014010000</v>
      </c>
      <c r="N673" s="30" t="str">
        <f ca="1">IFERROR(__xludf.DUMMYFUNCTION("""COMPUTED_VALUE"""),"CORDOBA")</f>
        <v>CORDOBA</v>
      </c>
      <c r="O673" s="30" t="str">
        <f ca="1">IFERROR(__xludf.DUMMYFUNCTION("""COMPUTED_VALUE"""),"1414")</f>
        <v>1414</v>
      </c>
      <c r="P673" s="30" t="str">
        <f ca="1">IFERROR(__xludf.DUMMYFUNCTION("""COMPUTED_VALUE"""),"CAPITAL")</f>
        <v>CAPITAL</v>
      </c>
      <c r="Q673" s="30" t="str">
        <f ca="1">IFERROR(__xludf.DUMMYFUNCTION("""COMPUTED_VALUE"""),"-31.37017129")</f>
        <v>-31.37017129</v>
      </c>
      <c r="R673" s="30" t="str">
        <f ca="1">IFERROR(__xludf.DUMMYFUNCTION("""COMPUTED_VALUE"""),"-64.0568161")</f>
        <v>-64.0568161</v>
      </c>
      <c r="S673" s="30" t="str">
        <f ca="1">IFERROR(__xludf.DUMMYFUNCTION("""COMPUTED_VALUE"""),"Municipal")</f>
        <v>Municipal</v>
      </c>
      <c r="T673" s="29"/>
    </row>
    <row r="674" spans="1:20" ht="15.75" customHeight="1" x14ac:dyDescent="0.25">
      <c r="A674" s="30" t="str">
        <f ca="1">IFERROR(__xludf.DUMMYFUNCTION("""COMPUTED_VALUE"""),"50140142233267")</f>
        <v>50140142233267</v>
      </c>
      <c r="B674" s="30" t="str">
        <f ca="1">IFERROR(__xludf.DUMMYFUNCTION("""COMPUTED_VALUE"""),"CENTRO DE SALUD N° 59 - BARRIO CONGRESO")</f>
        <v>CENTRO DE SALUD N° 59 - BARRIO CONGRESO</v>
      </c>
      <c r="C674" s="30" t="str">
        <f ca="1">IFERROR(__xludf.DUMMYFUNCTION("""COMPUTED_VALUE"""),"Córdoba")</f>
        <v>Córdoba</v>
      </c>
      <c r="D674" s="30" t="str">
        <f ca="1">IFERROR(__xludf.DUMMYFUNCTION("""COMPUTED_VALUE"""),"14")</f>
        <v>14</v>
      </c>
      <c r="E674" s="30" t="str">
        <f ca="1">IFERROR(__xludf.DUMMYFUNCTION("""COMPUTED_VALUE"""),"")</f>
        <v/>
      </c>
      <c r="F674" s="29"/>
      <c r="G674" s="29"/>
      <c r="H674" s="30" t="str">
        <f ca="1">IFERROR(__xludf.DUMMYFUNCTION("""COMPUTED_VALUE"""),"activo")</f>
        <v>activo</v>
      </c>
      <c r="I674" s="29"/>
      <c r="J674" s="29"/>
      <c r="K674" s="29"/>
      <c r="L674" s="30" t="str">
        <f ca="1">IFERROR(__xludf.DUMMYFUNCTION("""COMPUTED_VALUE"""),"No")</f>
        <v>No</v>
      </c>
      <c r="M674" s="30" t="str">
        <f ca="1">IFERROR(__xludf.DUMMYFUNCTION("""COMPUTED_VALUE"""),"14014010000")</f>
        <v>14014010000</v>
      </c>
      <c r="N674" s="30" t="str">
        <f ca="1">IFERROR(__xludf.DUMMYFUNCTION("""COMPUTED_VALUE"""),"CORDOBA")</f>
        <v>CORDOBA</v>
      </c>
      <c r="O674" s="30" t="str">
        <f ca="1">IFERROR(__xludf.DUMMYFUNCTION("""COMPUTED_VALUE"""),"1414")</f>
        <v>1414</v>
      </c>
      <c r="P674" s="30" t="str">
        <f ca="1">IFERROR(__xludf.DUMMYFUNCTION("""COMPUTED_VALUE"""),"CAPITAL")</f>
        <v>CAPITAL</v>
      </c>
      <c r="Q674" s="30" t="str">
        <f ca="1">IFERROR(__xludf.DUMMYFUNCTION("""COMPUTED_VALUE"""),"-31.467673")</f>
        <v>-31.467673</v>
      </c>
      <c r="R674" s="30" t="str">
        <f ca="1">IFERROR(__xludf.DUMMYFUNCTION("""COMPUTED_VALUE"""),"-64.232472")</f>
        <v>-64.232472</v>
      </c>
      <c r="S674" s="30" t="str">
        <f ca="1">IFERROR(__xludf.DUMMYFUNCTION("""COMPUTED_VALUE"""),"Municipal")</f>
        <v>Municipal</v>
      </c>
      <c r="T674" s="29"/>
    </row>
    <row r="675" spans="1:20" ht="15.75" customHeight="1" x14ac:dyDescent="0.25">
      <c r="A675" s="30" t="str">
        <f ca="1">IFERROR(__xludf.DUMMYFUNCTION("""COMPUTED_VALUE"""),"50140142233256")</f>
        <v>50140142233256</v>
      </c>
      <c r="B675" s="30" t="str">
        <f ca="1">IFERROR(__xludf.DUMMYFUNCTION("""COMPUTED_VALUE"""),"CENTRO DE SALUD N° 40 - BARRIO LAS FLORES")</f>
        <v>CENTRO DE SALUD N° 40 - BARRIO LAS FLORES</v>
      </c>
      <c r="C675" s="30" t="str">
        <f ca="1">IFERROR(__xludf.DUMMYFUNCTION("""COMPUTED_VALUE"""),"Córdoba")</f>
        <v>Córdoba</v>
      </c>
      <c r="D675" s="30" t="str">
        <f ca="1">IFERROR(__xludf.DUMMYFUNCTION("""COMPUTED_VALUE"""),"14")</f>
        <v>14</v>
      </c>
      <c r="E675" s="30" t="str">
        <f ca="1">IFERROR(__xludf.DUMMYFUNCTION("""COMPUTED_VALUE"""),"")</f>
        <v/>
      </c>
      <c r="F675" s="29"/>
      <c r="G675" s="29"/>
      <c r="H675" s="30" t="str">
        <f ca="1">IFERROR(__xludf.DUMMYFUNCTION("""COMPUTED_VALUE"""),"activo")</f>
        <v>activo</v>
      </c>
      <c r="I675" s="29"/>
      <c r="J675" s="29"/>
      <c r="K675" s="29"/>
      <c r="L675" s="30" t="str">
        <f ca="1">IFERROR(__xludf.DUMMYFUNCTION("""COMPUTED_VALUE"""),"No")</f>
        <v>No</v>
      </c>
      <c r="M675" s="30" t="str">
        <f ca="1">IFERROR(__xludf.DUMMYFUNCTION("""COMPUTED_VALUE"""),"14014010000")</f>
        <v>14014010000</v>
      </c>
      <c r="N675" s="30" t="str">
        <f ca="1">IFERROR(__xludf.DUMMYFUNCTION("""COMPUTED_VALUE"""),"CORDOBA")</f>
        <v>CORDOBA</v>
      </c>
      <c r="O675" s="30" t="str">
        <f ca="1">IFERROR(__xludf.DUMMYFUNCTION("""COMPUTED_VALUE"""),"1414")</f>
        <v>1414</v>
      </c>
      <c r="P675" s="30" t="str">
        <f ca="1">IFERROR(__xludf.DUMMYFUNCTION("""COMPUTED_VALUE"""),"CAPITAL")</f>
        <v>CAPITAL</v>
      </c>
      <c r="Q675" s="30" t="str">
        <f ca="1">IFERROR(__xludf.DUMMYFUNCTION("""COMPUTED_VALUE"""),"-31.451078")</f>
        <v>-31.451078</v>
      </c>
      <c r="R675" s="30" t="str">
        <f ca="1">IFERROR(__xludf.DUMMYFUNCTION("""COMPUTED_VALUE"""),"-64.202038")</f>
        <v>-64.202038</v>
      </c>
      <c r="S675" s="30" t="str">
        <f ca="1">IFERROR(__xludf.DUMMYFUNCTION("""COMPUTED_VALUE"""),"Municipal")</f>
        <v>Municipal</v>
      </c>
      <c r="T675" s="29"/>
    </row>
    <row r="676" spans="1:20" ht="15.75" customHeight="1" x14ac:dyDescent="0.25">
      <c r="A676" s="30" t="str">
        <f ca="1">IFERROR(__xludf.DUMMYFUNCTION("""COMPUTED_VALUE"""),"50140212232519")</f>
        <v>50140212232519</v>
      </c>
      <c r="B676" s="30" t="str">
        <f ca="1">IFERROR(__xludf.DUMMYFUNCTION("""COMPUTED_VALUE"""),"DISPENSARIO LATINOAMERICA")</f>
        <v>DISPENSARIO LATINOAMERICA</v>
      </c>
      <c r="C676" s="30" t="str">
        <f ca="1">IFERROR(__xludf.DUMMYFUNCTION("""COMPUTED_VALUE"""),"Córdoba")</f>
        <v>Córdoba</v>
      </c>
      <c r="D676" s="30" t="str">
        <f ca="1">IFERROR(__xludf.DUMMYFUNCTION("""COMPUTED_VALUE"""),"14")</f>
        <v>14</v>
      </c>
      <c r="E676" s="30" t="str">
        <f ca="1">IFERROR(__xludf.DUMMYFUNCTION("""COMPUTED_VALUE"""),"")</f>
        <v/>
      </c>
      <c r="F676" s="29"/>
      <c r="G676" s="29"/>
      <c r="H676" s="30" t="str">
        <f ca="1">IFERROR(__xludf.DUMMYFUNCTION("""COMPUTED_VALUE"""),"activo")</f>
        <v>activo</v>
      </c>
      <c r="I676" s="29"/>
      <c r="J676" s="29"/>
      <c r="K676" s="29"/>
      <c r="L676" s="30" t="str">
        <f ca="1">IFERROR(__xludf.DUMMYFUNCTION("""COMPUTED_VALUE"""),"No")</f>
        <v>No</v>
      </c>
      <c r="M676" s="30" t="str">
        <f ca="1">IFERROR(__xludf.DUMMYFUNCTION("""COMPUTED_VALUE"""),"14021140000")</f>
        <v>14021140000</v>
      </c>
      <c r="N676" s="30" t="str">
        <f ca="1">IFERROR(__xludf.DUMMYFUNCTION("""COMPUTED_VALUE"""),"JESUS MARIA")</f>
        <v>JESUS MARIA</v>
      </c>
      <c r="O676" s="30" t="str">
        <f ca="1">IFERROR(__xludf.DUMMYFUNCTION("""COMPUTED_VALUE"""),"1421")</f>
        <v>1421</v>
      </c>
      <c r="P676" s="30" t="str">
        <f ca="1">IFERROR(__xludf.DUMMYFUNCTION("""COMPUTED_VALUE"""),"COLÓN")</f>
        <v>COLÓN</v>
      </c>
      <c r="Q676" s="30" t="str">
        <f ca="1">IFERROR(__xludf.DUMMYFUNCTION("""COMPUTED_VALUE"""),"-30.995009")</f>
        <v>-30.995009</v>
      </c>
      <c r="R676" s="30" t="str">
        <f ca="1">IFERROR(__xludf.DUMMYFUNCTION("""COMPUTED_VALUE"""),"-64.092391")</f>
        <v>-64.092391</v>
      </c>
      <c r="S676" s="30" t="str">
        <f ca="1">IFERROR(__xludf.DUMMYFUNCTION("""COMPUTED_VALUE"""),"Municipal")</f>
        <v>Municipal</v>
      </c>
      <c r="T676" s="29"/>
    </row>
    <row r="677" spans="1:20" ht="15.75" customHeight="1" x14ac:dyDescent="0.25">
      <c r="A677" s="30" t="str">
        <f ca="1">IFERROR(__xludf.DUMMYFUNCTION("""COMPUTED_VALUE"""),"10140282231173")</f>
        <v>10140282231173</v>
      </c>
      <c r="B677" s="30" t="str">
        <f ca="1">IFERROR(__xludf.DUMMYFUNCTION("""COMPUTED_VALUE"""),"HOSPITAL MUNICIPAL ALFREDO PANZERI SERREZUELA")</f>
        <v>HOSPITAL MUNICIPAL ALFREDO PANZERI SERREZUELA</v>
      </c>
      <c r="C677" s="30" t="str">
        <f ca="1">IFERROR(__xludf.DUMMYFUNCTION("""COMPUTED_VALUE"""),"Córdoba")</f>
        <v>Córdoba</v>
      </c>
      <c r="D677" s="30" t="str">
        <f ca="1">IFERROR(__xludf.DUMMYFUNCTION("""COMPUTED_VALUE"""),"14")</f>
        <v>14</v>
      </c>
      <c r="E677" s="30" t="str">
        <f ca="1">IFERROR(__xludf.DUMMYFUNCTION("""COMPUTED_VALUE"""),"")</f>
        <v/>
      </c>
      <c r="F677" s="29"/>
      <c r="G677" s="29"/>
      <c r="H677" s="30" t="str">
        <f ca="1">IFERROR(__xludf.DUMMYFUNCTION("""COMPUTED_VALUE"""),"inactivo")</f>
        <v>inactivo</v>
      </c>
      <c r="I677" s="29"/>
      <c r="J677" s="29"/>
      <c r="K677" s="29"/>
      <c r="L677" s="30" t="str">
        <f ca="1">IFERROR(__xludf.DUMMYFUNCTION("""COMPUTED_VALUE"""),"No")</f>
        <v>No</v>
      </c>
      <c r="M677" s="30" t="str">
        <f ca="1">IFERROR(__xludf.DUMMYFUNCTION("""COMPUTED_VALUE"""),"14028180000")</f>
        <v>14028180000</v>
      </c>
      <c r="N677" s="30" t="str">
        <f ca="1">IFERROR(__xludf.DUMMYFUNCTION("""COMPUTED_VALUE"""),"SERREZUELA")</f>
        <v>SERREZUELA</v>
      </c>
      <c r="O677" s="30" t="str">
        <f ca="1">IFERROR(__xludf.DUMMYFUNCTION("""COMPUTED_VALUE"""),"1428")</f>
        <v>1428</v>
      </c>
      <c r="P677" s="30" t="str">
        <f ca="1">IFERROR(__xludf.DUMMYFUNCTION("""COMPUTED_VALUE"""),"CRUZ DEL EJE")</f>
        <v>CRUZ DEL EJE</v>
      </c>
      <c r="Q677" s="30" t="str">
        <f ca="1">IFERROR(__xludf.DUMMYFUNCTION("""COMPUTED_VALUE"""),"-30.54712388")</f>
        <v>-30.54712388</v>
      </c>
      <c r="R677" s="30" t="str">
        <f ca="1">IFERROR(__xludf.DUMMYFUNCTION("""COMPUTED_VALUE"""),"-65.23535192")</f>
        <v>-65.23535192</v>
      </c>
      <c r="S677" s="30" t="str">
        <f ca="1">IFERROR(__xludf.DUMMYFUNCTION("""COMPUTED_VALUE"""),"Municipal")</f>
        <v>Municipal</v>
      </c>
      <c r="T677" s="29"/>
    </row>
    <row r="678" spans="1:20" ht="15.75" customHeight="1" x14ac:dyDescent="0.25">
      <c r="A678" s="30" t="str">
        <f ca="1">IFERROR(__xludf.DUMMYFUNCTION("""COMPUTED_VALUE"""),"10140282231237")</f>
        <v>10140282231237</v>
      </c>
      <c r="B678" s="30" t="str">
        <f ca="1">IFERROR(__xludf.DUMMYFUNCTION("""COMPUTED_VALUE"""),"HOSPITAL MUNICIPAL VILLA DE SOTO")</f>
        <v>HOSPITAL MUNICIPAL VILLA DE SOTO</v>
      </c>
      <c r="C678" s="30" t="str">
        <f ca="1">IFERROR(__xludf.DUMMYFUNCTION("""COMPUTED_VALUE"""),"Córdoba")</f>
        <v>Córdoba</v>
      </c>
      <c r="D678" s="30" t="str">
        <f ca="1">IFERROR(__xludf.DUMMYFUNCTION("""COMPUTED_VALUE"""),"14")</f>
        <v>14</v>
      </c>
      <c r="E678" s="30" t="str">
        <f ca="1">IFERROR(__xludf.DUMMYFUNCTION("""COMPUTED_VALUE"""),"si")</f>
        <v>si</v>
      </c>
      <c r="F678" s="29"/>
      <c r="G678" s="29"/>
      <c r="H678" s="30" t="str">
        <f ca="1">IFERROR(__xludf.DUMMYFUNCTION("""COMPUTED_VALUE"""),"activo")</f>
        <v>activo</v>
      </c>
      <c r="I678" s="29"/>
      <c r="J678" s="29"/>
      <c r="K678" s="29"/>
      <c r="L678" s="30" t="str">
        <f ca="1">IFERROR(__xludf.DUMMYFUNCTION("""COMPUTED_VALUE"""),"No")</f>
        <v>No</v>
      </c>
      <c r="M678" s="30" t="str">
        <f ca="1">IFERROR(__xludf.DUMMYFUNCTION("""COMPUTED_VALUE"""),"14028200000")</f>
        <v>14028200000</v>
      </c>
      <c r="N678" s="30" t="str">
        <f ca="1">IFERROR(__xludf.DUMMYFUNCTION("""COMPUTED_VALUE"""),"VILLA DE SOTO")</f>
        <v>VILLA DE SOTO</v>
      </c>
      <c r="O678" s="30" t="str">
        <f ca="1">IFERROR(__xludf.DUMMYFUNCTION("""COMPUTED_VALUE"""),"1428")</f>
        <v>1428</v>
      </c>
      <c r="P678" s="30" t="str">
        <f ca="1">IFERROR(__xludf.DUMMYFUNCTION("""COMPUTED_VALUE"""),"CRUZ DEL EJE")</f>
        <v>CRUZ DEL EJE</v>
      </c>
      <c r="Q678" s="30" t="str">
        <f ca="1">IFERROR(__xludf.DUMMYFUNCTION("""COMPUTED_VALUE"""),"-30.857424")</f>
        <v>-30.857424</v>
      </c>
      <c r="R678" s="30" t="str">
        <f ca="1">IFERROR(__xludf.DUMMYFUNCTION("""COMPUTED_VALUE"""),"-64.993181")</f>
        <v>-64.993181</v>
      </c>
      <c r="S678" s="30" t="str">
        <f ca="1">IFERROR(__xludf.DUMMYFUNCTION("""COMPUTED_VALUE"""),"Municipal")</f>
        <v>Municipal</v>
      </c>
      <c r="T678" s="29"/>
    </row>
    <row r="679" spans="1:20" ht="15.75" customHeight="1" x14ac:dyDescent="0.25">
      <c r="A679" s="30" t="str">
        <f ca="1">IFERROR(__xludf.DUMMYFUNCTION("""COMPUTED_VALUE"""),"10140352231177")</f>
        <v>10140352231177</v>
      </c>
      <c r="B679" s="30" t="str">
        <f ca="1">IFERROR(__xludf.DUMMYFUNCTION("""COMPUTED_VALUE"""),"HOSPITAL MUNICIPAL DE BUCHARDO - DR. ENRIQUE ALINCASTRO")</f>
        <v>HOSPITAL MUNICIPAL DE BUCHARDO - DR. ENRIQUE ALINCASTRO</v>
      </c>
      <c r="C679" s="30" t="str">
        <f ca="1">IFERROR(__xludf.DUMMYFUNCTION("""COMPUTED_VALUE"""),"Córdoba")</f>
        <v>Córdoba</v>
      </c>
      <c r="D679" s="30" t="str">
        <f ca="1">IFERROR(__xludf.DUMMYFUNCTION("""COMPUTED_VALUE"""),"14")</f>
        <v>14</v>
      </c>
      <c r="E679" s="30" t="str">
        <f ca="1">IFERROR(__xludf.DUMMYFUNCTION("""COMPUTED_VALUE"""),"")</f>
        <v/>
      </c>
      <c r="F679" s="29"/>
      <c r="G679" s="29"/>
      <c r="H679" s="30" t="str">
        <f ca="1">IFERROR(__xludf.DUMMYFUNCTION("""COMPUTED_VALUE"""),"inactivo")</f>
        <v>inactivo</v>
      </c>
      <c r="I679" s="29"/>
      <c r="J679" s="29"/>
      <c r="K679" s="29"/>
      <c r="L679" s="30" t="str">
        <f ca="1">IFERROR(__xludf.DUMMYFUNCTION("""COMPUTED_VALUE"""),"No")</f>
        <v>No</v>
      </c>
      <c r="M679" s="30" t="str">
        <f ca="1">IFERROR(__xludf.DUMMYFUNCTION("""COMPUTED_VALUE"""),"14035030000")</f>
        <v>14035030000</v>
      </c>
      <c r="N679" s="30" t="str">
        <f ca="1">IFERROR(__xludf.DUMMYFUNCTION("""COMPUTED_VALUE"""),"HIPOLITO BOUCHARD")</f>
        <v>HIPOLITO BOUCHARD</v>
      </c>
      <c r="O679" s="30" t="str">
        <f ca="1">IFERROR(__xludf.DUMMYFUNCTION("""COMPUTED_VALUE"""),"1435")</f>
        <v>1435</v>
      </c>
      <c r="P679" s="30" t="str">
        <f ca="1">IFERROR(__xludf.DUMMYFUNCTION("""COMPUTED_VALUE"""),"GENERAL ROCA")</f>
        <v>GENERAL ROCA</v>
      </c>
      <c r="Q679" s="30" t="str">
        <f ca="1">IFERROR(__xludf.DUMMYFUNCTION("""COMPUTED_VALUE"""),"-34.725361")</f>
        <v>-34.725361</v>
      </c>
      <c r="R679" s="30" t="str">
        <f ca="1">IFERROR(__xludf.DUMMYFUNCTION("""COMPUTED_VALUE"""),"-63.512603")</f>
        <v>-63.512603</v>
      </c>
      <c r="S679" s="30" t="str">
        <f ca="1">IFERROR(__xludf.DUMMYFUNCTION("""COMPUTED_VALUE"""),"Municipal")</f>
        <v>Municipal</v>
      </c>
      <c r="T679" s="29"/>
    </row>
    <row r="680" spans="1:20" ht="15.75" customHeight="1" x14ac:dyDescent="0.25">
      <c r="A680" s="30" t="str">
        <f ca="1">IFERROR(__xludf.DUMMYFUNCTION("""COMPUTED_VALUE"""),"10140422231000")</f>
        <v>10140422231000</v>
      </c>
      <c r="B680" s="30" t="str">
        <f ca="1">IFERROR(__xludf.DUMMYFUNCTION("""COMPUTED_VALUE"""),"CENTRO DE SALUD MUNICIPAL DR. JOSE A. COROLEU DE ETRURIA")</f>
        <v>CENTRO DE SALUD MUNICIPAL DR. JOSE A. COROLEU DE ETRURIA</v>
      </c>
      <c r="C680" s="30" t="str">
        <f ca="1">IFERROR(__xludf.DUMMYFUNCTION("""COMPUTED_VALUE"""),"Córdoba")</f>
        <v>Córdoba</v>
      </c>
      <c r="D680" s="30" t="str">
        <f ca="1">IFERROR(__xludf.DUMMYFUNCTION("""COMPUTED_VALUE"""),"14")</f>
        <v>14</v>
      </c>
      <c r="E680" s="30" t="str">
        <f ca="1">IFERROR(__xludf.DUMMYFUNCTION("""COMPUTED_VALUE"""),"")</f>
        <v/>
      </c>
      <c r="F680" s="29"/>
      <c r="G680" s="29"/>
      <c r="H680" s="30" t="str">
        <f ca="1">IFERROR(__xludf.DUMMYFUNCTION("""COMPUTED_VALUE"""),"inactivo")</f>
        <v>inactivo</v>
      </c>
      <c r="I680" s="29"/>
      <c r="J680" s="29"/>
      <c r="K680" s="29"/>
      <c r="L680" s="30" t="str">
        <f ca="1">IFERROR(__xludf.DUMMYFUNCTION("""COMPUTED_VALUE"""),"No")</f>
        <v>No</v>
      </c>
      <c r="M680" s="30" t="str">
        <f ca="1">IFERROR(__xludf.DUMMYFUNCTION("""COMPUTED_VALUE"""),"14042050000")</f>
        <v>14042050000</v>
      </c>
      <c r="N680" s="30" t="str">
        <f ca="1">IFERROR(__xludf.DUMMYFUNCTION("""COMPUTED_VALUE"""),"ETRURIA")</f>
        <v>ETRURIA</v>
      </c>
      <c r="O680" s="30" t="str">
        <f ca="1">IFERROR(__xludf.DUMMYFUNCTION("""COMPUTED_VALUE"""),"1442")</f>
        <v>1442</v>
      </c>
      <c r="P680" s="30" t="str">
        <f ca="1">IFERROR(__xludf.DUMMYFUNCTION("""COMPUTED_VALUE"""),"GENERAL SAN MARTÍN")</f>
        <v>GENERAL SAN MARTÍN</v>
      </c>
      <c r="Q680" s="30" t="str">
        <f ca="1">IFERROR(__xludf.DUMMYFUNCTION("""COMPUTED_VALUE"""),"-32.93932")</f>
        <v>-32.93932</v>
      </c>
      <c r="R680" s="30" t="str">
        <f ca="1">IFERROR(__xludf.DUMMYFUNCTION("""COMPUTED_VALUE"""),"-63.243638")</f>
        <v>-63.243638</v>
      </c>
      <c r="S680" s="30" t="str">
        <f ca="1">IFERROR(__xludf.DUMMYFUNCTION("""COMPUTED_VALUE"""),"Municipal")</f>
        <v>Municipal</v>
      </c>
      <c r="T680" s="29"/>
    </row>
    <row r="681" spans="1:20" ht="15.75" customHeight="1" x14ac:dyDescent="0.25">
      <c r="A681" s="30" t="str">
        <f ca="1">IFERROR(__xludf.DUMMYFUNCTION("""COMPUTED_VALUE"""),"10140422231159")</f>
        <v>10140422231159</v>
      </c>
      <c r="B681" s="30" t="str">
        <f ca="1">IFERROR(__xludf.DUMMYFUNCTION("""COMPUTED_VALUE"""),"HOSPITAL COMUNITARIO VILLA NUEVA")</f>
        <v>HOSPITAL COMUNITARIO VILLA NUEVA</v>
      </c>
      <c r="C681" s="30" t="str">
        <f ca="1">IFERROR(__xludf.DUMMYFUNCTION("""COMPUTED_VALUE"""),"Córdoba")</f>
        <v>Córdoba</v>
      </c>
      <c r="D681" s="30" t="str">
        <f ca="1">IFERROR(__xludf.DUMMYFUNCTION("""COMPUTED_VALUE"""),"14")</f>
        <v>14</v>
      </c>
      <c r="E681" s="30" t="str">
        <f ca="1">IFERROR(__xludf.DUMMYFUNCTION("""COMPUTED_VALUE"""),"si")</f>
        <v>si</v>
      </c>
      <c r="F681" s="30" t="str">
        <f ca="1">IFERROR(__xludf.DUMMYFUNCTION("""COMPUTED_VALUE"""),"50140632232178")</f>
        <v>50140632232178</v>
      </c>
      <c r="G681" s="29"/>
      <c r="H681" s="30" t="str">
        <f ca="1">IFERROR(__xludf.DUMMYFUNCTION("""COMPUTED_VALUE"""),"activo")</f>
        <v>activo</v>
      </c>
      <c r="I681" s="30" t="str">
        <f ca="1">IFERROR(__xludf.DUMMYFUNCTION("""COMPUTED_VALUE"""),"2020")</f>
        <v>2020</v>
      </c>
      <c r="J681" s="29"/>
      <c r="K681" s="29"/>
      <c r="L681" s="30" t="str">
        <f ca="1">IFERROR(__xludf.DUMMYFUNCTION("""COMPUTED_VALUE"""),"No")</f>
        <v>No</v>
      </c>
      <c r="M681" s="30" t="str">
        <f ca="1">IFERROR(__xludf.DUMMYFUNCTION("""COMPUTED_VALUE"""),"14042180000")</f>
        <v>14042180000</v>
      </c>
      <c r="N681" s="30" t="str">
        <f ca="1">IFERROR(__xludf.DUMMYFUNCTION("""COMPUTED_VALUE"""),"VILLA NUEVA")</f>
        <v>VILLA NUEVA</v>
      </c>
      <c r="O681" s="30" t="str">
        <f ca="1">IFERROR(__xludf.DUMMYFUNCTION("""COMPUTED_VALUE"""),"1442")</f>
        <v>1442</v>
      </c>
      <c r="P681" s="30" t="str">
        <f ca="1">IFERROR(__xludf.DUMMYFUNCTION("""COMPUTED_VALUE"""),"GENERAL SAN MARTÍN")</f>
        <v>GENERAL SAN MARTÍN</v>
      </c>
      <c r="Q681" s="30" t="str">
        <f ca="1">IFERROR(__xludf.DUMMYFUNCTION("""COMPUTED_VALUE"""),"-32.432579")</f>
        <v>-32.432579</v>
      </c>
      <c r="R681" s="30" t="str">
        <f ca="1">IFERROR(__xludf.DUMMYFUNCTION("""COMPUTED_VALUE"""),"-63.249615")</f>
        <v>-63.249615</v>
      </c>
      <c r="S681" s="30" t="str">
        <f ca="1">IFERROR(__xludf.DUMMYFUNCTION("""COMPUTED_VALUE"""),"Municipal")</f>
        <v>Municipal</v>
      </c>
      <c r="T681" s="29"/>
    </row>
    <row r="682" spans="1:20" ht="15.75" customHeight="1" x14ac:dyDescent="0.25">
      <c r="A682" s="30" t="str">
        <f ca="1">IFERROR(__xludf.DUMMYFUNCTION("""COMPUTED_VALUE"""),"10140492231222")</f>
        <v>10140492231222</v>
      </c>
      <c r="B682" s="30" t="str">
        <f ca="1">IFERROR(__xludf.DUMMYFUNCTION("""COMPUTED_VALUE"""),"HOSPITAL MUNICIPAL QUILINO")</f>
        <v>HOSPITAL MUNICIPAL QUILINO</v>
      </c>
      <c r="C682" s="30" t="str">
        <f ca="1">IFERROR(__xludf.DUMMYFUNCTION("""COMPUTED_VALUE"""),"Córdoba")</f>
        <v>Córdoba</v>
      </c>
      <c r="D682" s="30" t="str">
        <f ca="1">IFERROR(__xludf.DUMMYFUNCTION("""COMPUTED_VALUE"""),"14")</f>
        <v>14</v>
      </c>
      <c r="E682" s="30" t="str">
        <f ca="1">IFERROR(__xludf.DUMMYFUNCTION("""COMPUTED_VALUE"""),"si")</f>
        <v>si</v>
      </c>
      <c r="F682" s="29"/>
      <c r="G682" s="29"/>
      <c r="H682" s="30" t="str">
        <f ca="1">IFERROR(__xludf.DUMMYFUNCTION("""COMPUTED_VALUE"""),"activo")</f>
        <v>activo</v>
      </c>
      <c r="I682" s="29"/>
      <c r="J682" s="29"/>
      <c r="K682" s="29"/>
      <c r="L682" s="30" t="str">
        <f ca="1">IFERROR(__xludf.DUMMYFUNCTION("""COMPUTED_VALUE"""),"No")</f>
        <v>No</v>
      </c>
      <c r="M682" s="30" t="str">
        <f ca="1">IFERROR(__xludf.DUMMYFUNCTION("""COMPUTED_VALUE"""),"14049100000")</f>
        <v>14049100000</v>
      </c>
      <c r="N682" s="30" t="str">
        <f ca="1">IFERROR(__xludf.DUMMYFUNCTION("""COMPUTED_VALUE"""),"QUILINO")</f>
        <v>QUILINO</v>
      </c>
      <c r="O682" s="30" t="str">
        <f ca="1">IFERROR(__xludf.DUMMYFUNCTION("""COMPUTED_VALUE"""),"1449")</f>
        <v>1449</v>
      </c>
      <c r="P682" s="30" t="str">
        <f ca="1">IFERROR(__xludf.DUMMYFUNCTION("""COMPUTED_VALUE"""),"ISCHILÍN")</f>
        <v>ISCHILÍN</v>
      </c>
      <c r="Q682" s="30" t="str">
        <f ca="1">IFERROR(__xludf.DUMMYFUNCTION("""COMPUTED_VALUE"""),"-30.213753")</f>
        <v>-30.213753</v>
      </c>
      <c r="R682" s="30" t="str">
        <f ca="1">IFERROR(__xludf.DUMMYFUNCTION("""COMPUTED_VALUE"""),"-64.499625")</f>
        <v>-64.499625</v>
      </c>
      <c r="S682" s="30" t="str">
        <f ca="1">IFERROR(__xludf.DUMMYFUNCTION("""COMPUTED_VALUE"""),"Municipal")</f>
        <v>Municipal</v>
      </c>
      <c r="T682" s="29"/>
    </row>
    <row r="683" spans="1:20" ht="15.75" customHeight="1" x14ac:dyDescent="0.25">
      <c r="A683" s="30" t="str">
        <f ca="1">IFERROR(__xludf.DUMMYFUNCTION("""COMPUTED_VALUE"""),"10140562231151")</f>
        <v>10140562231151</v>
      </c>
      <c r="B683" s="30" t="str">
        <f ca="1">IFERROR(__xludf.DUMMYFUNCTION("""COMPUTED_VALUE"""),"HOSPITAL DE LA COMUNIDAD DR. RINALDO J. A. MAINO DE GENERAL DEHEZA")</f>
        <v>HOSPITAL DE LA COMUNIDAD DR. RINALDO J. A. MAINO DE GENERAL DEHEZA</v>
      </c>
      <c r="C683" s="30" t="str">
        <f ca="1">IFERROR(__xludf.DUMMYFUNCTION("""COMPUTED_VALUE"""),"Córdoba")</f>
        <v>Córdoba</v>
      </c>
      <c r="D683" s="30" t="str">
        <f ca="1">IFERROR(__xludf.DUMMYFUNCTION("""COMPUTED_VALUE"""),"14")</f>
        <v>14</v>
      </c>
      <c r="E683" s="30" t="str">
        <f ca="1">IFERROR(__xludf.DUMMYFUNCTION("""COMPUTED_VALUE"""),"")</f>
        <v/>
      </c>
      <c r="F683" s="30" t="str">
        <f ca="1">IFERROR(__xludf.DUMMYFUNCTION("""COMPUTED_VALUE"""),"50140142233265")</f>
        <v>50140142233265</v>
      </c>
      <c r="G683" s="29"/>
      <c r="H683" s="30" t="str">
        <f ca="1">IFERROR(__xludf.DUMMYFUNCTION("""COMPUTED_VALUE"""),"activo")</f>
        <v>activo</v>
      </c>
      <c r="I683" s="30" t="str">
        <f ca="1">IFERROR(__xludf.DUMMYFUNCTION("""COMPUTED_VALUE"""),"2020")</f>
        <v>2020</v>
      </c>
      <c r="J683" s="29"/>
      <c r="K683" s="29"/>
      <c r="L683" s="30" t="str">
        <f ca="1">IFERROR(__xludf.DUMMYFUNCTION("""COMPUTED_VALUE"""),"No")</f>
        <v>No</v>
      </c>
      <c r="M683" s="30" t="str">
        <f ca="1">IFERROR(__xludf.DUMMYFUNCTION("""COMPUTED_VALUE"""),"14056080000")</f>
        <v>14056080000</v>
      </c>
      <c r="N683" s="30" t="str">
        <f ca="1">IFERROR(__xludf.DUMMYFUNCTION("""COMPUTED_VALUE"""),"GENERAL DEHEZA")</f>
        <v>GENERAL DEHEZA</v>
      </c>
      <c r="O683" s="30" t="str">
        <f ca="1">IFERROR(__xludf.DUMMYFUNCTION("""COMPUTED_VALUE"""),"1456")</f>
        <v>1456</v>
      </c>
      <c r="P683" s="30" t="str">
        <f ca="1">IFERROR(__xludf.DUMMYFUNCTION("""COMPUTED_VALUE"""),"JUÁREZ CELMAN")</f>
        <v>JUÁREZ CELMAN</v>
      </c>
      <c r="Q683" s="30" t="str">
        <f ca="1">IFERROR(__xludf.DUMMYFUNCTION("""COMPUTED_VALUE"""),"-32.757674")</f>
        <v>-32.757674</v>
      </c>
      <c r="R683" s="30" t="str">
        <f ca="1">IFERROR(__xludf.DUMMYFUNCTION("""COMPUTED_VALUE"""),"-63.788692")</f>
        <v>-63.788692</v>
      </c>
      <c r="S683" s="30" t="str">
        <f ca="1">IFERROR(__xludf.DUMMYFUNCTION("""COMPUTED_VALUE"""),"Municipal")</f>
        <v>Municipal</v>
      </c>
      <c r="T683" s="29"/>
    </row>
    <row r="684" spans="1:20" ht="15.75" customHeight="1" x14ac:dyDescent="0.25">
      <c r="A684" s="30" t="str">
        <f ca="1">IFERROR(__xludf.DUMMYFUNCTION("""COMPUTED_VALUE"""),"10140562231154")</f>
        <v>10140562231154</v>
      </c>
      <c r="B684" s="30" t="str">
        <f ca="1">IFERROR(__xludf.DUMMYFUNCTION("""COMPUTED_VALUE"""),"HOSPITAL MUNICIPAL AMARO E. SASTRE - GENERAL CABRERA -")</f>
        <v>HOSPITAL MUNICIPAL AMARO E. SASTRE - GENERAL CABRERA -</v>
      </c>
      <c r="C684" s="30" t="str">
        <f ca="1">IFERROR(__xludf.DUMMYFUNCTION("""COMPUTED_VALUE"""),"Córdoba")</f>
        <v>Córdoba</v>
      </c>
      <c r="D684" s="30" t="str">
        <f ca="1">IFERROR(__xludf.DUMMYFUNCTION("""COMPUTED_VALUE"""),"14")</f>
        <v>14</v>
      </c>
      <c r="E684" s="30" t="str">
        <f ca="1">IFERROR(__xludf.DUMMYFUNCTION("""COMPUTED_VALUE"""),"")</f>
        <v/>
      </c>
      <c r="F684" s="29"/>
      <c r="G684" s="29"/>
      <c r="H684" s="30" t="str">
        <f ca="1">IFERROR(__xludf.DUMMYFUNCTION("""COMPUTED_VALUE"""),"inactivo")</f>
        <v>inactivo</v>
      </c>
      <c r="I684" s="29"/>
      <c r="J684" s="29"/>
      <c r="K684" s="29"/>
      <c r="L684" s="30" t="str">
        <f ca="1">IFERROR(__xludf.DUMMYFUNCTION("""COMPUTED_VALUE"""),"No")</f>
        <v>No</v>
      </c>
      <c r="M684" s="30" t="str">
        <f ca="1">IFERROR(__xludf.DUMMYFUNCTION("""COMPUTED_VALUE"""),"14056070000")</f>
        <v>14056070000</v>
      </c>
      <c r="N684" s="30" t="str">
        <f ca="1">IFERROR(__xludf.DUMMYFUNCTION("""COMPUTED_VALUE"""),"GENERAL CABRERA")</f>
        <v>GENERAL CABRERA</v>
      </c>
      <c r="O684" s="30" t="str">
        <f ca="1">IFERROR(__xludf.DUMMYFUNCTION("""COMPUTED_VALUE"""),"1456")</f>
        <v>1456</v>
      </c>
      <c r="P684" s="30" t="str">
        <f ca="1">IFERROR(__xludf.DUMMYFUNCTION("""COMPUTED_VALUE"""),"JUÁREZ CELMAN")</f>
        <v>JUÁREZ CELMAN</v>
      </c>
      <c r="Q684" s="30" t="str">
        <f ca="1">IFERROR(__xludf.DUMMYFUNCTION("""COMPUTED_VALUE"""),"-32.810848")</f>
        <v>-32.810848</v>
      </c>
      <c r="R684" s="30" t="str">
        <f ca="1">IFERROR(__xludf.DUMMYFUNCTION("""COMPUTED_VALUE"""),"-63.872459")</f>
        <v>-63.872459</v>
      </c>
      <c r="S684" s="30" t="str">
        <f ca="1">IFERROR(__xludf.DUMMYFUNCTION("""COMPUTED_VALUE"""),"Municipal")</f>
        <v>Municipal</v>
      </c>
      <c r="T684" s="29"/>
    </row>
    <row r="685" spans="1:20" ht="15.75" customHeight="1" x14ac:dyDescent="0.25">
      <c r="A685" s="30" t="str">
        <f ca="1">IFERROR(__xludf.DUMMYFUNCTION("""COMPUTED_VALUE"""),"10140632131162")</f>
        <v>10140632131162</v>
      </c>
      <c r="B685" s="30" t="str">
        <f ca="1">IFERROR(__xludf.DUMMYFUNCTION("""COMPUTED_VALUE"""),"HOSPITAL DR. ABEL AYERZA")</f>
        <v>HOSPITAL DR. ABEL AYERZA</v>
      </c>
      <c r="C685" s="30" t="str">
        <f ca="1">IFERROR(__xludf.DUMMYFUNCTION("""COMPUTED_VALUE"""),"Córdoba")</f>
        <v>Córdoba</v>
      </c>
      <c r="D685" s="30" t="str">
        <f ca="1">IFERROR(__xludf.DUMMYFUNCTION("""COMPUTED_VALUE"""),"14")</f>
        <v>14</v>
      </c>
      <c r="E685" s="30" t="str">
        <f ca="1">IFERROR(__xludf.DUMMYFUNCTION("""COMPUTED_VALUE"""),"")</f>
        <v/>
      </c>
      <c r="F685" s="29"/>
      <c r="G685" s="29"/>
      <c r="H685" s="30" t="str">
        <f ca="1">IFERROR(__xludf.DUMMYFUNCTION("""COMPUTED_VALUE"""),"inactivo")</f>
        <v>inactivo</v>
      </c>
      <c r="I685" s="29"/>
      <c r="J685" s="29"/>
      <c r="K685" s="29"/>
      <c r="L685" s="30" t="str">
        <f ca="1">IFERROR(__xludf.DUMMYFUNCTION("""COMPUTED_VALUE"""),"No")</f>
        <v>No</v>
      </c>
      <c r="M685" s="30" t="str">
        <f ca="1">IFERROR(__xludf.DUMMYFUNCTION("""COMPUTED_VALUE"""),"14063180000")</f>
        <v>14063180000</v>
      </c>
      <c r="N685" s="30" t="str">
        <f ca="1">IFERROR(__xludf.DUMMYFUNCTION("""COMPUTED_VALUE"""),"MARCOS JUAREZ")</f>
        <v>MARCOS JUAREZ</v>
      </c>
      <c r="O685" s="30" t="str">
        <f ca="1">IFERROR(__xludf.DUMMYFUNCTION("""COMPUTED_VALUE"""),"1463")</f>
        <v>1463</v>
      </c>
      <c r="P685" s="30" t="str">
        <f ca="1">IFERROR(__xludf.DUMMYFUNCTION("""COMPUTED_VALUE"""),"MARCOS JUÁREZ")</f>
        <v>MARCOS JUÁREZ</v>
      </c>
      <c r="Q685" s="30" t="str">
        <f ca="1">IFERROR(__xludf.DUMMYFUNCTION("""COMPUTED_VALUE"""),"-32.69694")</f>
        <v>-32.69694</v>
      </c>
      <c r="R685" s="30" t="str">
        <f ca="1">IFERROR(__xludf.DUMMYFUNCTION("""COMPUTED_VALUE"""),"-62.095953")</f>
        <v>-62.095953</v>
      </c>
      <c r="S685" s="30" t="str">
        <f ca="1">IFERROR(__xludf.DUMMYFUNCTION("""COMPUTED_VALUE"""),"Provincial")</f>
        <v>Provincial</v>
      </c>
      <c r="T685" s="30" t="str">
        <f ca="1">IFERROR(__xludf.DUMMYFUNCTION("""COMPUTED_VALUE"""),"-")</f>
        <v>-</v>
      </c>
    </row>
    <row r="686" spans="1:20" ht="15.75" customHeight="1" x14ac:dyDescent="0.25">
      <c r="A686" s="30" t="str">
        <f ca="1">IFERROR(__xludf.DUMMYFUNCTION("""COMPUTED_VALUE"""),"10140632231195")</f>
        <v>10140632231195</v>
      </c>
      <c r="B686" s="30" t="str">
        <f ca="1">IFERROR(__xludf.DUMMYFUNCTION("""COMPUTED_VALUE"""),"HOSPITAL MUNICIPAL DR. LORENZO COLICA")</f>
        <v>HOSPITAL MUNICIPAL DR. LORENZO COLICA</v>
      </c>
      <c r="C686" s="30" t="str">
        <f ca="1">IFERROR(__xludf.DUMMYFUNCTION("""COMPUTED_VALUE"""),"Córdoba")</f>
        <v>Córdoba</v>
      </c>
      <c r="D686" s="30" t="str">
        <f ca="1">IFERROR(__xludf.DUMMYFUNCTION("""COMPUTED_VALUE"""),"14")</f>
        <v>14</v>
      </c>
      <c r="E686" s="30" t="str">
        <f ca="1">IFERROR(__xludf.DUMMYFUNCTION("""COMPUTED_VALUE"""),"")</f>
        <v/>
      </c>
      <c r="F686" s="29"/>
      <c r="G686" s="29"/>
      <c r="H686" s="30" t="str">
        <f ca="1">IFERROR(__xludf.DUMMYFUNCTION("""COMPUTED_VALUE"""),"inactivo")</f>
        <v>inactivo</v>
      </c>
      <c r="I686" s="29"/>
      <c r="J686" s="29"/>
      <c r="K686" s="29"/>
      <c r="L686" s="30" t="str">
        <f ca="1">IFERROR(__xludf.DUMMYFUNCTION("""COMPUTED_VALUE"""),"No")</f>
        <v>No</v>
      </c>
      <c r="M686" s="30" t="str">
        <f ca="1">IFERROR(__xludf.DUMMYFUNCTION("""COMPUTED_VALUE"""),"14063190000")</f>
        <v>14063190000</v>
      </c>
      <c r="N686" s="30" t="str">
        <f ca="1">IFERROR(__xludf.DUMMYFUNCTION("""COMPUTED_VALUE"""),"MONTE BUEY")</f>
        <v>MONTE BUEY</v>
      </c>
      <c r="O686" s="30" t="str">
        <f ca="1">IFERROR(__xludf.DUMMYFUNCTION("""COMPUTED_VALUE"""),"1463")</f>
        <v>1463</v>
      </c>
      <c r="P686" s="30" t="str">
        <f ca="1">IFERROR(__xludf.DUMMYFUNCTION("""COMPUTED_VALUE"""),"MARCOS JUÁREZ")</f>
        <v>MARCOS JUÁREZ</v>
      </c>
      <c r="Q686" s="30" t="str">
        <f ca="1">IFERROR(__xludf.DUMMYFUNCTION("""COMPUTED_VALUE"""),"-32.916527")</f>
        <v>-32.916527</v>
      </c>
      <c r="R686" s="30" t="str">
        <f ca="1">IFERROR(__xludf.DUMMYFUNCTION("""COMPUTED_VALUE"""),"-62.457531")</f>
        <v>-62.457531</v>
      </c>
      <c r="S686" s="30" t="str">
        <f ca="1">IFERROR(__xludf.DUMMYFUNCTION("""COMPUTED_VALUE"""),"Municipal")</f>
        <v>Municipal</v>
      </c>
      <c r="T686" s="29"/>
    </row>
    <row r="687" spans="1:20" ht="15.75" customHeight="1" x14ac:dyDescent="0.25">
      <c r="A687" s="30" t="str">
        <f ca="1">IFERROR(__xludf.DUMMYFUNCTION("""COMPUTED_VALUE"""),"10140632231208")</f>
        <v>10140632231208</v>
      </c>
      <c r="B687" s="30" t="str">
        <f ca="1">IFERROR(__xludf.DUMMYFUNCTION("""COMPUTED_VALUE"""),"HOSPITAL MUNICIPAL EVA PERON ISLA VERDE")</f>
        <v>HOSPITAL MUNICIPAL EVA PERON ISLA VERDE</v>
      </c>
      <c r="C687" s="30" t="str">
        <f ca="1">IFERROR(__xludf.DUMMYFUNCTION("""COMPUTED_VALUE"""),"Córdoba")</f>
        <v>Córdoba</v>
      </c>
      <c r="D687" s="30" t="str">
        <f ca="1">IFERROR(__xludf.DUMMYFUNCTION("""COMPUTED_VALUE"""),"14")</f>
        <v>14</v>
      </c>
      <c r="E687" s="30" t="str">
        <f ca="1">IFERROR(__xludf.DUMMYFUNCTION("""COMPUTED_VALUE"""),"")</f>
        <v/>
      </c>
      <c r="F687" s="29"/>
      <c r="G687" s="29"/>
      <c r="H687" s="30" t="str">
        <f ca="1">IFERROR(__xludf.DUMMYFUNCTION("""COMPUTED_VALUE"""),"activo")</f>
        <v>activo</v>
      </c>
      <c r="I687" s="29"/>
      <c r="J687" s="29"/>
      <c r="K687" s="29"/>
      <c r="L687" s="30" t="str">
        <f ca="1">IFERROR(__xludf.DUMMYFUNCTION("""COMPUTED_VALUE"""),"No")</f>
        <v>No</v>
      </c>
      <c r="M687" s="30" t="str">
        <f ca="1">IFERROR(__xludf.DUMMYFUNCTION("""COMPUTED_VALUE"""),"14063150000")</f>
        <v>14063150000</v>
      </c>
      <c r="N687" s="30" t="str">
        <f ca="1">IFERROR(__xludf.DUMMYFUNCTION("""COMPUTED_VALUE"""),"ISLA VERDE")</f>
        <v>ISLA VERDE</v>
      </c>
      <c r="O687" s="30" t="str">
        <f ca="1">IFERROR(__xludf.DUMMYFUNCTION("""COMPUTED_VALUE"""),"1463")</f>
        <v>1463</v>
      </c>
      <c r="P687" s="30" t="str">
        <f ca="1">IFERROR(__xludf.DUMMYFUNCTION("""COMPUTED_VALUE"""),"MARCOS JUÁREZ")</f>
        <v>MARCOS JUÁREZ</v>
      </c>
      <c r="Q687" s="30" t="str">
        <f ca="1">IFERROR(__xludf.DUMMYFUNCTION("""COMPUTED_VALUE"""),"-33.238209")</f>
        <v>-33.238209</v>
      </c>
      <c r="R687" s="30" t="str">
        <f ca="1">IFERROR(__xludf.DUMMYFUNCTION("""COMPUTED_VALUE"""),"-62.401103")</f>
        <v>-62.401103</v>
      </c>
      <c r="S687" s="30" t="str">
        <f ca="1">IFERROR(__xludf.DUMMYFUNCTION("""COMPUTED_VALUE"""),"Municipal")</f>
        <v>Municipal</v>
      </c>
      <c r="T687" s="29"/>
    </row>
    <row r="688" spans="1:20" ht="15.75" customHeight="1" x14ac:dyDescent="0.25">
      <c r="A688" s="30" t="str">
        <f ca="1">IFERROR(__xludf.DUMMYFUNCTION("""COMPUTED_VALUE"""),"10140632231230")</f>
        <v>10140632231230</v>
      </c>
      <c r="B688" s="30" t="str">
        <f ca="1">IFERROR(__xludf.DUMMYFUNCTION("""COMPUTED_VALUE"""),"HOSPITAL MUNICIPAL SAN ROQUE DE LEONES")</f>
        <v>HOSPITAL MUNICIPAL SAN ROQUE DE LEONES</v>
      </c>
      <c r="C688" s="30" t="str">
        <f ca="1">IFERROR(__xludf.DUMMYFUNCTION("""COMPUTED_VALUE"""),"Córdoba")</f>
        <v>Córdoba</v>
      </c>
      <c r="D688" s="30" t="str">
        <f ca="1">IFERROR(__xludf.DUMMYFUNCTION("""COMPUTED_VALUE"""),"14")</f>
        <v>14</v>
      </c>
      <c r="E688" s="30" t="str">
        <f ca="1">IFERROR(__xludf.DUMMYFUNCTION("""COMPUTED_VALUE"""),"")</f>
        <v/>
      </c>
      <c r="F688" s="29"/>
      <c r="G688" s="29"/>
      <c r="H688" s="30" t="str">
        <f ca="1">IFERROR(__xludf.DUMMYFUNCTION("""COMPUTED_VALUE"""),"inactivo")</f>
        <v>inactivo</v>
      </c>
      <c r="I688" s="29"/>
      <c r="J688" s="29"/>
      <c r="K688" s="29"/>
      <c r="L688" s="30" t="str">
        <f ca="1">IFERROR(__xludf.DUMMYFUNCTION("""COMPUTED_VALUE"""),"No")</f>
        <v>No</v>
      </c>
      <c r="M688" s="30" t="str">
        <f ca="1">IFERROR(__xludf.DUMMYFUNCTION("""COMPUTED_VALUE"""),"14063160000")</f>
        <v>14063160000</v>
      </c>
      <c r="N688" s="30" t="str">
        <f ca="1">IFERROR(__xludf.DUMMYFUNCTION("""COMPUTED_VALUE"""),"LEONES")</f>
        <v>LEONES</v>
      </c>
      <c r="O688" s="30" t="str">
        <f ca="1">IFERROR(__xludf.DUMMYFUNCTION("""COMPUTED_VALUE"""),"1463")</f>
        <v>1463</v>
      </c>
      <c r="P688" s="30" t="str">
        <f ca="1">IFERROR(__xludf.DUMMYFUNCTION("""COMPUTED_VALUE"""),"MARCOS JUÁREZ")</f>
        <v>MARCOS JUÁREZ</v>
      </c>
      <c r="Q688" s="30" t="str">
        <f ca="1">IFERROR(__xludf.DUMMYFUNCTION("""COMPUTED_VALUE"""),"-32.659401")</f>
        <v>-32.659401</v>
      </c>
      <c r="R688" s="30" t="str">
        <f ca="1">IFERROR(__xludf.DUMMYFUNCTION("""COMPUTED_VALUE"""),"-62.303313")</f>
        <v>-62.303313</v>
      </c>
      <c r="S688" s="30" t="str">
        <f ca="1">IFERROR(__xludf.DUMMYFUNCTION("""COMPUTED_VALUE"""),"Municipal")</f>
        <v>Municipal</v>
      </c>
      <c r="T688" s="29"/>
    </row>
    <row r="689" spans="1:20" ht="15.75" customHeight="1" x14ac:dyDescent="0.25">
      <c r="A689" s="30" t="str">
        <f ca="1">IFERROR(__xludf.DUMMYFUNCTION("""COMPUTED_VALUE"""),"10140772231155")</f>
        <v>10140772231155</v>
      </c>
      <c r="B689" s="30" t="str">
        <f ca="1">IFERROR(__xludf.DUMMYFUNCTION("""COMPUTED_VALUE"""),"HOSPITAL VECINAL SALSACATE")</f>
        <v>HOSPITAL VECINAL SALSACATE</v>
      </c>
      <c r="C689" s="30" t="str">
        <f ca="1">IFERROR(__xludf.DUMMYFUNCTION("""COMPUTED_VALUE"""),"Córdoba")</f>
        <v>Córdoba</v>
      </c>
      <c r="D689" s="30" t="str">
        <f ca="1">IFERROR(__xludf.DUMMYFUNCTION("""COMPUTED_VALUE"""),"14")</f>
        <v>14</v>
      </c>
      <c r="E689" s="30" t="str">
        <f ca="1">IFERROR(__xludf.DUMMYFUNCTION("""COMPUTED_VALUE"""),"")</f>
        <v/>
      </c>
      <c r="F689" s="29"/>
      <c r="G689" s="29"/>
      <c r="H689" s="30" t="str">
        <f ca="1">IFERROR(__xludf.DUMMYFUNCTION("""COMPUTED_VALUE"""),"inactivo")</f>
        <v>inactivo</v>
      </c>
      <c r="I689" s="29"/>
      <c r="J689" s="29"/>
      <c r="K689" s="29"/>
      <c r="L689" s="30" t="str">
        <f ca="1">IFERROR(__xludf.DUMMYFUNCTION("""COMPUTED_VALUE"""),"No")</f>
        <v>No</v>
      </c>
      <c r="M689" s="30" t="str">
        <f ca="1">IFERROR(__xludf.DUMMYFUNCTION("""COMPUTED_VALUE"""),"14077040000")</f>
        <v>14077040000</v>
      </c>
      <c r="N689" s="30" t="str">
        <f ca="1">IFERROR(__xludf.DUMMYFUNCTION("""COMPUTED_VALUE"""),"SALSACATE")</f>
        <v>SALSACATE</v>
      </c>
      <c r="O689" s="30" t="str">
        <f ca="1">IFERROR(__xludf.DUMMYFUNCTION("""COMPUTED_VALUE"""),"1477")</f>
        <v>1477</v>
      </c>
      <c r="P689" s="30" t="str">
        <f ca="1">IFERROR(__xludf.DUMMYFUNCTION("""COMPUTED_VALUE"""),"POCHO")</f>
        <v>POCHO</v>
      </c>
      <c r="Q689" s="30" t="str">
        <f ca="1">IFERROR(__xludf.DUMMYFUNCTION("""COMPUTED_VALUE"""),"-31.317544")</f>
        <v>-31.317544</v>
      </c>
      <c r="R689" s="30" t="str">
        <f ca="1">IFERROR(__xludf.DUMMYFUNCTION("""COMPUTED_VALUE"""),"-65.089728")</f>
        <v>-65.089728</v>
      </c>
      <c r="S689" s="30" t="str">
        <f ca="1">IFERROR(__xludf.DUMMYFUNCTION("""COMPUTED_VALUE"""),"Municipal")</f>
        <v>Municipal</v>
      </c>
      <c r="T689" s="29"/>
    </row>
    <row r="690" spans="1:20" ht="15.75" customHeight="1" x14ac:dyDescent="0.25">
      <c r="A690" s="30" t="str">
        <f ca="1">IFERROR(__xludf.DUMMYFUNCTION("""COMPUTED_VALUE"""),"10140842231152")</f>
        <v>10140842231152</v>
      </c>
      <c r="B690" s="30" t="str">
        <f ca="1">IFERROR(__xludf.DUMMYFUNCTION("""COMPUTED_VALUE"""),"HOSPITAL MUNICIPAL INTENDENTE ANTONIO BUSSO")</f>
        <v>HOSPITAL MUNICIPAL INTENDENTE ANTONIO BUSSO</v>
      </c>
      <c r="C690" s="30" t="str">
        <f ca="1">IFERROR(__xludf.DUMMYFUNCTION("""COMPUTED_VALUE"""),"Córdoba")</f>
        <v>Córdoba</v>
      </c>
      <c r="D690" s="30" t="str">
        <f ca="1">IFERROR(__xludf.DUMMYFUNCTION("""COMPUTED_VALUE"""),"14")</f>
        <v>14</v>
      </c>
      <c r="E690" s="30" t="str">
        <f ca="1">IFERROR(__xludf.DUMMYFUNCTION("""COMPUTED_VALUE"""),"")</f>
        <v/>
      </c>
      <c r="F690" s="29"/>
      <c r="G690" s="29"/>
      <c r="H690" s="30" t="str">
        <f ca="1">IFERROR(__xludf.DUMMYFUNCTION("""COMPUTED_VALUE"""),"inactivo")</f>
        <v>inactivo</v>
      </c>
      <c r="I690" s="29"/>
      <c r="J690" s="29"/>
      <c r="K690" s="29"/>
      <c r="L690" s="30" t="str">
        <f ca="1">IFERROR(__xludf.DUMMYFUNCTION("""COMPUTED_VALUE"""),"No")</f>
        <v>No</v>
      </c>
      <c r="M690" s="30" t="str">
        <f ca="1">IFERROR(__xludf.DUMMYFUNCTION("""COMPUTED_VALUE"""),"14084090000")</f>
        <v>14084090000</v>
      </c>
      <c r="N690" s="30" t="str">
        <f ca="1">IFERROR(__xludf.DUMMYFUNCTION("""COMPUTED_VALUE"""),"SERRANO")</f>
        <v>SERRANO</v>
      </c>
      <c r="O690" s="30" t="str">
        <f ca="1">IFERROR(__xludf.DUMMYFUNCTION("""COMPUTED_VALUE"""),"1484")</f>
        <v>1484</v>
      </c>
      <c r="P690" s="30" t="str">
        <f ca="1">IFERROR(__xludf.DUMMYFUNCTION("""COMPUTED_VALUE"""),"PRESIDENTE ROQUE SÁENZ PEÑA")</f>
        <v>PRESIDENTE ROQUE SÁENZ PEÑA</v>
      </c>
      <c r="Q690" s="30" t="str">
        <f ca="1">IFERROR(__xludf.DUMMYFUNCTION("""COMPUTED_VALUE"""),"-34.475088")</f>
        <v>-34.475088</v>
      </c>
      <c r="R690" s="30" t="str">
        <f ca="1">IFERROR(__xludf.DUMMYFUNCTION("""COMPUTED_VALUE"""),"-63.542925")</f>
        <v>-63.542925</v>
      </c>
      <c r="S690" s="30" t="str">
        <f ca="1">IFERROR(__xludf.DUMMYFUNCTION("""COMPUTED_VALUE"""),"Municipal")</f>
        <v>Municipal</v>
      </c>
      <c r="T690" s="29"/>
    </row>
    <row r="691" spans="1:20" ht="15.75" customHeight="1" x14ac:dyDescent="0.25">
      <c r="A691" s="30" t="str">
        <f ca="1">IFERROR(__xludf.DUMMYFUNCTION("""COMPUTED_VALUE"""),"10140912231191")</f>
        <v>10140912231191</v>
      </c>
      <c r="B691" s="30" t="str">
        <f ca="1">IFERROR(__xludf.DUMMYFUNCTION("""COMPUTED_VALUE"""),"HOSPITAL MUNICIPAL DR. GUMERSINDO SAYAGO")</f>
        <v>HOSPITAL MUNICIPAL DR. GUMERSINDO SAYAGO</v>
      </c>
      <c r="C691" s="30" t="str">
        <f ca="1">IFERROR(__xludf.DUMMYFUNCTION("""COMPUTED_VALUE"""),"Córdoba")</f>
        <v>Córdoba</v>
      </c>
      <c r="D691" s="30" t="str">
        <f ca="1">IFERROR(__xludf.DUMMYFUNCTION("""COMPUTED_VALUE"""),"14")</f>
        <v>14</v>
      </c>
      <c r="E691" s="30" t="str">
        <f ca="1">IFERROR(__xludf.DUMMYFUNCTION("""COMPUTED_VALUE"""),"")</f>
        <v/>
      </c>
      <c r="F691" s="29"/>
      <c r="G691" s="29"/>
      <c r="H691" s="30" t="str">
        <f ca="1">IFERROR(__xludf.DUMMYFUNCTION("""COMPUTED_VALUE"""),"activo")</f>
        <v>activo</v>
      </c>
      <c r="I691" s="29"/>
      <c r="J691" s="29"/>
      <c r="K691" s="29"/>
      <c r="L691" s="30" t="str">
        <f ca="1">IFERROR(__xludf.DUMMYFUNCTION("""COMPUTED_VALUE"""),"No")</f>
        <v>No</v>
      </c>
      <c r="M691" s="30" t="str">
        <f ca="1">IFERROR(__xludf.DUMMYFUNCTION("""COMPUTED_VALUE"""),"14091250000")</f>
        <v>14091250000</v>
      </c>
      <c r="N691" s="30" t="str">
        <f ca="1">IFERROR(__xludf.DUMMYFUNCTION("""COMPUTED_VALUE"""),"VILLA CARLOS PAZ")</f>
        <v>VILLA CARLOS PAZ</v>
      </c>
      <c r="O691" s="30" t="str">
        <f ca="1">IFERROR(__xludf.DUMMYFUNCTION("""COMPUTED_VALUE"""),"1491")</f>
        <v>1491</v>
      </c>
      <c r="P691" s="30" t="str">
        <f ca="1">IFERROR(__xludf.DUMMYFUNCTION("""COMPUTED_VALUE"""),"PUNILLA")</f>
        <v>PUNILLA</v>
      </c>
      <c r="Q691" s="30" t="str">
        <f ca="1">IFERROR(__xludf.DUMMYFUNCTION("""COMPUTED_VALUE"""),"-31.439542")</f>
        <v>-31.439542</v>
      </c>
      <c r="R691" s="30" t="str">
        <f ca="1">IFERROR(__xludf.DUMMYFUNCTION("""COMPUTED_VALUE"""),"-64.5053079")</f>
        <v>-64.5053079</v>
      </c>
      <c r="S691" s="30" t="str">
        <f ca="1">IFERROR(__xludf.DUMMYFUNCTION("""COMPUTED_VALUE"""),"Municipal")</f>
        <v>Municipal</v>
      </c>
      <c r="T691" s="29"/>
    </row>
    <row r="692" spans="1:20" ht="15.75" customHeight="1" x14ac:dyDescent="0.25">
      <c r="A692" s="30" t="str">
        <f ca="1">IFERROR(__xludf.DUMMYFUNCTION("""COMPUTED_VALUE"""),"10140912231199")</f>
        <v>10140912231199</v>
      </c>
      <c r="B692" s="30" t="str">
        <f ca="1">IFERROR(__xludf.DUMMYFUNCTION("""COMPUTED_VALUE"""),"HOSPITAL MUNICIPAL DR. OSCAR AMERICO LUQUI")</f>
        <v>HOSPITAL MUNICIPAL DR. OSCAR AMERICO LUQUI</v>
      </c>
      <c r="C692" s="30" t="str">
        <f ca="1">IFERROR(__xludf.DUMMYFUNCTION("""COMPUTED_VALUE"""),"Córdoba")</f>
        <v>Córdoba</v>
      </c>
      <c r="D692" s="30" t="str">
        <f ca="1">IFERROR(__xludf.DUMMYFUNCTION("""COMPUTED_VALUE"""),"14")</f>
        <v>14</v>
      </c>
      <c r="E692" s="30" t="str">
        <f ca="1">IFERROR(__xludf.DUMMYFUNCTION("""COMPUTED_VALUE"""),"si")</f>
        <v>si</v>
      </c>
      <c r="F692" s="29"/>
      <c r="G692" s="29"/>
      <c r="H692" s="30" t="str">
        <f ca="1">IFERROR(__xludf.DUMMYFUNCTION("""COMPUTED_VALUE"""),"activo")</f>
        <v>activo</v>
      </c>
      <c r="I692" s="29"/>
      <c r="J692" s="29"/>
      <c r="K692" s="29"/>
      <c r="L692" s="30" t="str">
        <f ca="1">IFERROR(__xludf.DUMMYFUNCTION("""COMPUTED_VALUE"""),"No")</f>
        <v>No</v>
      </c>
      <c r="M692" s="30" t="str">
        <f ca="1">IFERROR(__xludf.DUMMYFUNCTION("""COMPUTED_VALUE"""),"14091040000")</f>
        <v>14091040000</v>
      </c>
      <c r="N692" s="30" t="str">
        <f ca="1">IFERROR(__xludf.DUMMYFUNCTION("""COMPUTED_VALUE"""),"CAPILLA DEL MONTE")</f>
        <v>CAPILLA DEL MONTE</v>
      </c>
      <c r="O692" s="30" t="str">
        <f ca="1">IFERROR(__xludf.DUMMYFUNCTION("""COMPUTED_VALUE"""),"1491")</f>
        <v>1491</v>
      </c>
      <c r="P692" s="30" t="str">
        <f ca="1">IFERROR(__xludf.DUMMYFUNCTION("""COMPUTED_VALUE"""),"PUNILLA")</f>
        <v>PUNILLA</v>
      </c>
      <c r="Q692" s="30" t="str">
        <f ca="1">IFERROR(__xludf.DUMMYFUNCTION("""COMPUTED_VALUE"""),"-30.856004")</f>
        <v>-30.856004</v>
      </c>
      <c r="R692" s="30" t="str">
        <f ca="1">IFERROR(__xludf.DUMMYFUNCTION("""COMPUTED_VALUE"""),"-64.528497")</f>
        <v>-64.528497</v>
      </c>
      <c r="S692" s="30" t="str">
        <f ca="1">IFERROR(__xludf.DUMMYFUNCTION("""COMPUTED_VALUE"""),"Municipal")</f>
        <v>Municipal</v>
      </c>
      <c r="T692" s="29"/>
    </row>
    <row r="693" spans="1:20" ht="15.75" customHeight="1" x14ac:dyDescent="0.25">
      <c r="A693" s="30" t="str">
        <f ca="1">IFERROR(__xludf.DUMMYFUNCTION("""COMPUTED_VALUE"""),"10140982231174")</f>
        <v>10140982231174</v>
      </c>
      <c r="B693" s="30" t="str">
        <f ca="1">IFERROR(__xludf.DUMMYFUNCTION("""COMPUTED_VALUE"""),"HOSPITAL MUNICIPAL BERROTARAN")</f>
        <v>HOSPITAL MUNICIPAL BERROTARAN</v>
      </c>
      <c r="C693" s="30" t="str">
        <f ca="1">IFERROR(__xludf.DUMMYFUNCTION("""COMPUTED_VALUE"""),"Córdoba")</f>
        <v>Córdoba</v>
      </c>
      <c r="D693" s="30" t="str">
        <f ca="1">IFERROR(__xludf.DUMMYFUNCTION("""COMPUTED_VALUE"""),"14")</f>
        <v>14</v>
      </c>
      <c r="E693" s="30" t="str">
        <f ca="1">IFERROR(__xludf.DUMMYFUNCTION("""COMPUTED_VALUE"""),"si")</f>
        <v>si</v>
      </c>
      <c r="F693" s="29"/>
      <c r="G693" s="29"/>
      <c r="H693" s="30" t="str">
        <f ca="1">IFERROR(__xludf.DUMMYFUNCTION("""COMPUTED_VALUE"""),"inactivo")</f>
        <v>inactivo</v>
      </c>
      <c r="I693" s="29"/>
      <c r="J693" s="29"/>
      <c r="K693" s="29"/>
      <c r="L693" s="30" t="str">
        <f ca="1">IFERROR(__xludf.DUMMYFUNCTION("""COMPUTED_VALUE"""),"No")</f>
        <v>No</v>
      </c>
      <c r="M693" s="30" t="str">
        <f ca="1">IFERROR(__xludf.DUMMYFUNCTION("""COMPUTED_VALUE"""),"14098050000")</f>
        <v>14098050000</v>
      </c>
      <c r="N693" s="30" t="str">
        <f ca="1">IFERROR(__xludf.DUMMYFUNCTION("""COMPUTED_VALUE"""),"BERROTARAN")</f>
        <v>BERROTARAN</v>
      </c>
      <c r="O693" s="30" t="str">
        <f ca="1">IFERROR(__xludf.DUMMYFUNCTION("""COMPUTED_VALUE"""),"1498")</f>
        <v>1498</v>
      </c>
      <c r="P693" s="30" t="str">
        <f ca="1">IFERROR(__xludf.DUMMYFUNCTION("""COMPUTED_VALUE"""),"RÍO CUARTO")</f>
        <v>RÍO CUARTO</v>
      </c>
      <c r="Q693" s="30" t="str">
        <f ca="1">IFERROR(__xludf.DUMMYFUNCTION("""COMPUTED_VALUE"""),"-32.448133")</f>
        <v>-32.448133</v>
      </c>
      <c r="R693" s="30" t="str">
        <f ca="1">IFERROR(__xludf.DUMMYFUNCTION("""COMPUTED_VALUE"""),"-64.395064")</f>
        <v>-64.395064</v>
      </c>
      <c r="S693" s="30" t="str">
        <f ca="1">IFERROR(__xludf.DUMMYFUNCTION("""COMPUTED_VALUE"""),"Municipal")</f>
        <v>Municipal</v>
      </c>
      <c r="T693" s="29"/>
    </row>
    <row r="694" spans="1:20" ht="15.75" customHeight="1" x14ac:dyDescent="0.25">
      <c r="A694" s="30" t="str">
        <f ca="1">IFERROR(__xludf.DUMMYFUNCTION("""COMPUTED_VALUE"""),"10140982231211")</f>
        <v>10140982231211</v>
      </c>
      <c r="B694" s="30" t="str">
        <f ca="1">IFERROR(__xludf.DUMMYFUNCTION("""COMPUTED_VALUE"""),"HOSPITAL MUNICIPAL JUAN BAUTISTA MEDEOT")</f>
        <v>HOSPITAL MUNICIPAL JUAN BAUTISTA MEDEOT</v>
      </c>
      <c r="C694" s="30" t="str">
        <f ca="1">IFERROR(__xludf.DUMMYFUNCTION("""COMPUTED_VALUE"""),"Córdoba")</f>
        <v>Córdoba</v>
      </c>
      <c r="D694" s="30" t="str">
        <f ca="1">IFERROR(__xludf.DUMMYFUNCTION("""COMPUTED_VALUE"""),"14")</f>
        <v>14</v>
      </c>
      <c r="E694" s="30" t="str">
        <f ca="1">IFERROR(__xludf.DUMMYFUNCTION("""COMPUTED_VALUE"""),"")</f>
        <v/>
      </c>
      <c r="F694" s="29"/>
      <c r="G694" s="29"/>
      <c r="H694" s="30" t="str">
        <f ca="1">IFERROR(__xludf.DUMMYFUNCTION("""COMPUTED_VALUE"""),"inactivo")</f>
        <v>inactivo</v>
      </c>
      <c r="I694" s="29"/>
      <c r="J694" s="29"/>
      <c r="K694" s="29"/>
      <c r="L694" s="30" t="str">
        <f ca="1">IFERROR(__xludf.DUMMYFUNCTION("""COMPUTED_VALUE"""),"No")</f>
        <v>No</v>
      </c>
      <c r="M694" s="30" t="str">
        <f ca="1">IFERROR(__xludf.DUMMYFUNCTION("""COMPUTED_VALUE"""),"14098240000")</f>
        <v>14098240000</v>
      </c>
      <c r="N694" s="30" t="str">
        <f ca="1">IFERROR(__xludf.DUMMYFUNCTION("""COMPUTED_VALUE"""),"SAMPACHO")</f>
        <v>SAMPACHO</v>
      </c>
      <c r="O694" s="30" t="str">
        <f ca="1">IFERROR(__xludf.DUMMYFUNCTION("""COMPUTED_VALUE"""),"1498")</f>
        <v>1498</v>
      </c>
      <c r="P694" s="30" t="str">
        <f ca="1">IFERROR(__xludf.DUMMYFUNCTION("""COMPUTED_VALUE"""),"RÍO CUARTO")</f>
        <v>RÍO CUARTO</v>
      </c>
      <c r="Q694" s="30" t="str">
        <f ca="1">IFERROR(__xludf.DUMMYFUNCTION("""COMPUTED_VALUE"""),"-33.383045")</f>
        <v>-33.383045</v>
      </c>
      <c r="R694" s="30" t="str">
        <f ca="1">IFERROR(__xludf.DUMMYFUNCTION("""COMPUTED_VALUE"""),"-64.722074")</f>
        <v>-64.722074</v>
      </c>
      <c r="S694" s="30" t="str">
        <f ca="1">IFERROR(__xludf.DUMMYFUNCTION("""COMPUTED_VALUE"""),"Municipal")</f>
        <v>Municipal</v>
      </c>
      <c r="T694" s="29"/>
    </row>
    <row r="695" spans="1:20" ht="15.75" customHeight="1" x14ac:dyDescent="0.25">
      <c r="A695" s="30" t="str">
        <f ca="1">IFERROR(__xludf.DUMMYFUNCTION("""COMPUTED_VALUE"""),"10140982231235")</f>
        <v>10140982231235</v>
      </c>
      <c r="B695" s="30" t="str">
        <f ca="1">IFERROR(__xludf.DUMMYFUNCTION("""COMPUTED_VALUE"""),"HOSPITAL MUNICIPAL TOMAS PONSONE DE CORONEL MOLDES")</f>
        <v>HOSPITAL MUNICIPAL TOMAS PONSONE DE CORONEL MOLDES</v>
      </c>
      <c r="C695" s="30" t="str">
        <f ca="1">IFERROR(__xludf.DUMMYFUNCTION("""COMPUTED_VALUE"""),"Córdoba")</f>
        <v>Córdoba</v>
      </c>
      <c r="D695" s="30" t="str">
        <f ca="1">IFERROR(__xludf.DUMMYFUNCTION("""COMPUTED_VALUE"""),"14")</f>
        <v>14</v>
      </c>
      <c r="E695" s="30" t="str">
        <f ca="1">IFERROR(__xludf.DUMMYFUNCTION("""COMPUTED_VALUE"""),"")</f>
        <v/>
      </c>
      <c r="F695" s="29"/>
      <c r="G695" s="29"/>
      <c r="H695" s="30" t="str">
        <f ca="1">IFERROR(__xludf.DUMMYFUNCTION("""COMPUTED_VALUE"""),"inactivo")</f>
        <v>inactivo</v>
      </c>
      <c r="I695" s="29"/>
      <c r="J695" s="29"/>
      <c r="K695" s="29"/>
      <c r="L695" s="30" t="str">
        <f ca="1">IFERROR(__xludf.DUMMYFUNCTION("""COMPUTED_VALUE"""),"No")</f>
        <v>No</v>
      </c>
      <c r="M695" s="30" t="str">
        <f ca="1">IFERROR(__xludf.DUMMYFUNCTION("""COMPUTED_VALUE"""),"14098100000")</f>
        <v>14098100000</v>
      </c>
      <c r="N695" s="30" t="str">
        <f ca="1">IFERROR(__xludf.DUMMYFUNCTION("""COMPUTED_VALUE"""),"CORONEL MOLDES")</f>
        <v>CORONEL MOLDES</v>
      </c>
      <c r="O695" s="30" t="str">
        <f ca="1">IFERROR(__xludf.DUMMYFUNCTION("""COMPUTED_VALUE"""),"1498")</f>
        <v>1498</v>
      </c>
      <c r="P695" s="30" t="str">
        <f ca="1">IFERROR(__xludf.DUMMYFUNCTION("""COMPUTED_VALUE"""),"RÍO CUARTO")</f>
        <v>RÍO CUARTO</v>
      </c>
      <c r="Q695" s="30" t="str">
        <f ca="1">IFERROR(__xludf.DUMMYFUNCTION("""COMPUTED_VALUE"""),"-33.622352")</f>
        <v>-33.622352</v>
      </c>
      <c r="R695" s="30" t="str">
        <f ca="1">IFERROR(__xludf.DUMMYFUNCTION("""COMPUTED_VALUE"""),"-64.598069")</f>
        <v>-64.598069</v>
      </c>
      <c r="S695" s="30" t="str">
        <f ca="1">IFERROR(__xludf.DUMMYFUNCTION("""COMPUTED_VALUE"""),"Municipal")</f>
        <v>Municipal</v>
      </c>
      <c r="T695" s="29"/>
    </row>
    <row r="696" spans="1:20" ht="15.75" customHeight="1" x14ac:dyDescent="0.25">
      <c r="A696" s="30" t="str">
        <f ca="1">IFERROR(__xludf.DUMMYFUNCTION("""COMPUTED_VALUE"""),"10140982231265")</f>
        <v>10140982231265</v>
      </c>
      <c r="B696" s="30" t="str">
        <f ca="1">IFERROR(__xludf.DUMMYFUNCTION("""COMPUTED_VALUE"""),"HOSPITAL DR. ENRIQUE CARROZZI")</f>
        <v>HOSPITAL DR. ENRIQUE CARROZZI</v>
      </c>
      <c r="C696" s="30" t="str">
        <f ca="1">IFERROR(__xludf.DUMMYFUNCTION("""COMPUTED_VALUE"""),"Córdoba")</f>
        <v>Córdoba</v>
      </c>
      <c r="D696" s="30" t="str">
        <f ca="1">IFERROR(__xludf.DUMMYFUNCTION("""COMPUTED_VALUE"""),"14")</f>
        <v>14</v>
      </c>
      <c r="E696" s="30" t="str">
        <f ca="1">IFERROR(__xludf.DUMMYFUNCTION("""COMPUTED_VALUE"""),"")</f>
        <v/>
      </c>
      <c r="F696" s="29"/>
      <c r="G696" s="29"/>
      <c r="H696" s="30" t="str">
        <f ca="1">IFERROR(__xludf.DUMMYFUNCTION("""COMPUTED_VALUE"""),"activo")</f>
        <v>activo</v>
      </c>
      <c r="I696" s="29"/>
      <c r="J696" s="29"/>
      <c r="K696" s="29"/>
      <c r="L696" s="30" t="str">
        <f ca="1">IFERROR(__xludf.DUMMYFUNCTION("""COMPUTED_VALUE"""),"No")</f>
        <v>No</v>
      </c>
      <c r="M696" s="30" t="str">
        <f ca="1">IFERROR(__xludf.DUMMYFUNCTION("""COMPUTED_VALUE"""),"14098290000")</f>
        <v>14098290000</v>
      </c>
      <c r="N696" s="30" t="str">
        <f ca="1">IFERROR(__xludf.DUMMYFUNCTION("""COMPUTED_VALUE"""),"VICUÑA MACKENNA")</f>
        <v>VICUÑA MACKENNA</v>
      </c>
      <c r="O696" s="30" t="str">
        <f ca="1">IFERROR(__xludf.DUMMYFUNCTION("""COMPUTED_VALUE"""),"1498")</f>
        <v>1498</v>
      </c>
      <c r="P696" s="30" t="str">
        <f ca="1">IFERROR(__xludf.DUMMYFUNCTION("""COMPUTED_VALUE"""),"RÍO CUARTO")</f>
        <v>RÍO CUARTO</v>
      </c>
      <c r="Q696" s="30" t="str">
        <f ca="1">IFERROR(__xludf.DUMMYFUNCTION("""COMPUTED_VALUE"""),"-33.914285")</f>
        <v>-33.914285</v>
      </c>
      <c r="R696" s="30" t="str">
        <f ca="1">IFERROR(__xludf.DUMMYFUNCTION("""COMPUTED_VALUE"""),"-64.396132")</f>
        <v>-64.396132</v>
      </c>
      <c r="S696" s="30" t="str">
        <f ca="1">IFERROR(__xludf.DUMMYFUNCTION("""COMPUTED_VALUE"""),"Municipal")</f>
        <v>Municipal</v>
      </c>
      <c r="T696" s="29"/>
    </row>
    <row r="697" spans="1:20" ht="15.75" customHeight="1" x14ac:dyDescent="0.25">
      <c r="A697" s="30" t="str">
        <f ca="1">IFERROR(__xludf.DUMMYFUNCTION("""COMPUTED_VALUE"""),"10141122231233")</f>
        <v>10141122231233</v>
      </c>
      <c r="B697" s="30" t="str">
        <f ca="1">IFERROR(__xludf.DUMMYFUNCTION("""COMPUTED_VALUE"""),"HOSPITAL MUNICIPAL SANTA RITA DE SEBASTIAN ELCANO")</f>
        <v>HOSPITAL MUNICIPAL SANTA RITA DE SEBASTIAN ELCANO</v>
      </c>
      <c r="C697" s="30" t="str">
        <f ca="1">IFERROR(__xludf.DUMMYFUNCTION("""COMPUTED_VALUE"""),"Córdoba")</f>
        <v>Córdoba</v>
      </c>
      <c r="D697" s="30" t="str">
        <f ca="1">IFERROR(__xludf.DUMMYFUNCTION("""COMPUTED_VALUE"""),"14")</f>
        <v>14</v>
      </c>
      <c r="E697" s="30" t="str">
        <f ca="1">IFERROR(__xludf.DUMMYFUNCTION("""COMPUTED_VALUE"""),"si")</f>
        <v>si</v>
      </c>
      <c r="F697" s="29"/>
      <c r="G697" s="29"/>
      <c r="H697" s="30" t="str">
        <f ca="1">IFERROR(__xludf.DUMMYFUNCTION("""COMPUTED_VALUE"""),"activo")</f>
        <v>activo</v>
      </c>
      <c r="I697" s="29"/>
      <c r="J697" s="29"/>
      <c r="K697" s="29"/>
      <c r="L697" s="30" t="str">
        <f ca="1">IFERROR(__xludf.DUMMYFUNCTION("""COMPUTED_VALUE"""),"No")</f>
        <v>No</v>
      </c>
      <c r="M697" s="30" t="str">
        <f ca="1">IFERROR(__xludf.DUMMYFUNCTION("""COMPUTED_VALUE"""),"14112110000")</f>
        <v>14112110000</v>
      </c>
      <c r="N697" s="30" t="str">
        <f ca="1">IFERROR(__xludf.DUMMYFUNCTION("""COMPUTED_VALUE"""),"SEBASTIAN ELCANO")</f>
        <v>SEBASTIAN ELCANO</v>
      </c>
      <c r="O697" s="30" t="str">
        <f ca="1">IFERROR(__xludf.DUMMYFUNCTION("""COMPUTED_VALUE"""),"14112")</f>
        <v>14112</v>
      </c>
      <c r="P697" s="30" t="str">
        <f ca="1">IFERROR(__xludf.DUMMYFUNCTION("""COMPUTED_VALUE"""),"RÍO SECO")</f>
        <v>RÍO SECO</v>
      </c>
      <c r="Q697" s="30" t="str">
        <f ca="1">IFERROR(__xludf.DUMMYFUNCTION("""COMPUTED_VALUE"""),"-30.160741")</f>
        <v>-30.160741</v>
      </c>
      <c r="R697" s="30" t="str">
        <f ca="1">IFERROR(__xludf.DUMMYFUNCTION("""COMPUTED_VALUE"""),"-63.592324")</f>
        <v>-63.592324</v>
      </c>
      <c r="S697" s="30" t="str">
        <f ca="1">IFERROR(__xludf.DUMMYFUNCTION("""COMPUTED_VALUE"""),"Municipal")</f>
        <v>Municipal</v>
      </c>
      <c r="T697" s="29"/>
    </row>
    <row r="698" spans="1:20" ht="15.75" customHeight="1" x14ac:dyDescent="0.25">
      <c r="A698" s="30" t="str">
        <f ca="1">IFERROR(__xludf.DUMMYFUNCTION("""COMPUTED_VALUE"""),"10141192231203")</f>
        <v>10141192231203</v>
      </c>
      <c r="B698" s="30" t="str">
        <f ca="1">IFERROR(__xludf.DUMMYFUNCTION("""COMPUTED_VALUE"""),"HOSPITAL MUNICIPAL DR. RAUL DOBRIC")</f>
        <v>HOSPITAL MUNICIPAL DR. RAUL DOBRIC</v>
      </c>
      <c r="C698" s="30" t="str">
        <f ca="1">IFERROR(__xludf.DUMMYFUNCTION("""COMPUTED_VALUE"""),"Córdoba")</f>
        <v>Córdoba</v>
      </c>
      <c r="D698" s="30" t="str">
        <f ca="1">IFERROR(__xludf.DUMMYFUNCTION("""COMPUTED_VALUE"""),"14")</f>
        <v>14</v>
      </c>
      <c r="E698" s="30" t="str">
        <f ca="1">IFERROR(__xludf.DUMMYFUNCTION("""COMPUTED_VALUE"""),"")</f>
        <v/>
      </c>
      <c r="F698" s="29"/>
      <c r="G698" s="29"/>
      <c r="H698" s="30" t="str">
        <f ca="1">IFERROR(__xludf.DUMMYFUNCTION("""COMPUTED_VALUE"""),"inactivo")</f>
        <v>inactivo</v>
      </c>
      <c r="I698" s="29"/>
      <c r="J698" s="29"/>
      <c r="K698" s="29"/>
      <c r="L698" s="30" t="str">
        <f ca="1">IFERROR(__xludf.DUMMYFUNCTION("""COMPUTED_VALUE"""),"No")</f>
        <v>No</v>
      </c>
      <c r="M698" s="30" t="str">
        <f ca="1">IFERROR(__xludf.DUMMYFUNCTION("""COMPUTED_VALUE"""),"14119170000")</f>
        <v>14119170000</v>
      </c>
      <c r="N698" s="30" t="str">
        <f ca="1">IFERROR(__xludf.DUMMYFUNCTION("""COMPUTED_VALUE"""),"POZO DEL MOLLE")</f>
        <v>POZO DEL MOLLE</v>
      </c>
      <c r="O698" s="30" t="str">
        <f ca="1">IFERROR(__xludf.DUMMYFUNCTION("""COMPUTED_VALUE"""),"14119")</f>
        <v>14119</v>
      </c>
      <c r="P698" s="30" t="str">
        <f ca="1">IFERROR(__xludf.DUMMYFUNCTION("""COMPUTED_VALUE"""),"RÍO SEGUNDO")</f>
        <v>RÍO SEGUNDO</v>
      </c>
      <c r="Q698" s="30" t="str">
        <f ca="1">IFERROR(__xludf.DUMMYFUNCTION("""COMPUTED_VALUE"""),"-32.023341")</f>
        <v>-32.023341</v>
      </c>
      <c r="R698" s="30" t="str">
        <f ca="1">IFERROR(__xludf.DUMMYFUNCTION("""COMPUTED_VALUE"""),"-62.923135")</f>
        <v>-62.923135</v>
      </c>
      <c r="S698" s="30" t="str">
        <f ca="1">IFERROR(__xludf.DUMMYFUNCTION("""COMPUTED_VALUE"""),"Municipal")</f>
        <v>Municipal</v>
      </c>
      <c r="T698" s="29"/>
    </row>
    <row r="699" spans="1:20" ht="15.75" customHeight="1" x14ac:dyDescent="0.25">
      <c r="A699" s="30" t="str">
        <f ca="1">IFERROR(__xludf.DUMMYFUNCTION("""COMPUTED_VALUE"""),"10141192231238")</f>
        <v>10141192231238</v>
      </c>
      <c r="B699" s="30" t="str">
        <f ca="1">IFERROR(__xludf.DUMMYFUNCTION("""COMPUTED_VALUE"""),"HOSPITAL MUNICIPAL VIRGEN DE LOURDES")</f>
        <v>HOSPITAL MUNICIPAL VIRGEN DE LOURDES</v>
      </c>
      <c r="C699" s="30" t="str">
        <f ca="1">IFERROR(__xludf.DUMMYFUNCTION("""COMPUTED_VALUE"""),"Córdoba")</f>
        <v>Córdoba</v>
      </c>
      <c r="D699" s="30" t="str">
        <f ca="1">IFERROR(__xludf.DUMMYFUNCTION("""COMPUTED_VALUE"""),"14")</f>
        <v>14</v>
      </c>
      <c r="E699" s="30" t="str">
        <f ca="1">IFERROR(__xludf.DUMMYFUNCTION("""COMPUTED_VALUE"""),"")</f>
        <v/>
      </c>
      <c r="F699" s="29"/>
      <c r="G699" s="29"/>
      <c r="H699" s="30" t="str">
        <f ca="1">IFERROR(__xludf.DUMMYFUNCTION("""COMPUTED_VALUE"""),"activo")</f>
        <v>activo</v>
      </c>
      <c r="I699" s="30" t="str">
        <f ca="1">IFERROR(__xludf.DUMMYFUNCTION("""COMPUTED_VALUE"""),"no coincide nombre: htal municipal")</f>
        <v>no coincide nombre: htal municipal</v>
      </c>
      <c r="J699" s="29"/>
      <c r="K699" s="29"/>
      <c r="L699" s="30" t="str">
        <f ca="1">IFERROR(__xludf.DUMMYFUNCTION("""COMPUTED_VALUE"""),"No")</f>
        <v>No</v>
      </c>
      <c r="M699" s="30" t="str">
        <f ca="1">IFERROR(__xludf.DUMMYFUNCTION("""COMPUTED_VALUE"""),"14119190000")</f>
        <v>14119190000</v>
      </c>
      <c r="N699" s="30" t="str">
        <f ca="1">IFERROR(__xludf.DUMMYFUNCTION("""COMPUTED_VALUE"""),"RIO SEGUNDO")</f>
        <v>RIO SEGUNDO</v>
      </c>
      <c r="O699" s="30" t="str">
        <f ca="1">IFERROR(__xludf.DUMMYFUNCTION("""COMPUTED_VALUE"""),"14119")</f>
        <v>14119</v>
      </c>
      <c r="P699" s="30" t="str">
        <f ca="1">IFERROR(__xludf.DUMMYFUNCTION("""COMPUTED_VALUE"""),"RÍO SEGUNDO")</f>
        <v>RÍO SEGUNDO</v>
      </c>
      <c r="Q699" s="30" t="str">
        <f ca="1">IFERROR(__xludf.DUMMYFUNCTION("""COMPUTED_VALUE"""),"-31.65123")</f>
        <v>-31.65123</v>
      </c>
      <c r="R699" s="30" t="str">
        <f ca="1">IFERROR(__xludf.DUMMYFUNCTION("""COMPUTED_VALUE"""),"-63.913784")</f>
        <v>-63.913784</v>
      </c>
      <c r="S699" s="30" t="str">
        <f ca="1">IFERROR(__xludf.DUMMYFUNCTION("""COMPUTED_VALUE"""),"Municipal")</f>
        <v>Municipal</v>
      </c>
      <c r="T699" s="29"/>
    </row>
    <row r="700" spans="1:20" ht="15.75" customHeight="1" x14ac:dyDescent="0.25">
      <c r="A700" s="30" t="str">
        <f ca="1">IFERROR(__xludf.DUMMYFUNCTION("""COMPUTED_VALUE"""),"10141332131254")</f>
        <v>10141332131254</v>
      </c>
      <c r="B700" s="30" t="str">
        <f ca="1">IFERROR(__xludf.DUMMYFUNCTION("""COMPUTED_VALUE"""),"HOSPITAL REGIONAL VILLA DOLORES")</f>
        <v>HOSPITAL REGIONAL VILLA DOLORES</v>
      </c>
      <c r="C700" s="30" t="str">
        <f ca="1">IFERROR(__xludf.DUMMYFUNCTION("""COMPUTED_VALUE"""),"Córdoba")</f>
        <v>Córdoba</v>
      </c>
      <c r="D700" s="30" t="str">
        <f ca="1">IFERROR(__xludf.DUMMYFUNCTION("""COMPUTED_VALUE"""),"14")</f>
        <v>14</v>
      </c>
      <c r="E700" s="30" t="str">
        <f ca="1">IFERROR(__xludf.DUMMYFUNCTION("""COMPUTED_VALUE"""),"")</f>
        <v/>
      </c>
      <c r="F700" s="29"/>
      <c r="G700" s="29"/>
      <c r="H700" s="30" t="str">
        <f ca="1">IFERROR(__xludf.DUMMYFUNCTION("""COMPUTED_VALUE"""),"activo")</f>
        <v>activo</v>
      </c>
      <c r="I700" s="29"/>
      <c r="J700" s="29"/>
      <c r="K700" s="29"/>
      <c r="L700" s="30" t="str">
        <f ca="1">IFERROR(__xludf.DUMMYFUNCTION("""COMPUTED_VALUE"""),"No")</f>
        <v>No</v>
      </c>
      <c r="M700" s="30" t="str">
        <f ca="1">IFERROR(__xludf.DUMMYFUNCTION("""COMPUTED_VALUE"""),"14133200000")</f>
        <v>14133200000</v>
      </c>
      <c r="N700" s="30" t="str">
        <f ca="1">IFERROR(__xludf.DUMMYFUNCTION("""COMPUTED_VALUE"""),"VILLA DOLORES")</f>
        <v>VILLA DOLORES</v>
      </c>
      <c r="O700" s="30" t="str">
        <f ca="1">IFERROR(__xludf.DUMMYFUNCTION("""COMPUTED_VALUE"""),"14133")</f>
        <v>14133</v>
      </c>
      <c r="P700" s="30" t="str">
        <f ca="1">IFERROR(__xludf.DUMMYFUNCTION("""COMPUTED_VALUE"""),"SAN JAVIER")</f>
        <v>SAN JAVIER</v>
      </c>
      <c r="Q700" s="30" t="str">
        <f ca="1">IFERROR(__xludf.DUMMYFUNCTION("""COMPUTED_VALUE"""),"-31.94921")</f>
        <v>-31.94921</v>
      </c>
      <c r="R700" s="30" t="str">
        <f ca="1">IFERROR(__xludf.DUMMYFUNCTION("""COMPUTED_VALUE"""),"-65.16614")</f>
        <v>-65.16614</v>
      </c>
      <c r="S700" s="30" t="str">
        <f ca="1">IFERROR(__xludf.DUMMYFUNCTION("""COMPUTED_VALUE"""),"Provincial")</f>
        <v>Provincial</v>
      </c>
      <c r="T700" s="30" t="str">
        <f ca="1">IFERROR(__xludf.DUMMYFUNCTION("""COMPUTED_VALUE"""),"-")</f>
        <v>-</v>
      </c>
    </row>
    <row r="701" spans="1:20" ht="15.75" customHeight="1" x14ac:dyDescent="0.25">
      <c r="A701" s="30" t="str">
        <f ca="1">IFERROR(__xludf.DUMMYFUNCTION("""COMPUTED_VALUE"""),"10141332232981")</f>
        <v>10141332232981</v>
      </c>
      <c r="B701" s="30" t="str">
        <f ca="1">IFERROR(__xludf.DUMMYFUNCTION("""COMPUTED_VALUE"""),"HOSPITAL MUNICIPAL SANTA RITA")</f>
        <v>HOSPITAL MUNICIPAL SANTA RITA</v>
      </c>
      <c r="C701" s="30" t="str">
        <f ca="1">IFERROR(__xludf.DUMMYFUNCTION("""COMPUTED_VALUE"""),"Córdoba")</f>
        <v>Córdoba</v>
      </c>
      <c r="D701" s="30" t="str">
        <f ca="1">IFERROR(__xludf.DUMMYFUNCTION("""COMPUTED_VALUE"""),"14")</f>
        <v>14</v>
      </c>
      <c r="E701" s="30" t="str">
        <f ca="1">IFERROR(__xludf.DUMMYFUNCTION("""COMPUTED_VALUE"""),"")</f>
        <v/>
      </c>
      <c r="F701" s="29"/>
      <c r="G701" s="29"/>
      <c r="H701" s="30" t="str">
        <f ca="1">IFERROR(__xludf.DUMMYFUNCTION("""COMPUTED_VALUE"""),"activo")</f>
        <v>activo</v>
      </c>
      <c r="I701" s="30" t="str">
        <f ca="1">IFERROR(__xludf.DUMMYFUNCTION("""COMPUTED_VALUE"""),"no coincide nombre: hosp vec la paz")</f>
        <v>no coincide nombre: hosp vec la paz</v>
      </c>
      <c r="J701" s="29"/>
      <c r="K701" s="29"/>
      <c r="L701" s="30" t="str">
        <f ca="1">IFERROR(__xludf.DUMMYFUNCTION("""COMPUTED_VALUE"""),"No")</f>
        <v>No</v>
      </c>
      <c r="M701" s="30" t="str">
        <f ca="1">IFERROR(__xludf.DUMMYFUNCTION("""COMPUTED_VALUE"""),"14133060")</f>
        <v>14133060</v>
      </c>
      <c r="N701" s="30" t="str">
        <f ca="1">IFERROR(__xludf.DUMMYFUNCTION("""COMPUTED_VALUE"""),"LA PAZ (LA PAZ)")</f>
        <v>LA PAZ (LA PAZ)</v>
      </c>
      <c r="O701" s="30" t="str">
        <f ca="1">IFERROR(__xludf.DUMMYFUNCTION("""COMPUTED_VALUE"""),"14133")</f>
        <v>14133</v>
      </c>
      <c r="P701" s="30" t="str">
        <f ca="1">IFERROR(__xludf.DUMMYFUNCTION("""COMPUTED_VALUE"""),"SAN JAVIER")</f>
        <v>SAN JAVIER</v>
      </c>
      <c r="Q701" s="30" t="str">
        <f ca="1">IFERROR(__xludf.DUMMYFUNCTION("""COMPUTED_VALUE"""),"-32.23138966")</f>
        <v>-32.23138966</v>
      </c>
      <c r="R701" s="30" t="str">
        <f ca="1">IFERROR(__xludf.DUMMYFUNCTION("""COMPUTED_VALUE"""),"-65.10498047")</f>
        <v>-65.10498047</v>
      </c>
      <c r="S701" s="30" t="str">
        <f ca="1">IFERROR(__xludf.DUMMYFUNCTION("""COMPUTED_VALUE"""),"Municipal")</f>
        <v>Municipal</v>
      </c>
      <c r="T701" s="29"/>
    </row>
    <row r="702" spans="1:20" ht="15.75" customHeight="1" x14ac:dyDescent="0.25">
      <c r="A702" s="30" t="str">
        <f ca="1">IFERROR(__xludf.DUMMYFUNCTION("""COMPUTED_VALUE"""),"10141402231185")</f>
        <v>10141402231185</v>
      </c>
      <c r="B702" s="30" t="str">
        <f ca="1">IFERROR(__xludf.DUMMYFUNCTION("""COMPUTED_VALUE"""),"HOSPITAL MUNICIPAL DIEGO MONTOYA")</f>
        <v>HOSPITAL MUNICIPAL DIEGO MONTOYA</v>
      </c>
      <c r="C702" s="30" t="str">
        <f ca="1">IFERROR(__xludf.DUMMYFUNCTION("""COMPUTED_VALUE"""),"Córdoba")</f>
        <v>Córdoba</v>
      </c>
      <c r="D702" s="30" t="str">
        <f ca="1">IFERROR(__xludf.DUMMYFUNCTION("""COMPUTED_VALUE"""),"14")</f>
        <v>14</v>
      </c>
      <c r="E702" s="30" t="str">
        <f ca="1">IFERROR(__xludf.DUMMYFUNCTION("""COMPUTED_VALUE"""),"")</f>
        <v/>
      </c>
      <c r="F702" s="29"/>
      <c r="G702" s="29"/>
      <c r="H702" s="30" t="str">
        <f ca="1">IFERROR(__xludf.DUMMYFUNCTION("""COMPUTED_VALUE"""),"activo")</f>
        <v>activo</v>
      </c>
      <c r="I702" s="29"/>
      <c r="J702" s="29"/>
      <c r="K702" s="29"/>
      <c r="L702" s="30" t="str">
        <f ca="1">IFERROR(__xludf.DUMMYFUNCTION("""COMPUTED_VALUE"""),"No")</f>
        <v>No</v>
      </c>
      <c r="M702" s="30" t="str">
        <f ca="1">IFERROR(__xludf.DUMMYFUNCTION("""COMPUTED_VALUE"""),"14140270000")</f>
        <v>14140270000</v>
      </c>
      <c r="N702" s="30" t="str">
        <f ca="1">IFERROR(__xludf.DUMMYFUNCTION("""COMPUTED_VALUE"""),"LAS VARILLAS")</f>
        <v>LAS VARILLAS</v>
      </c>
      <c r="O702" s="30" t="str">
        <f ca="1">IFERROR(__xludf.DUMMYFUNCTION("""COMPUTED_VALUE"""),"14140")</f>
        <v>14140</v>
      </c>
      <c r="P702" s="30" t="str">
        <f ca="1">IFERROR(__xludf.DUMMYFUNCTION("""COMPUTED_VALUE"""),"SAN JUSTO")</f>
        <v>SAN JUSTO</v>
      </c>
      <c r="Q702" s="30" t="str">
        <f ca="1">IFERROR(__xludf.DUMMYFUNCTION("""COMPUTED_VALUE"""),"-31.867175")</f>
        <v>-31.867175</v>
      </c>
      <c r="R702" s="30" t="str">
        <f ca="1">IFERROR(__xludf.DUMMYFUNCTION("""COMPUTED_VALUE"""),"-62.722967")</f>
        <v>-62.722967</v>
      </c>
      <c r="S702" s="30" t="str">
        <f ca="1">IFERROR(__xludf.DUMMYFUNCTION("""COMPUTED_VALUE"""),"Municipal")</f>
        <v>Municipal</v>
      </c>
      <c r="T702" s="29"/>
    </row>
    <row r="703" spans="1:20" ht="15.75" customHeight="1" x14ac:dyDescent="0.25">
      <c r="A703" s="30" t="str">
        <f ca="1">IFERROR(__xludf.DUMMYFUNCTION("""COMPUTED_VALUE"""),"10141402231226")</f>
        <v>10141402231226</v>
      </c>
      <c r="B703" s="30" t="str">
        <f ca="1">IFERROR(__xludf.DUMMYFUNCTION("""COMPUTED_VALUE"""),"HOSPITAL MUNICIPAL SAN JOSE")</f>
        <v>HOSPITAL MUNICIPAL SAN JOSE</v>
      </c>
      <c r="C703" s="30" t="str">
        <f ca="1">IFERROR(__xludf.DUMMYFUNCTION("""COMPUTED_VALUE"""),"Córdoba")</f>
        <v>Córdoba</v>
      </c>
      <c r="D703" s="30" t="str">
        <f ca="1">IFERROR(__xludf.DUMMYFUNCTION("""COMPUTED_VALUE"""),"14")</f>
        <v>14</v>
      </c>
      <c r="E703" s="30" t="str">
        <f ca="1">IFERROR(__xludf.DUMMYFUNCTION("""COMPUTED_VALUE"""),"")</f>
        <v/>
      </c>
      <c r="F703" s="29"/>
      <c r="G703" s="29"/>
      <c r="H703" s="30" t="str">
        <f ca="1">IFERROR(__xludf.DUMMYFUNCTION("""COMPUTED_VALUE"""),"inactivo")</f>
        <v>inactivo</v>
      </c>
      <c r="I703" s="29"/>
      <c r="J703" s="29"/>
      <c r="K703" s="29"/>
      <c r="L703" s="30" t="str">
        <f ca="1">IFERROR(__xludf.DUMMYFUNCTION("""COMPUTED_VALUE"""),"No")</f>
        <v>No</v>
      </c>
      <c r="M703" s="30" t="str">
        <f ca="1">IFERROR(__xludf.DUMMYFUNCTION("""COMPUTED_VALUE"""),"14140040000")</f>
        <v>14140040000</v>
      </c>
      <c r="N703" s="30" t="str">
        <f ca="1">IFERROR(__xludf.DUMMYFUNCTION("""COMPUTED_VALUE"""),"BALNEARIA")</f>
        <v>BALNEARIA</v>
      </c>
      <c r="O703" s="30" t="str">
        <f ca="1">IFERROR(__xludf.DUMMYFUNCTION("""COMPUTED_VALUE"""),"14140")</f>
        <v>14140</v>
      </c>
      <c r="P703" s="30" t="str">
        <f ca="1">IFERROR(__xludf.DUMMYFUNCTION("""COMPUTED_VALUE"""),"SAN JUSTO")</f>
        <v>SAN JUSTO</v>
      </c>
      <c r="Q703" s="30" t="str">
        <f ca="1">IFERROR(__xludf.DUMMYFUNCTION("""COMPUTED_VALUE"""),"-31.45115951")</f>
        <v>-31.45115951</v>
      </c>
      <c r="R703" s="30" t="str">
        <f ca="1">IFERROR(__xludf.DUMMYFUNCTION("""COMPUTED_VALUE"""),"-62.6865238")</f>
        <v>-62.6865238</v>
      </c>
      <c r="S703" s="30" t="str">
        <f ca="1">IFERROR(__xludf.DUMMYFUNCTION("""COMPUTED_VALUE"""),"Municipal")</f>
        <v>Municipal</v>
      </c>
      <c r="T703" s="29"/>
    </row>
    <row r="704" spans="1:20" ht="15.75" customHeight="1" x14ac:dyDescent="0.25">
      <c r="A704" s="30" t="str">
        <f ca="1">IFERROR(__xludf.DUMMYFUNCTION("""COMPUTED_VALUE"""),"10141472231184")</f>
        <v>10141472231184</v>
      </c>
      <c r="B704" s="30" t="str">
        <f ca="1">IFERROR(__xludf.DUMMYFUNCTION("""COMPUTED_VALUE"""),"HOSPITAL MUNICIPAL DESPEÑADEROS")</f>
        <v>HOSPITAL MUNICIPAL DESPEÑADEROS</v>
      </c>
      <c r="C704" s="30" t="str">
        <f ca="1">IFERROR(__xludf.DUMMYFUNCTION("""COMPUTED_VALUE"""),"Córdoba")</f>
        <v>Córdoba</v>
      </c>
      <c r="D704" s="30" t="str">
        <f ca="1">IFERROR(__xludf.DUMMYFUNCTION("""COMPUTED_VALUE"""),"14")</f>
        <v>14</v>
      </c>
      <c r="E704" s="30" t="str">
        <f ca="1">IFERROR(__xludf.DUMMYFUNCTION("""COMPUTED_VALUE"""),"")</f>
        <v/>
      </c>
      <c r="F704" s="29"/>
      <c r="G704" s="29"/>
      <c r="H704" s="30" t="str">
        <f ca="1">IFERROR(__xludf.DUMMYFUNCTION("""COMPUTED_VALUE"""),"activo")</f>
        <v>activo</v>
      </c>
      <c r="I704" s="29"/>
      <c r="J704" s="29"/>
      <c r="K704" s="29"/>
      <c r="L704" s="30" t="str">
        <f ca="1">IFERROR(__xludf.DUMMYFUNCTION("""COMPUTED_VALUE"""),"No")</f>
        <v>No</v>
      </c>
      <c r="M704" s="30" t="str">
        <f ca="1">IFERROR(__xludf.DUMMYFUNCTION("""COMPUTED_VALUE"""),"14147080")</f>
        <v>14147080</v>
      </c>
      <c r="N704" s="30" t="str">
        <f ca="1">IFERROR(__xludf.DUMMYFUNCTION("""COMPUTED_VALUE"""),"DESPEÑADEROS (EST. DR. LUCAS A. DE OLMOS)")</f>
        <v>DESPEÑADEROS (EST. DR. LUCAS A. DE OLMOS)</v>
      </c>
      <c r="O704" s="30" t="str">
        <f ca="1">IFERROR(__xludf.DUMMYFUNCTION("""COMPUTED_VALUE"""),"14147")</f>
        <v>14147</v>
      </c>
      <c r="P704" s="30" t="str">
        <f ca="1">IFERROR(__xludf.DUMMYFUNCTION("""COMPUTED_VALUE"""),"SANTA MARÍA")</f>
        <v>SANTA MARÍA</v>
      </c>
      <c r="Q704" s="30" t="str">
        <f ca="1">IFERROR(__xludf.DUMMYFUNCTION("""COMPUTED_VALUE"""),"-31.818977")</f>
        <v>-31.818977</v>
      </c>
      <c r="R704" s="30" t="str">
        <f ca="1">IFERROR(__xludf.DUMMYFUNCTION("""COMPUTED_VALUE"""),"-64.286777")</f>
        <v>-64.286777</v>
      </c>
      <c r="S704" s="30" t="str">
        <f ca="1">IFERROR(__xludf.DUMMYFUNCTION("""COMPUTED_VALUE"""),"Municipal")</f>
        <v>Municipal</v>
      </c>
      <c r="T704" s="29"/>
    </row>
    <row r="705" spans="1:20" ht="15.75" customHeight="1" x14ac:dyDescent="0.25">
      <c r="A705" s="30" t="str">
        <f ca="1">IFERROR(__xludf.DUMMYFUNCTION("""COMPUTED_VALUE"""),"10141542231224")</f>
        <v>10141542231224</v>
      </c>
      <c r="B705" s="30" t="str">
        <f ca="1">IFERROR(__xludf.DUMMYFUNCTION("""COMPUTED_VALUE"""),"HOSPITAL MUNICIPAL SAN FRANCISCO DEL CHAÑAR")</f>
        <v>HOSPITAL MUNICIPAL SAN FRANCISCO DEL CHAÑAR</v>
      </c>
      <c r="C705" s="30" t="str">
        <f ca="1">IFERROR(__xludf.DUMMYFUNCTION("""COMPUTED_VALUE"""),"Córdoba")</f>
        <v>Córdoba</v>
      </c>
      <c r="D705" s="30" t="str">
        <f ca="1">IFERROR(__xludf.DUMMYFUNCTION("""COMPUTED_VALUE"""),"14")</f>
        <v>14</v>
      </c>
      <c r="E705" s="30" t="str">
        <f ca="1">IFERROR(__xludf.DUMMYFUNCTION("""COMPUTED_VALUE"""),"si")</f>
        <v>si</v>
      </c>
      <c r="F705" s="29"/>
      <c r="G705" s="29"/>
      <c r="H705" s="30" t="str">
        <f ca="1">IFERROR(__xludf.DUMMYFUNCTION("""COMPUTED_VALUE"""),"activo")</f>
        <v>activo</v>
      </c>
      <c r="I705" s="29"/>
      <c r="J705" s="29"/>
      <c r="K705" s="29"/>
      <c r="L705" s="30" t="str">
        <f ca="1">IFERROR(__xludf.DUMMYFUNCTION("""COMPUTED_VALUE"""),"No")</f>
        <v>No</v>
      </c>
      <c r="M705" s="30" t="str">
        <f ca="1">IFERROR(__xludf.DUMMYFUNCTION("""COMPUTED_VALUE"""),"14154050000")</f>
        <v>14154050000</v>
      </c>
      <c r="N705" s="30" t="str">
        <f ca="1">IFERROR(__xludf.DUMMYFUNCTION("""COMPUTED_VALUE"""),"SAN FRANCISCO DEL CHAÑAR")</f>
        <v>SAN FRANCISCO DEL CHAÑAR</v>
      </c>
      <c r="O705" s="30" t="str">
        <f ca="1">IFERROR(__xludf.DUMMYFUNCTION("""COMPUTED_VALUE"""),"14154")</f>
        <v>14154</v>
      </c>
      <c r="P705" s="30" t="str">
        <f ca="1">IFERROR(__xludf.DUMMYFUNCTION("""COMPUTED_VALUE"""),"SOBREMONTE")</f>
        <v>SOBREMONTE</v>
      </c>
      <c r="Q705" s="30" t="str">
        <f ca="1">IFERROR(__xludf.DUMMYFUNCTION("""COMPUTED_VALUE"""),"-29.787284")</f>
        <v>-29.787284</v>
      </c>
      <c r="R705" s="30" t="str">
        <f ca="1">IFERROR(__xludf.DUMMYFUNCTION("""COMPUTED_VALUE"""),"-63.944431")</f>
        <v>-63.944431</v>
      </c>
      <c r="S705" s="30" t="str">
        <f ca="1">IFERROR(__xludf.DUMMYFUNCTION("""COMPUTED_VALUE"""),"Municipal")</f>
        <v>Municipal</v>
      </c>
      <c r="T705" s="29"/>
    </row>
    <row r="706" spans="1:20" ht="15.75" customHeight="1" x14ac:dyDescent="0.25">
      <c r="A706" s="30" t="str">
        <f ca="1">IFERROR(__xludf.DUMMYFUNCTION("""COMPUTED_VALUE"""),"10141612231161")</f>
        <v>10141612231161</v>
      </c>
      <c r="B706" s="30" t="str">
        <f ca="1">IFERROR(__xludf.DUMMYFUNCTION("""COMPUTED_VALUE"""),"HOSPITAL DR. ALFREDO GARIMALDI")</f>
        <v>HOSPITAL DR. ALFREDO GARIMALDI</v>
      </c>
      <c r="C706" s="30" t="str">
        <f ca="1">IFERROR(__xludf.DUMMYFUNCTION("""COMPUTED_VALUE"""),"Córdoba")</f>
        <v>Córdoba</v>
      </c>
      <c r="D706" s="30" t="str">
        <f ca="1">IFERROR(__xludf.DUMMYFUNCTION("""COMPUTED_VALUE"""),"14")</f>
        <v>14</v>
      </c>
      <c r="E706" s="30" t="str">
        <f ca="1">IFERROR(__xludf.DUMMYFUNCTION("""COMPUTED_VALUE"""),"")</f>
        <v/>
      </c>
      <c r="F706" s="29"/>
      <c r="G706" s="29"/>
      <c r="H706" s="30" t="str">
        <f ca="1">IFERROR(__xludf.DUMMYFUNCTION("""COMPUTED_VALUE"""),"inactivo")</f>
        <v>inactivo</v>
      </c>
      <c r="I706" s="29"/>
      <c r="J706" s="29"/>
      <c r="K706" s="29"/>
      <c r="L706" s="30" t="str">
        <f ca="1">IFERROR(__xludf.DUMMYFUNCTION("""COMPUTED_VALUE"""),"No")</f>
        <v>No</v>
      </c>
      <c r="M706" s="30" t="str">
        <f ca="1">IFERROR(__xludf.DUMMYFUNCTION("""COMPUTED_VALUE"""),"14161090000")</f>
        <v>14161090000</v>
      </c>
      <c r="N706" s="30" t="str">
        <f ca="1">IFERROR(__xludf.DUMMYFUNCTION("""COMPUTED_VALUE"""),"LAS PERDICES")</f>
        <v>LAS PERDICES</v>
      </c>
      <c r="O706" s="30" t="str">
        <f ca="1">IFERROR(__xludf.DUMMYFUNCTION("""COMPUTED_VALUE"""),"14161")</f>
        <v>14161</v>
      </c>
      <c r="P706" s="30" t="str">
        <f ca="1">IFERROR(__xludf.DUMMYFUNCTION("""COMPUTED_VALUE"""),"TERCERO ARRIBA")</f>
        <v>TERCERO ARRIBA</v>
      </c>
      <c r="Q706" s="30" t="str">
        <f ca="1">IFERROR(__xludf.DUMMYFUNCTION("""COMPUTED_VALUE"""),"-32.699379")</f>
        <v>-32.699379</v>
      </c>
      <c r="R706" s="30" t="str">
        <f ca="1">IFERROR(__xludf.DUMMYFUNCTION("""COMPUTED_VALUE"""),"-63.705789")</f>
        <v>-63.705789</v>
      </c>
      <c r="S706" s="30" t="str">
        <f ca="1">IFERROR(__xludf.DUMMYFUNCTION("""COMPUTED_VALUE"""),"Municipal")</f>
        <v>Municipal</v>
      </c>
      <c r="T706" s="29"/>
    </row>
    <row r="707" spans="1:20" ht="15.75" customHeight="1" x14ac:dyDescent="0.25">
      <c r="A707" s="30" t="str">
        <f ca="1">IFERROR(__xludf.DUMMYFUNCTION("""COMPUTED_VALUE"""),"10141612231201")</f>
        <v>10141612231201</v>
      </c>
      <c r="B707" s="30" t="str">
        <f ca="1">IFERROR(__xludf.DUMMYFUNCTION("""COMPUTED_VALUE"""),"HOSPITAL MUNICIPAL DR. PASCUAL A. TIRRO")</f>
        <v>HOSPITAL MUNICIPAL DR. PASCUAL A. TIRRO</v>
      </c>
      <c r="C707" s="30" t="str">
        <f ca="1">IFERROR(__xludf.DUMMYFUNCTION("""COMPUTED_VALUE"""),"Córdoba")</f>
        <v>Córdoba</v>
      </c>
      <c r="D707" s="30" t="str">
        <f ca="1">IFERROR(__xludf.DUMMYFUNCTION("""COMPUTED_VALUE"""),"14")</f>
        <v>14</v>
      </c>
      <c r="E707" s="30" t="str">
        <f ca="1">IFERROR(__xludf.DUMMYFUNCTION("""COMPUTED_VALUE"""),"")</f>
        <v/>
      </c>
      <c r="F707" s="29"/>
      <c r="G707" s="29"/>
      <c r="H707" s="30" t="str">
        <f ca="1">IFERROR(__xludf.DUMMYFUNCTION("""COMPUTED_VALUE"""),"inactivo")</f>
        <v>inactivo</v>
      </c>
      <c r="I707" s="29"/>
      <c r="J707" s="29"/>
      <c r="K707" s="29"/>
      <c r="L707" s="30" t="str">
        <f ca="1">IFERROR(__xludf.DUMMYFUNCTION("""COMPUTED_VALUE"""),"No")</f>
        <v>No</v>
      </c>
      <c r="M707" s="30" t="str">
        <f ca="1">IFERROR(__xludf.DUMMYFUNCTION("""COMPUTED_VALUE"""),"14161060000")</f>
        <v>14161060000</v>
      </c>
      <c r="N707" s="30" t="str">
        <f ca="1">IFERROR(__xludf.DUMMYFUNCTION("""COMPUTED_VALUE"""),"HERNANDO")</f>
        <v>HERNANDO</v>
      </c>
      <c r="O707" s="30" t="str">
        <f ca="1">IFERROR(__xludf.DUMMYFUNCTION("""COMPUTED_VALUE"""),"14161")</f>
        <v>14161</v>
      </c>
      <c r="P707" s="30" t="str">
        <f ca="1">IFERROR(__xludf.DUMMYFUNCTION("""COMPUTED_VALUE"""),"TERCERO ARRIBA")</f>
        <v>TERCERO ARRIBA</v>
      </c>
      <c r="Q707" s="30" t="str">
        <f ca="1">IFERROR(__xludf.DUMMYFUNCTION("""COMPUTED_VALUE"""),"-32.420659")</f>
        <v>-32.420659</v>
      </c>
      <c r="R707" s="30" t="str">
        <f ca="1">IFERROR(__xludf.DUMMYFUNCTION("""COMPUTED_VALUE"""),"-63.729209")</f>
        <v>-63.729209</v>
      </c>
      <c r="S707" s="30" t="str">
        <f ca="1">IFERROR(__xludf.DUMMYFUNCTION("""COMPUTED_VALUE"""),"Municipal")</f>
        <v>Municipal</v>
      </c>
      <c r="T707" s="29"/>
    </row>
    <row r="708" spans="1:20" ht="15.75" customHeight="1" x14ac:dyDescent="0.25">
      <c r="A708" s="30" t="str">
        <f ca="1">IFERROR(__xludf.DUMMYFUNCTION("""COMPUTED_VALUE"""),"10141612231205")</f>
        <v>10141612231205</v>
      </c>
      <c r="B708" s="30" t="str">
        <f ca="1">IFERROR(__xludf.DUMMYFUNCTION("""COMPUTED_VALUE"""),"CENTRO DE ATENCION PRIMARIA DE LA SALUD DR. SALVADOR SCAVUZZO")</f>
        <v>CENTRO DE ATENCION PRIMARIA DE LA SALUD DR. SALVADOR SCAVUZZO</v>
      </c>
      <c r="C708" s="30" t="str">
        <f ca="1">IFERROR(__xludf.DUMMYFUNCTION("""COMPUTED_VALUE"""),"Córdoba")</f>
        <v>Córdoba</v>
      </c>
      <c r="D708" s="30" t="str">
        <f ca="1">IFERROR(__xludf.DUMMYFUNCTION("""COMPUTED_VALUE"""),"14")</f>
        <v>14</v>
      </c>
      <c r="E708" s="30" t="str">
        <f ca="1">IFERROR(__xludf.DUMMYFUNCTION("""COMPUTED_VALUE"""),"")</f>
        <v/>
      </c>
      <c r="F708" s="29"/>
      <c r="G708" s="30" t="str">
        <f ca="1">IFERROR(__xludf.DUMMYFUNCTION("""COMPUTED_VALUE"""),"50140142131385")</f>
        <v>50140142131385</v>
      </c>
      <c r="H708" s="30" t="str">
        <f ca="1">IFERROR(__xludf.DUMMYFUNCTION("""COMPUTED_VALUE"""),"inactivo")</f>
        <v>inactivo</v>
      </c>
      <c r="I708" s="30" t="str">
        <f ca="1">IFERROR(__xludf.DUMMYFUNCTION("""COMPUTED_VALUE"""),"29/12/2021")</f>
        <v>29/12/2021</v>
      </c>
      <c r="J708" s="29"/>
      <c r="K708" s="29"/>
      <c r="L708" s="30" t="str">
        <f ca="1">IFERROR(__xludf.DUMMYFUNCTION("""COMPUTED_VALUE"""),"No")</f>
        <v>No</v>
      </c>
      <c r="M708" s="30" t="str">
        <f ca="1">IFERROR(__xludf.DUMMYFUNCTION("""COMPUTED_VALUE"""),"14161010000")</f>
        <v>14161010000</v>
      </c>
      <c r="N708" s="30" t="str">
        <f ca="1">IFERROR(__xludf.DUMMYFUNCTION("""COMPUTED_VALUE"""),"ALMAFUERTE")</f>
        <v>ALMAFUERTE</v>
      </c>
      <c r="O708" s="30" t="str">
        <f ca="1">IFERROR(__xludf.DUMMYFUNCTION("""COMPUTED_VALUE"""),"14161")</f>
        <v>14161</v>
      </c>
      <c r="P708" s="30" t="str">
        <f ca="1">IFERROR(__xludf.DUMMYFUNCTION("""COMPUTED_VALUE"""),"TERCERO ARRIBA")</f>
        <v>TERCERO ARRIBA</v>
      </c>
      <c r="Q708" s="30" t="str">
        <f ca="1">IFERROR(__xludf.DUMMYFUNCTION("""COMPUTED_VALUE"""),"-32.194041")</f>
        <v>-32.194041</v>
      </c>
      <c r="R708" s="30" t="str">
        <f ca="1">IFERROR(__xludf.DUMMYFUNCTION("""COMPUTED_VALUE"""),"-64.249352")</f>
        <v>-64.249352</v>
      </c>
      <c r="S708" s="30" t="str">
        <f ca="1">IFERROR(__xludf.DUMMYFUNCTION("""COMPUTED_VALUE"""),"Municipal")</f>
        <v>Municipal</v>
      </c>
      <c r="T708" s="29"/>
    </row>
    <row r="709" spans="1:20" ht="15.75" customHeight="1" x14ac:dyDescent="0.25">
      <c r="A709" s="30" t="str">
        <f ca="1">IFERROR(__xludf.DUMMYFUNCTION("""COMPUTED_VALUE"""),"10141682231182")</f>
        <v>10141682231182</v>
      </c>
      <c r="B709" s="30" t="str">
        <f ca="1">IFERROR(__xludf.DUMMYFUNCTION("""COMPUTED_VALUE"""),"HOSPITAL MUNICIPAL DE VILLA DEL TOTORAL")</f>
        <v>HOSPITAL MUNICIPAL DE VILLA DEL TOTORAL</v>
      </c>
      <c r="C709" s="30" t="str">
        <f ca="1">IFERROR(__xludf.DUMMYFUNCTION("""COMPUTED_VALUE"""),"Córdoba")</f>
        <v>Córdoba</v>
      </c>
      <c r="D709" s="30" t="str">
        <f ca="1">IFERROR(__xludf.DUMMYFUNCTION("""COMPUTED_VALUE"""),"14")</f>
        <v>14</v>
      </c>
      <c r="E709" s="30" t="str">
        <f ca="1">IFERROR(__xludf.DUMMYFUNCTION("""COMPUTED_VALUE"""),"si")</f>
        <v>si</v>
      </c>
      <c r="F709" s="29"/>
      <c r="G709" s="29"/>
      <c r="H709" s="30" t="str">
        <f ca="1">IFERROR(__xludf.DUMMYFUNCTION("""COMPUTED_VALUE"""),"activo")</f>
        <v>activo</v>
      </c>
      <c r="I709" s="29"/>
      <c r="J709" s="29"/>
      <c r="K709" s="29"/>
      <c r="L709" s="30" t="str">
        <f ca="1">IFERROR(__xludf.DUMMYFUNCTION("""COMPUTED_VALUE"""),"No")</f>
        <v>No</v>
      </c>
      <c r="M709" s="30" t="str">
        <f ca="1">IFERROR(__xludf.DUMMYFUNCTION("""COMPUTED_VALUE"""),"14168120000")</f>
        <v>14168120000</v>
      </c>
      <c r="N709" s="30" t="str">
        <f ca="1">IFERROR(__xludf.DUMMYFUNCTION("""COMPUTED_VALUE"""),"VILLA DEL TOTORAL")</f>
        <v>VILLA DEL TOTORAL</v>
      </c>
      <c r="O709" s="30" t="str">
        <f ca="1">IFERROR(__xludf.DUMMYFUNCTION("""COMPUTED_VALUE"""),"14168")</f>
        <v>14168</v>
      </c>
      <c r="P709" s="30" t="str">
        <f ca="1">IFERROR(__xludf.DUMMYFUNCTION("""COMPUTED_VALUE"""),"TOTORAL")</f>
        <v>TOTORAL</v>
      </c>
      <c r="Q709" s="30" t="str">
        <f ca="1">IFERROR(__xludf.DUMMYFUNCTION("""COMPUTED_VALUE"""),"-30.70486")</f>
        <v>-30.70486</v>
      </c>
      <c r="R709" s="30" t="str">
        <f ca="1">IFERROR(__xludf.DUMMYFUNCTION("""COMPUTED_VALUE"""),"-64.06227")</f>
        <v>-64.06227</v>
      </c>
      <c r="S709" s="30" t="str">
        <f ca="1">IFERROR(__xludf.DUMMYFUNCTION("""COMPUTED_VALUE"""),"Municipal")</f>
        <v>Municipal</v>
      </c>
      <c r="T709" s="29"/>
    </row>
    <row r="710" spans="1:20" ht="15.75" customHeight="1" x14ac:dyDescent="0.25">
      <c r="A710" s="30" t="str">
        <f ca="1">IFERROR(__xludf.DUMMYFUNCTION("""COMPUTED_VALUE"""),"10141822231227")</f>
        <v>10141822231227</v>
      </c>
      <c r="B710" s="30" t="str">
        <f ca="1">IFERROR(__xludf.DUMMYFUNCTION("""COMPUTED_VALUE"""),"HOSPITAL MUNICIPAL SAN JUAN DE DIOS DE CANALS")</f>
        <v>HOSPITAL MUNICIPAL SAN JUAN DE DIOS DE CANALS</v>
      </c>
      <c r="C710" s="30" t="str">
        <f ca="1">IFERROR(__xludf.DUMMYFUNCTION("""COMPUTED_VALUE"""),"Córdoba")</f>
        <v>Córdoba</v>
      </c>
      <c r="D710" s="30" t="str">
        <f ca="1">IFERROR(__xludf.DUMMYFUNCTION("""COMPUTED_VALUE"""),"14")</f>
        <v>14</v>
      </c>
      <c r="E710" s="30" t="str">
        <f ca="1">IFERROR(__xludf.DUMMYFUNCTION("""COMPUTED_VALUE"""),"")</f>
        <v/>
      </c>
      <c r="F710" s="29"/>
      <c r="G710" s="29"/>
      <c r="H710" s="30" t="str">
        <f ca="1">IFERROR(__xludf.DUMMYFUNCTION("""COMPUTED_VALUE"""),"inactivo")</f>
        <v>inactivo</v>
      </c>
      <c r="I710" s="29"/>
      <c r="J710" s="29"/>
      <c r="K710" s="29"/>
      <c r="L710" s="30" t="str">
        <f ca="1">IFERROR(__xludf.DUMMYFUNCTION("""COMPUTED_VALUE"""),"No")</f>
        <v>No</v>
      </c>
      <c r="M710" s="30" t="str">
        <f ca="1">IFERROR(__xludf.DUMMYFUNCTION("""COMPUTED_VALUE"""),"14182080000")</f>
        <v>14182080000</v>
      </c>
      <c r="N710" s="30" t="str">
        <f ca="1">IFERROR(__xludf.DUMMYFUNCTION("""COMPUTED_VALUE"""),"CANALS")</f>
        <v>CANALS</v>
      </c>
      <c r="O710" s="30" t="str">
        <f ca="1">IFERROR(__xludf.DUMMYFUNCTION("""COMPUTED_VALUE"""),"14182")</f>
        <v>14182</v>
      </c>
      <c r="P710" s="30" t="str">
        <f ca="1">IFERROR(__xludf.DUMMYFUNCTION("""COMPUTED_VALUE"""),"UNIÓN")</f>
        <v>UNIÓN</v>
      </c>
      <c r="Q710" s="30" t="str">
        <f ca="1">IFERROR(__xludf.DUMMYFUNCTION("""COMPUTED_VALUE"""),"-33.562743")</f>
        <v>-33.562743</v>
      </c>
      <c r="R710" s="30" t="str">
        <f ca="1">IFERROR(__xludf.DUMMYFUNCTION("""COMPUTED_VALUE"""),"-62.878057")</f>
        <v>-62.878057</v>
      </c>
      <c r="S710" s="30" t="str">
        <f ca="1">IFERROR(__xludf.DUMMYFUNCTION("""COMPUTED_VALUE"""),"Municipal")</f>
        <v>Municipal</v>
      </c>
      <c r="T710" s="29"/>
    </row>
    <row r="711" spans="1:20" ht="15.75" customHeight="1" x14ac:dyDescent="0.25">
      <c r="A711" s="30" t="str">
        <f ca="1">IFERROR(__xludf.DUMMYFUNCTION("""COMPUTED_VALUE"""),"10141822231229")</f>
        <v>10141822231229</v>
      </c>
      <c r="B711" s="30" t="str">
        <f ca="1">IFERROR(__xludf.DUMMYFUNCTION("""COMPUTED_VALUE"""),"HOSPITAL MUNICIPAL SAN ROQUE")</f>
        <v>HOSPITAL MUNICIPAL SAN ROQUE</v>
      </c>
      <c r="C711" s="30" t="str">
        <f ca="1">IFERROR(__xludf.DUMMYFUNCTION("""COMPUTED_VALUE"""),"Córdoba")</f>
        <v>Córdoba</v>
      </c>
      <c r="D711" s="30" t="str">
        <f ca="1">IFERROR(__xludf.DUMMYFUNCTION("""COMPUTED_VALUE"""),"14")</f>
        <v>14</v>
      </c>
      <c r="E711" s="30" t="str">
        <f ca="1">IFERROR(__xludf.DUMMYFUNCTION("""COMPUTED_VALUE"""),"")</f>
        <v/>
      </c>
      <c r="F711" s="29"/>
      <c r="G711" s="29"/>
      <c r="H711" s="30" t="str">
        <f ca="1">IFERROR(__xludf.DUMMYFUNCTION("""COMPUTED_VALUE"""),"inactivo")</f>
        <v>inactivo</v>
      </c>
      <c r="I711" s="29"/>
      <c r="J711" s="29"/>
      <c r="K711" s="29"/>
      <c r="L711" s="30" t="str">
        <f ca="1">IFERROR(__xludf.DUMMYFUNCTION("""COMPUTED_VALUE"""),"No")</f>
        <v>No</v>
      </c>
      <c r="M711" s="30" t="str">
        <f ca="1">IFERROR(__xludf.DUMMYFUNCTION("""COMPUTED_VALUE"""),"14182140000")</f>
        <v>14182140000</v>
      </c>
      <c r="N711" s="30" t="str">
        <f ca="1">IFERROR(__xludf.DUMMYFUNCTION("""COMPUTED_VALUE"""),"JUSTINIANO POSSE")</f>
        <v>JUSTINIANO POSSE</v>
      </c>
      <c r="O711" s="30" t="str">
        <f ca="1">IFERROR(__xludf.DUMMYFUNCTION("""COMPUTED_VALUE"""),"14182")</f>
        <v>14182</v>
      </c>
      <c r="P711" s="30" t="str">
        <f ca="1">IFERROR(__xludf.DUMMYFUNCTION("""COMPUTED_VALUE"""),"UNIÓN")</f>
        <v>UNIÓN</v>
      </c>
      <c r="Q711" s="30" t="str">
        <f ca="1">IFERROR(__xludf.DUMMYFUNCTION("""COMPUTED_VALUE"""),"-32.888833")</f>
        <v>-32.888833</v>
      </c>
      <c r="R711" s="30" t="str">
        <f ca="1">IFERROR(__xludf.DUMMYFUNCTION("""COMPUTED_VALUE"""),"-62.680254")</f>
        <v>-62.680254</v>
      </c>
      <c r="S711" s="30" t="str">
        <f ca="1">IFERROR(__xludf.DUMMYFUNCTION("""COMPUTED_VALUE"""),"Municipal")</f>
        <v>Municipal</v>
      </c>
      <c r="T711" s="29"/>
    </row>
    <row r="712" spans="1:20" ht="15.75" customHeight="1" x14ac:dyDescent="0.25">
      <c r="A712" s="30" t="str">
        <f ca="1">IFERROR(__xludf.DUMMYFUNCTION("""COMPUTED_VALUE"""),"10141822231231")</f>
        <v>10141822231231</v>
      </c>
      <c r="B712" s="30" t="str">
        <f ca="1">IFERROR(__xludf.DUMMYFUNCTION("""COMPUTED_VALUE"""),"CENTRO DE ATENCION PRIMARIA DE SALUD SANTA ELISA")</f>
        <v>CENTRO DE ATENCION PRIMARIA DE SALUD SANTA ELISA</v>
      </c>
      <c r="C712" s="30" t="str">
        <f ca="1">IFERROR(__xludf.DUMMYFUNCTION("""COMPUTED_VALUE"""),"Córdoba")</f>
        <v>Córdoba</v>
      </c>
      <c r="D712" s="30" t="str">
        <f ca="1">IFERROR(__xludf.DUMMYFUNCTION("""COMPUTED_VALUE"""),"14")</f>
        <v>14</v>
      </c>
      <c r="E712" s="30" t="str">
        <f ca="1">IFERROR(__xludf.DUMMYFUNCTION("""COMPUTED_VALUE"""),"")</f>
        <v/>
      </c>
      <c r="F712" s="29"/>
      <c r="G712" s="29"/>
      <c r="H712" s="30" t="str">
        <f ca="1">IFERROR(__xludf.DUMMYFUNCTION("""COMPUTED_VALUE"""),"inactivo")</f>
        <v>inactivo</v>
      </c>
      <c r="I712" s="29"/>
      <c r="J712" s="29"/>
      <c r="K712" s="29"/>
      <c r="L712" s="30" t="str">
        <f ca="1">IFERROR(__xludf.DUMMYFUNCTION("""COMPUTED_VALUE"""),"No")</f>
        <v>No</v>
      </c>
      <c r="M712" s="30" t="str">
        <f ca="1">IFERROR(__xludf.DUMMYFUNCTION("""COMPUTED_VALUE"""),"14182270000")</f>
        <v>14182270000</v>
      </c>
      <c r="N712" s="30" t="str">
        <f ca="1">IFERROR(__xludf.DUMMYFUNCTION("""COMPUTED_VALUE"""),"VIAMONTE")</f>
        <v>VIAMONTE</v>
      </c>
      <c r="O712" s="30" t="str">
        <f ca="1">IFERROR(__xludf.DUMMYFUNCTION("""COMPUTED_VALUE"""),"14182")</f>
        <v>14182</v>
      </c>
      <c r="P712" s="30" t="str">
        <f ca="1">IFERROR(__xludf.DUMMYFUNCTION("""COMPUTED_VALUE"""),"UNIÓN")</f>
        <v>UNIÓN</v>
      </c>
      <c r="Q712" s="30" t="str">
        <f ca="1">IFERROR(__xludf.DUMMYFUNCTION("""COMPUTED_VALUE"""),"-33.749457")</f>
        <v>-33.749457</v>
      </c>
      <c r="R712" s="30" t="str">
        <f ca="1">IFERROR(__xludf.DUMMYFUNCTION("""COMPUTED_VALUE"""),"-63.095119")</f>
        <v>-63.095119</v>
      </c>
      <c r="S712" s="30" t="str">
        <f ca="1">IFERROR(__xludf.DUMMYFUNCTION("""COMPUTED_VALUE"""),"Municipal")</f>
        <v>Municipal</v>
      </c>
      <c r="T712" s="29"/>
    </row>
    <row r="713" spans="1:20" ht="15.75" customHeight="1" x14ac:dyDescent="0.25">
      <c r="A713" s="30" t="str">
        <f ca="1">IFERROR(__xludf.DUMMYFUNCTION("""COMPUTED_VALUE"""),"10141822231264")</f>
        <v>10141822231264</v>
      </c>
      <c r="B713" s="30" t="str">
        <f ca="1">IFERROR(__xludf.DUMMYFUNCTION("""COMPUTED_VALUE"""),"HOSPITAL VECINAL SAN MARCOS SUD")</f>
        <v>HOSPITAL VECINAL SAN MARCOS SUD</v>
      </c>
      <c r="C713" s="30" t="str">
        <f ca="1">IFERROR(__xludf.DUMMYFUNCTION("""COMPUTED_VALUE"""),"Córdoba")</f>
        <v>Córdoba</v>
      </c>
      <c r="D713" s="30" t="str">
        <f ca="1">IFERROR(__xludf.DUMMYFUNCTION("""COMPUTED_VALUE"""),"14")</f>
        <v>14</v>
      </c>
      <c r="E713" s="30" t="str">
        <f ca="1">IFERROR(__xludf.DUMMYFUNCTION("""COMPUTED_VALUE"""),"")</f>
        <v/>
      </c>
      <c r="F713" s="29"/>
      <c r="G713" s="29"/>
      <c r="H713" s="30" t="str">
        <f ca="1">IFERROR(__xludf.DUMMYFUNCTION("""COMPUTED_VALUE"""),"inactivo")</f>
        <v>inactivo</v>
      </c>
      <c r="I713" s="29"/>
      <c r="J713" s="29"/>
      <c r="K713" s="29"/>
      <c r="L713" s="30" t="str">
        <f ca="1">IFERROR(__xludf.DUMMYFUNCTION("""COMPUTED_VALUE"""),"No")</f>
        <v>No</v>
      </c>
      <c r="M713" s="30" t="str">
        <f ca="1">IFERROR(__xludf.DUMMYFUNCTION("""COMPUTED_VALUE"""),"14182250000")</f>
        <v>14182250000</v>
      </c>
      <c r="N713" s="30" t="str">
        <f ca="1">IFERROR(__xludf.DUMMYFUNCTION("""COMPUTED_VALUE"""),"SAN MARCOS")</f>
        <v>SAN MARCOS</v>
      </c>
      <c r="O713" s="30" t="str">
        <f ca="1">IFERROR(__xludf.DUMMYFUNCTION("""COMPUTED_VALUE"""),"14182")</f>
        <v>14182</v>
      </c>
      <c r="P713" s="30" t="str">
        <f ca="1">IFERROR(__xludf.DUMMYFUNCTION("""COMPUTED_VALUE"""),"UNIÓN")</f>
        <v>UNIÓN</v>
      </c>
      <c r="Q713" s="30" t="str">
        <f ca="1">IFERROR(__xludf.DUMMYFUNCTION("""COMPUTED_VALUE"""),"-30.783432")</f>
        <v>-30.783432</v>
      </c>
      <c r="R713" s="30" t="str">
        <f ca="1">IFERROR(__xludf.DUMMYFUNCTION("""COMPUTED_VALUE"""),"-64.63541")</f>
        <v>-64.63541</v>
      </c>
      <c r="S713" s="30" t="str">
        <f ca="1">IFERROR(__xludf.DUMMYFUNCTION("""COMPUTED_VALUE"""),"Municipal")</f>
        <v>Municipal</v>
      </c>
      <c r="T713" s="29"/>
    </row>
    <row r="714" spans="1:20" ht="15.75" customHeight="1" x14ac:dyDescent="0.25">
      <c r="A714" s="30" t="str">
        <f ca="1">IFERROR(__xludf.DUMMYFUNCTION("""COMPUTED_VALUE"""),"50140072231510")</f>
        <v>50140072231510</v>
      </c>
      <c r="B714" s="30" t="str">
        <f ca="1">IFERROR(__xludf.DUMMYFUNCTION("""COMPUTED_VALUE"""),"DISPENSARIO LUIS ARONOFF BARRIO EL PUEBLITO")</f>
        <v>DISPENSARIO LUIS ARONOFF BARRIO EL PUEBLITO</v>
      </c>
      <c r="C714" s="30" t="str">
        <f ca="1">IFERROR(__xludf.DUMMYFUNCTION("""COMPUTED_VALUE"""),"Córdoba")</f>
        <v>Córdoba</v>
      </c>
      <c r="D714" s="30" t="str">
        <f ca="1">IFERROR(__xludf.DUMMYFUNCTION("""COMPUTED_VALUE"""),"14")</f>
        <v>14</v>
      </c>
      <c r="E714" s="30" t="str">
        <f ca="1">IFERROR(__xludf.DUMMYFUNCTION("""COMPUTED_VALUE"""),"")</f>
        <v/>
      </c>
      <c r="F714" s="29"/>
      <c r="G714" s="29"/>
      <c r="H714" s="30" t="str">
        <f ca="1">IFERROR(__xludf.DUMMYFUNCTION("""COMPUTED_VALUE"""),"inactivo")</f>
        <v>inactivo</v>
      </c>
      <c r="I714" s="29"/>
      <c r="J714" s="29"/>
      <c r="K714" s="29"/>
      <c r="L714" s="30" t="str">
        <f ca="1">IFERROR(__xludf.DUMMYFUNCTION("""COMPUTED_VALUE"""),"No")</f>
        <v>No</v>
      </c>
      <c r="M714" s="30" t="str">
        <f ca="1">IFERROR(__xludf.DUMMYFUNCTION("""COMPUTED_VALUE"""),"14007060000")</f>
        <v>14007060000</v>
      </c>
      <c r="N714" s="30" t="str">
        <f ca="1">IFERROR(__xludf.DUMMYFUNCTION("""COMPUTED_VALUE"""),"EMBALSE")</f>
        <v>EMBALSE</v>
      </c>
      <c r="O714" s="30" t="str">
        <f ca="1">IFERROR(__xludf.DUMMYFUNCTION("""COMPUTED_VALUE"""),"147")</f>
        <v>147</v>
      </c>
      <c r="P714" s="30" t="str">
        <f ca="1">IFERROR(__xludf.DUMMYFUNCTION("""COMPUTED_VALUE"""),"CALAMUCHITA")</f>
        <v>CALAMUCHITA</v>
      </c>
      <c r="Q714" s="30" t="str">
        <f ca="1">IFERROR(__xludf.DUMMYFUNCTION("""COMPUTED_VALUE"""),"-32.18371246")</f>
        <v>-32.18371246</v>
      </c>
      <c r="R714" s="30" t="str">
        <f ca="1">IFERROR(__xludf.DUMMYFUNCTION("""COMPUTED_VALUE"""),"-64.41670418")</f>
        <v>-64.41670418</v>
      </c>
      <c r="S714" s="30" t="str">
        <f ca="1">IFERROR(__xludf.DUMMYFUNCTION("""COMPUTED_VALUE"""),"Municipal")</f>
        <v>Municipal</v>
      </c>
      <c r="T714" s="29"/>
    </row>
    <row r="715" spans="1:20" ht="15.75" customHeight="1" x14ac:dyDescent="0.25">
      <c r="A715" s="30" t="str">
        <f ca="1">IFERROR(__xludf.DUMMYFUNCTION("""COMPUTED_VALUE"""),"50140072232194")</f>
        <v>50140072232194</v>
      </c>
      <c r="B715" s="30" t="str">
        <f ca="1">IFERROR(__xludf.DUMMYFUNCTION("""COMPUTED_VALUE"""),"DISPENSARIO MUNICIPAL DR. TOMAS BOSIO")</f>
        <v>DISPENSARIO MUNICIPAL DR. TOMAS BOSIO</v>
      </c>
      <c r="C715" s="30" t="str">
        <f ca="1">IFERROR(__xludf.DUMMYFUNCTION("""COMPUTED_VALUE"""),"Córdoba")</f>
        <v>Córdoba</v>
      </c>
      <c r="D715" s="30" t="str">
        <f ca="1">IFERROR(__xludf.DUMMYFUNCTION("""COMPUTED_VALUE"""),"14")</f>
        <v>14</v>
      </c>
      <c r="E715" s="30" t="str">
        <f ca="1">IFERROR(__xludf.DUMMYFUNCTION("""COMPUTED_VALUE"""),"")</f>
        <v/>
      </c>
      <c r="F715" s="29"/>
      <c r="G715" s="29"/>
      <c r="H715" s="30" t="str">
        <f ca="1">IFERROR(__xludf.DUMMYFUNCTION("""COMPUTED_VALUE"""),"activo")</f>
        <v>activo</v>
      </c>
      <c r="I715" s="29"/>
      <c r="J715" s="29"/>
      <c r="K715" s="29"/>
      <c r="L715" s="30" t="str">
        <f ca="1">IFERROR(__xludf.DUMMYFUNCTION("""COMPUTED_VALUE"""),"No")</f>
        <v>No</v>
      </c>
      <c r="M715" s="30" t="str">
        <f ca="1">IFERROR(__xludf.DUMMYFUNCTION("""COMPUTED_VALUE"""),"14007110000")</f>
        <v>14007110000</v>
      </c>
      <c r="N715" s="30" t="str">
        <f ca="1">IFERROR(__xludf.DUMMYFUNCTION("""COMPUTED_VALUE"""),"LOS CONDORES")</f>
        <v>LOS CONDORES</v>
      </c>
      <c r="O715" s="30" t="str">
        <f ca="1">IFERROR(__xludf.DUMMYFUNCTION("""COMPUTED_VALUE"""),"147")</f>
        <v>147</v>
      </c>
      <c r="P715" s="30" t="str">
        <f ca="1">IFERROR(__xludf.DUMMYFUNCTION("""COMPUTED_VALUE"""),"CALAMUCHITA")</f>
        <v>CALAMUCHITA</v>
      </c>
      <c r="Q715" s="30" t="str">
        <f ca="1">IFERROR(__xludf.DUMMYFUNCTION("""COMPUTED_VALUE"""),"-32.320796")</f>
        <v>-32.320796</v>
      </c>
      <c r="R715" s="30" t="str">
        <f ca="1">IFERROR(__xludf.DUMMYFUNCTION("""COMPUTED_VALUE"""),"-64.27779")</f>
        <v>-64.27779</v>
      </c>
      <c r="S715" s="30" t="str">
        <f ca="1">IFERROR(__xludf.DUMMYFUNCTION("""COMPUTED_VALUE"""),"Municipal")</f>
        <v>Municipal</v>
      </c>
      <c r="T715" s="29"/>
    </row>
    <row r="716" spans="1:20" ht="15.75" customHeight="1" x14ac:dyDescent="0.25">
      <c r="A716" s="30" t="str">
        <f ca="1">IFERROR(__xludf.DUMMYFUNCTION("""COMPUTED_VALUE"""),"50140072232495")</f>
        <v>50140072232495</v>
      </c>
      <c r="B716" s="30" t="str">
        <f ca="1">IFERROR(__xludf.DUMMYFUNCTION("""COMPUTED_VALUE"""),"PUESTO SANITARIO EDUARDO BERTHOLET")</f>
        <v>PUESTO SANITARIO EDUARDO BERTHOLET</v>
      </c>
      <c r="C716" s="30" t="str">
        <f ca="1">IFERROR(__xludf.DUMMYFUNCTION("""COMPUTED_VALUE"""),"Córdoba")</f>
        <v>Córdoba</v>
      </c>
      <c r="D716" s="30" t="str">
        <f ca="1">IFERROR(__xludf.DUMMYFUNCTION("""COMPUTED_VALUE"""),"14")</f>
        <v>14</v>
      </c>
      <c r="E716" s="30" t="str">
        <f ca="1">IFERROR(__xludf.DUMMYFUNCTION("""COMPUTED_VALUE"""),"")</f>
        <v/>
      </c>
      <c r="F716" s="29"/>
      <c r="G716" s="29"/>
      <c r="H716" s="30" t="str">
        <f ca="1">IFERROR(__xludf.DUMMYFUNCTION("""COMPUTED_VALUE"""),"inactivo")</f>
        <v>inactivo</v>
      </c>
      <c r="I716" s="29"/>
      <c r="J716" s="29"/>
      <c r="K716" s="29"/>
      <c r="L716" s="30" t="str">
        <f ca="1">IFERROR(__xludf.DUMMYFUNCTION("""COMPUTED_VALUE"""),"No")</f>
        <v>No</v>
      </c>
      <c r="M716" s="30" t="str">
        <f ca="1">IFERROR(__xludf.DUMMYFUNCTION("""COMPUTED_VALUE"""),"14007290000")</f>
        <v>14007290000</v>
      </c>
      <c r="N716" s="30" t="str">
        <f ca="1">IFERROR(__xludf.DUMMYFUNCTION("""COMPUTED_VALUE"""),"VILLA DEL DIQUE")</f>
        <v>VILLA DEL DIQUE</v>
      </c>
      <c r="O716" s="30" t="str">
        <f ca="1">IFERROR(__xludf.DUMMYFUNCTION("""COMPUTED_VALUE"""),"147")</f>
        <v>147</v>
      </c>
      <c r="P716" s="30" t="str">
        <f ca="1">IFERROR(__xludf.DUMMYFUNCTION("""COMPUTED_VALUE"""),"CALAMUCHITA")</f>
        <v>CALAMUCHITA</v>
      </c>
      <c r="Q716" s="30" t="str">
        <f ca="1">IFERROR(__xludf.DUMMYFUNCTION("""COMPUTED_VALUE"""),"-32.1675481")</f>
        <v>-32.1675481</v>
      </c>
      <c r="R716" s="30" t="str">
        <f ca="1">IFERROR(__xludf.DUMMYFUNCTION("""COMPUTED_VALUE"""),"-64.48262215")</f>
        <v>-64.48262215</v>
      </c>
      <c r="S716" s="30" t="str">
        <f ca="1">IFERROR(__xludf.DUMMYFUNCTION("""COMPUTED_VALUE"""),"Municipal")</f>
        <v>Municipal</v>
      </c>
      <c r="T716" s="29"/>
    </row>
    <row r="717" spans="1:20" ht="15.75" customHeight="1" x14ac:dyDescent="0.25">
      <c r="A717" s="30" t="str">
        <f ca="1">IFERROR(__xludf.DUMMYFUNCTION("""COMPUTED_VALUE"""),"50140072232497")</f>
        <v>50140072232497</v>
      </c>
      <c r="B717" s="30" t="str">
        <f ca="1">IFERROR(__xludf.DUMMYFUNCTION("""COMPUTED_VALUE"""),"CENTRO DE ATENCION PRIMARIA DE LA SALUD DR. ARTURO ILLIA")</f>
        <v>CENTRO DE ATENCION PRIMARIA DE LA SALUD DR. ARTURO ILLIA</v>
      </c>
      <c r="C717" s="30" t="str">
        <f ca="1">IFERROR(__xludf.DUMMYFUNCTION("""COMPUTED_VALUE"""),"Córdoba")</f>
        <v>Córdoba</v>
      </c>
      <c r="D717" s="30" t="str">
        <f ca="1">IFERROR(__xludf.DUMMYFUNCTION("""COMPUTED_VALUE"""),"14")</f>
        <v>14</v>
      </c>
      <c r="E717" s="30" t="str">
        <f ca="1">IFERROR(__xludf.DUMMYFUNCTION("""COMPUTED_VALUE"""),"")</f>
        <v/>
      </c>
      <c r="F717" s="29"/>
      <c r="G717" s="29"/>
      <c r="H717" s="30" t="str">
        <f ca="1">IFERROR(__xludf.DUMMYFUNCTION("""COMPUTED_VALUE"""),"inactivo")</f>
        <v>inactivo</v>
      </c>
      <c r="I717" s="29"/>
      <c r="J717" s="29"/>
      <c r="K717" s="29"/>
      <c r="L717" s="30" t="str">
        <f ca="1">IFERROR(__xludf.DUMMYFUNCTION("""COMPUTED_VALUE"""),"No")</f>
        <v>No</v>
      </c>
      <c r="M717" s="30" t="str">
        <f ca="1">IFERROR(__xludf.DUMMYFUNCTION("""COMPUTED_VALUE"""),"14007310000")</f>
        <v>14007310000</v>
      </c>
      <c r="N717" s="30" t="str">
        <f ca="1">IFERROR(__xludf.DUMMYFUNCTION("""COMPUTED_VALUE"""),"VILLA GENERAL BELGRANO")</f>
        <v>VILLA GENERAL BELGRANO</v>
      </c>
      <c r="O717" s="30" t="str">
        <f ca="1">IFERROR(__xludf.DUMMYFUNCTION("""COMPUTED_VALUE"""),"147")</f>
        <v>147</v>
      </c>
      <c r="P717" s="30" t="str">
        <f ca="1">IFERROR(__xludf.DUMMYFUNCTION("""COMPUTED_VALUE"""),"CALAMUCHITA")</f>
        <v>CALAMUCHITA</v>
      </c>
      <c r="Q717" s="30" t="str">
        <f ca="1">IFERROR(__xludf.DUMMYFUNCTION("""COMPUTED_VALUE"""),"-31.984457")</f>
        <v>-31.984457</v>
      </c>
      <c r="R717" s="30" t="str">
        <f ca="1">IFERROR(__xludf.DUMMYFUNCTION("""COMPUTED_VALUE"""),"-64.562643")</f>
        <v>-64.562643</v>
      </c>
      <c r="S717" s="30" t="str">
        <f ca="1">IFERROR(__xludf.DUMMYFUNCTION("""COMPUTED_VALUE"""),"Municipal")</f>
        <v>Municipal</v>
      </c>
      <c r="T717" s="29"/>
    </row>
    <row r="718" spans="1:20" ht="15.75" customHeight="1" x14ac:dyDescent="0.25">
      <c r="A718" s="30" t="str">
        <f ca="1">IFERROR(__xludf.DUMMYFUNCTION("""COMPUTED_VALUE"""),"50140142131383")</f>
        <v>50140142131383</v>
      </c>
      <c r="B718" s="30" t="str">
        <f ca="1">IFERROR(__xludf.DUMMYFUNCTION("""COMPUTED_VALUE"""),"CAPS CIUDAD AMPLIACION FERREYRA")</f>
        <v>CAPS CIUDAD AMPLIACION FERREYRA</v>
      </c>
      <c r="C718" s="30" t="str">
        <f ca="1">IFERROR(__xludf.DUMMYFUNCTION("""COMPUTED_VALUE"""),"Córdoba")</f>
        <v>Córdoba</v>
      </c>
      <c r="D718" s="30" t="str">
        <f ca="1">IFERROR(__xludf.DUMMYFUNCTION("""COMPUTED_VALUE"""),"14")</f>
        <v>14</v>
      </c>
      <c r="E718" s="30" t="str">
        <f ca="1">IFERROR(__xludf.DUMMYFUNCTION("""COMPUTED_VALUE"""),"si")</f>
        <v>si</v>
      </c>
      <c r="F718" s="29"/>
      <c r="G718" s="29"/>
      <c r="H718" s="30" t="str">
        <f ca="1">IFERROR(__xludf.DUMMYFUNCTION("""COMPUTED_VALUE"""),"activo")</f>
        <v>activo</v>
      </c>
      <c r="I718" s="29"/>
      <c r="J718" s="29"/>
      <c r="K718" s="29"/>
      <c r="L718" s="30" t="str">
        <f ca="1">IFERROR(__xludf.DUMMYFUNCTION("""COMPUTED_VALUE"""),"No")</f>
        <v>No</v>
      </c>
      <c r="M718" s="30" t="str">
        <f ca="1">IFERROR(__xludf.DUMMYFUNCTION("""COMPUTED_VALUE"""),"14014010000")</f>
        <v>14014010000</v>
      </c>
      <c r="N718" s="30" t="str">
        <f ca="1">IFERROR(__xludf.DUMMYFUNCTION("""COMPUTED_VALUE"""),"CORDOBA")</f>
        <v>CORDOBA</v>
      </c>
      <c r="O718" s="30" t="str">
        <f ca="1">IFERROR(__xludf.DUMMYFUNCTION("""COMPUTED_VALUE"""),"1414")</f>
        <v>1414</v>
      </c>
      <c r="P718" s="30" t="str">
        <f ca="1">IFERROR(__xludf.DUMMYFUNCTION("""COMPUTED_VALUE"""),"CAPITAL")</f>
        <v>CAPITAL</v>
      </c>
      <c r="Q718" s="30" t="str">
        <f ca="1">IFERROR(__xludf.DUMMYFUNCTION("""COMPUTED_VALUE"""),"-31.38048912")</f>
        <v>-31.38048912</v>
      </c>
      <c r="R718" s="30" t="str">
        <f ca="1">IFERROR(__xludf.DUMMYFUNCTION("""COMPUTED_VALUE"""),"-64.18620301")</f>
        <v>-64.18620301</v>
      </c>
      <c r="S718" s="30" t="str">
        <f ca="1">IFERROR(__xludf.DUMMYFUNCTION("""COMPUTED_VALUE"""),"Provincial")</f>
        <v>Provincial</v>
      </c>
      <c r="T718" s="30" t="str">
        <f ca="1">IFERROR(__xludf.DUMMYFUNCTION("""COMPUTED_VALUE"""),"-")</f>
        <v>-</v>
      </c>
    </row>
    <row r="719" spans="1:20" ht="15.75" customHeight="1" x14ac:dyDescent="0.25">
      <c r="A719" s="30" t="str">
        <f ca="1">IFERROR(__xludf.DUMMYFUNCTION("""COMPUTED_VALUE"""),"50140142131388")</f>
        <v>50140142131388</v>
      </c>
      <c r="B719" s="30" t="str">
        <f ca="1">IFERROR(__xludf.DUMMYFUNCTION("""COMPUTED_VALUE"""),"CAPS CIUDAD VILLA RETIRO")</f>
        <v>CAPS CIUDAD VILLA RETIRO</v>
      </c>
      <c r="C719" s="30" t="str">
        <f ca="1">IFERROR(__xludf.DUMMYFUNCTION("""COMPUTED_VALUE"""),"Córdoba")</f>
        <v>Córdoba</v>
      </c>
      <c r="D719" s="30" t="str">
        <f ca="1">IFERROR(__xludf.DUMMYFUNCTION("""COMPUTED_VALUE"""),"14")</f>
        <v>14</v>
      </c>
      <c r="E719" s="30" t="str">
        <f ca="1">IFERROR(__xludf.DUMMYFUNCTION("""COMPUTED_VALUE"""),"")</f>
        <v/>
      </c>
      <c r="F719" s="30" t="str">
        <f ca="1">IFERROR(__xludf.DUMMYFUNCTION("""COMPUTED_VALUE"""),"50140632232170")</f>
        <v>50140632232170</v>
      </c>
      <c r="G719" s="29"/>
      <c r="H719" s="30" t="str">
        <f ca="1">IFERROR(__xludf.DUMMYFUNCTION("""COMPUTED_VALUE"""),"activo")</f>
        <v>activo</v>
      </c>
      <c r="I719" s="30" t="str">
        <f ca="1">IFERROR(__xludf.DUMMYFUNCTION("""COMPUTED_VALUE"""),"29/12/2021")</f>
        <v>29/12/2021</v>
      </c>
      <c r="J719" s="29"/>
      <c r="K719" s="29"/>
      <c r="L719" s="30" t="str">
        <f ca="1">IFERROR(__xludf.DUMMYFUNCTION("""COMPUTED_VALUE"""),"No")</f>
        <v>No</v>
      </c>
      <c r="M719" s="30" t="str">
        <f ca="1">IFERROR(__xludf.DUMMYFUNCTION("""COMPUTED_VALUE"""),"14014010000")</f>
        <v>14014010000</v>
      </c>
      <c r="N719" s="30" t="str">
        <f ca="1">IFERROR(__xludf.DUMMYFUNCTION("""COMPUTED_VALUE"""),"CORDOBA")</f>
        <v>CORDOBA</v>
      </c>
      <c r="O719" s="30" t="str">
        <f ca="1">IFERROR(__xludf.DUMMYFUNCTION("""COMPUTED_VALUE"""),"1414")</f>
        <v>1414</v>
      </c>
      <c r="P719" s="30" t="str">
        <f ca="1">IFERROR(__xludf.DUMMYFUNCTION("""COMPUTED_VALUE"""),"CAPITAL")</f>
        <v>CAPITAL</v>
      </c>
      <c r="Q719" s="30" t="str">
        <f ca="1">IFERROR(__xludf.DUMMYFUNCTION("""COMPUTED_VALUE"""),"-31.41090844")</f>
        <v>-31.41090844</v>
      </c>
      <c r="R719" s="30" t="str">
        <f ca="1">IFERROR(__xludf.DUMMYFUNCTION("""COMPUTED_VALUE"""),"-64.17455292")</f>
        <v>-64.17455292</v>
      </c>
      <c r="S719" s="30" t="str">
        <f ca="1">IFERROR(__xludf.DUMMYFUNCTION("""COMPUTED_VALUE"""),"Provincial")</f>
        <v>Provincial</v>
      </c>
      <c r="T719" s="30" t="str">
        <f ca="1">IFERROR(__xludf.DUMMYFUNCTION("""COMPUTED_VALUE"""),"-")</f>
        <v>-</v>
      </c>
    </row>
    <row r="720" spans="1:20" ht="15.75" customHeight="1" x14ac:dyDescent="0.25">
      <c r="A720" s="30" t="str">
        <f ca="1">IFERROR(__xludf.DUMMYFUNCTION("""COMPUTED_VALUE"""),"50140142131411")</f>
        <v>50140142131411</v>
      </c>
      <c r="B720" s="30" t="str">
        <f ca="1">IFERROR(__xludf.DUMMYFUNCTION("""COMPUTED_VALUE"""),"CAPS PARQUE LAS ROSAS")</f>
        <v>CAPS PARQUE LAS ROSAS</v>
      </c>
      <c r="C720" s="30" t="str">
        <f ca="1">IFERROR(__xludf.DUMMYFUNCTION("""COMPUTED_VALUE"""),"Córdoba")</f>
        <v>Córdoba</v>
      </c>
      <c r="D720" s="30" t="str">
        <f ca="1">IFERROR(__xludf.DUMMYFUNCTION("""COMPUTED_VALUE"""),"14")</f>
        <v>14</v>
      </c>
      <c r="E720" s="30" t="str">
        <f ca="1">IFERROR(__xludf.DUMMYFUNCTION("""COMPUTED_VALUE"""),"si")</f>
        <v>si</v>
      </c>
      <c r="F720" s="29"/>
      <c r="G720" s="29"/>
      <c r="H720" s="30" t="str">
        <f ca="1">IFERROR(__xludf.DUMMYFUNCTION("""COMPUTED_VALUE"""),"activo")</f>
        <v>activo</v>
      </c>
      <c r="I720" s="29"/>
      <c r="J720" s="29"/>
      <c r="K720" s="29"/>
      <c r="L720" s="30" t="str">
        <f ca="1">IFERROR(__xludf.DUMMYFUNCTION("""COMPUTED_VALUE"""),"No")</f>
        <v>No</v>
      </c>
      <c r="M720" s="30" t="str">
        <f ca="1">IFERROR(__xludf.DUMMYFUNCTION("""COMPUTED_VALUE"""),"14014010000")</f>
        <v>14014010000</v>
      </c>
      <c r="N720" s="30" t="str">
        <f ca="1">IFERROR(__xludf.DUMMYFUNCTION("""COMPUTED_VALUE"""),"CORDOBA")</f>
        <v>CORDOBA</v>
      </c>
      <c r="O720" s="30" t="str">
        <f ca="1">IFERROR(__xludf.DUMMYFUNCTION("""COMPUTED_VALUE"""),"1414")</f>
        <v>1414</v>
      </c>
      <c r="P720" s="30" t="str">
        <f ca="1">IFERROR(__xludf.DUMMYFUNCTION("""COMPUTED_VALUE"""),"CAPITAL")</f>
        <v>CAPITAL</v>
      </c>
      <c r="Q720" s="30" t="str">
        <f ca="1">IFERROR(__xludf.DUMMYFUNCTION("""COMPUTED_VALUE"""),"-31.36531976")</f>
        <v>-31.36531976</v>
      </c>
      <c r="R720" s="30" t="str">
        <f ca="1">IFERROR(__xludf.DUMMYFUNCTION("""COMPUTED_VALUE"""),"-64.22761345")</f>
        <v>-64.22761345</v>
      </c>
      <c r="S720" s="30" t="str">
        <f ca="1">IFERROR(__xludf.DUMMYFUNCTION("""COMPUTED_VALUE"""),"Provincial")</f>
        <v>Provincial</v>
      </c>
      <c r="T720" s="30" t="str">
        <f ca="1">IFERROR(__xludf.DUMMYFUNCTION("""COMPUTED_VALUE"""),"-")</f>
        <v>-</v>
      </c>
    </row>
    <row r="721" spans="1:20" ht="15.75" customHeight="1" x14ac:dyDescent="0.25">
      <c r="A721" s="30" t="str">
        <f ca="1">IFERROR(__xludf.DUMMYFUNCTION("""COMPUTED_VALUE"""),"50140142131417")</f>
        <v>50140142131417</v>
      </c>
      <c r="B721" s="30" t="str">
        <f ca="1">IFERROR(__xludf.DUMMYFUNCTION("""COMPUTED_VALUE"""),"CAPS ZEPA A")</f>
        <v>CAPS ZEPA A</v>
      </c>
      <c r="C721" s="30" t="str">
        <f ca="1">IFERROR(__xludf.DUMMYFUNCTION("""COMPUTED_VALUE"""),"Córdoba")</f>
        <v>Córdoba</v>
      </c>
      <c r="D721" s="30" t="str">
        <f ca="1">IFERROR(__xludf.DUMMYFUNCTION("""COMPUTED_VALUE"""),"14")</f>
        <v>14</v>
      </c>
      <c r="E721" s="30" t="str">
        <f ca="1">IFERROR(__xludf.DUMMYFUNCTION("""COMPUTED_VALUE"""),"si")</f>
        <v>si</v>
      </c>
      <c r="F721" s="29"/>
      <c r="G721" s="29"/>
      <c r="H721" s="30" t="str">
        <f ca="1">IFERROR(__xludf.DUMMYFUNCTION("""COMPUTED_VALUE"""),"activo")</f>
        <v>activo</v>
      </c>
      <c r="I721" s="29"/>
      <c r="J721" s="29"/>
      <c r="K721" s="29"/>
      <c r="L721" s="30" t="str">
        <f ca="1">IFERROR(__xludf.DUMMYFUNCTION("""COMPUTED_VALUE"""),"No")</f>
        <v>No</v>
      </c>
      <c r="M721" s="30" t="str">
        <f ca="1">IFERROR(__xludf.DUMMYFUNCTION("""COMPUTED_VALUE"""),"14014010000")</f>
        <v>14014010000</v>
      </c>
      <c r="N721" s="30" t="str">
        <f ca="1">IFERROR(__xludf.DUMMYFUNCTION("""COMPUTED_VALUE"""),"CORDOBA")</f>
        <v>CORDOBA</v>
      </c>
      <c r="O721" s="30" t="str">
        <f ca="1">IFERROR(__xludf.DUMMYFUNCTION("""COMPUTED_VALUE"""),"1414")</f>
        <v>1414</v>
      </c>
      <c r="P721" s="30" t="str">
        <f ca="1">IFERROR(__xludf.DUMMYFUNCTION("""COMPUTED_VALUE"""),"CAPITAL")</f>
        <v>CAPITAL</v>
      </c>
      <c r="Q721" s="30" t="str">
        <f ca="1">IFERROR(__xludf.DUMMYFUNCTION("""COMPUTED_VALUE"""),"-31.389067")</f>
        <v>-31.389067</v>
      </c>
      <c r="R721" s="30" t="str">
        <f ca="1">IFERROR(__xludf.DUMMYFUNCTION("""COMPUTED_VALUE"""),"-64.110203")</f>
        <v>-64.110203</v>
      </c>
      <c r="S721" s="30" t="str">
        <f ca="1">IFERROR(__xludf.DUMMYFUNCTION("""COMPUTED_VALUE"""),"Provincial")</f>
        <v>Provincial</v>
      </c>
      <c r="T721" s="30" t="str">
        <f ca="1">IFERROR(__xludf.DUMMYFUNCTION("""COMPUTED_VALUE"""),"-")</f>
        <v>-</v>
      </c>
    </row>
    <row r="722" spans="1:20" ht="15.75" customHeight="1" x14ac:dyDescent="0.25">
      <c r="A722" s="30" t="str">
        <f ca="1">IFERROR(__xludf.DUMMYFUNCTION("""COMPUTED_VALUE"""),"50140142133186")</f>
        <v>50140142133186</v>
      </c>
      <c r="B722" s="30" t="str">
        <f ca="1">IFERROR(__xludf.DUMMYFUNCTION("""COMPUTED_VALUE"""),"CENRO DE SALUD N° 1 - BARRIO GENERAL MOSCONI")</f>
        <v>CENRO DE SALUD N° 1 - BARRIO GENERAL MOSCONI</v>
      </c>
      <c r="C722" s="30" t="str">
        <f ca="1">IFERROR(__xludf.DUMMYFUNCTION("""COMPUTED_VALUE"""),"Córdoba")</f>
        <v>Córdoba</v>
      </c>
      <c r="D722" s="30" t="str">
        <f ca="1">IFERROR(__xludf.DUMMYFUNCTION("""COMPUTED_VALUE"""),"14")</f>
        <v>14</v>
      </c>
      <c r="E722" s="30" t="str">
        <f ca="1">IFERROR(__xludf.DUMMYFUNCTION("""COMPUTED_VALUE"""),"")</f>
        <v/>
      </c>
      <c r="F722" s="29"/>
      <c r="G722" s="29"/>
      <c r="H722" s="30" t="str">
        <f ca="1">IFERROR(__xludf.DUMMYFUNCTION("""COMPUTED_VALUE"""),"activo")</f>
        <v>activo</v>
      </c>
      <c r="I722" s="29"/>
      <c r="J722" s="29"/>
      <c r="K722" s="29"/>
      <c r="L722" s="30" t="str">
        <f ca="1">IFERROR(__xludf.DUMMYFUNCTION("""COMPUTED_VALUE"""),"No")</f>
        <v>No</v>
      </c>
      <c r="M722" s="30" t="str">
        <f ca="1">IFERROR(__xludf.DUMMYFUNCTION("""COMPUTED_VALUE"""),"14014010000")</f>
        <v>14014010000</v>
      </c>
      <c r="N722" s="30" t="str">
        <f ca="1">IFERROR(__xludf.DUMMYFUNCTION("""COMPUTED_VALUE"""),"CORDOBA")</f>
        <v>CORDOBA</v>
      </c>
      <c r="O722" s="30" t="str">
        <f ca="1">IFERROR(__xludf.DUMMYFUNCTION("""COMPUTED_VALUE"""),"1414")</f>
        <v>1414</v>
      </c>
      <c r="P722" s="30" t="str">
        <f ca="1">IFERROR(__xludf.DUMMYFUNCTION("""COMPUTED_VALUE"""),"CAPITAL")</f>
        <v>CAPITAL</v>
      </c>
      <c r="Q722" s="30" t="str">
        <f ca="1">IFERROR(__xludf.DUMMYFUNCTION("""COMPUTED_VALUE"""),"-31.364879")</f>
        <v>-31.364879</v>
      </c>
      <c r="R722" s="30" t="str">
        <f ca="1">IFERROR(__xludf.DUMMYFUNCTION("""COMPUTED_VALUE"""),"-64.148944")</f>
        <v>-64.148944</v>
      </c>
      <c r="S722" s="30" t="str">
        <f ca="1">IFERROR(__xludf.DUMMYFUNCTION("""COMPUTED_VALUE"""),"Municipal")</f>
        <v>Municipal</v>
      </c>
      <c r="T722" s="29"/>
    </row>
    <row r="723" spans="1:20" ht="15.75" customHeight="1" x14ac:dyDescent="0.25">
      <c r="A723" s="30" t="str">
        <f ca="1">IFERROR(__xludf.DUMMYFUNCTION("""COMPUTED_VALUE"""),"50140142133188")</f>
        <v>50140142133188</v>
      </c>
      <c r="B723" s="30" t="str">
        <f ca="1">IFERROR(__xludf.DUMMYFUNCTION("""COMPUTED_VALUE"""),"CENTRO DE SALUD N° 13 - BARRIO HIPOLITO YRIGOYEN")</f>
        <v>CENTRO DE SALUD N° 13 - BARRIO HIPOLITO YRIGOYEN</v>
      </c>
      <c r="C723" s="30" t="str">
        <f ca="1">IFERROR(__xludf.DUMMYFUNCTION("""COMPUTED_VALUE"""),"Córdoba")</f>
        <v>Córdoba</v>
      </c>
      <c r="D723" s="30" t="str">
        <f ca="1">IFERROR(__xludf.DUMMYFUNCTION("""COMPUTED_VALUE"""),"14")</f>
        <v>14</v>
      </c>
      <c r="E723" s="30" t="str">
        <f ca="1">IFERROR(__xludf.DUMMYFUNCTION("""COMPUTED_VALUE"""),"")</f>
        <v/>
      </c>
      <c r="F723" s="29"/>
      <c r="G723" s="29"/>
      <c r="H723" s="30" t="str">
        <f ca="1">IFERROR(__xludf.DUMMYFUNCTION("""COMPUTED_VALUE"""),"activo")</f>
        <v>activo</v>
      </c>
      <c r="I723" s="29"/>
      <c r="J723" s="29"/>
      <c r="K723" s="29"/>
      <c r="L723" s="30" t="str">
        <f ca="1">IFERROR(__xludf.DUMMYFUNCTION("""COMPUTED_VALUE"""),"No")</f>
        <v>No</v>
      </c>
      <c r="M723" s="30" t="str">
        <f ca="1">IFERROR(__xludf.DUMMYFUNCTION("""COMPUTED_VALUE"""),"14014010000")</f>
        <v>14014010000</v>
      </c>
      <c r="N723" s="30" t="str">
        <f ca="1">IFERROR(__xludf.DUMMYFUNCTION("""COMPUTED_VALUE"""),"CORDOBA")</f>
        <v>CORDOBA</v>
      </c>
      <c r="O723" s="30" t="str">
        <f ca="1">IFERROR(__xludf.DUMMYFUNCTION("""COMPUTED_VALUE"""),"1414")</f>
        <v>1414</v>
      </c>
      <c r="P723" s="30" t="str">
        <f ca="1">IFERROR(__xludf.DUMMYFUNCTION("""COMPUTED_VALUE"""),"CAPITAL")</f>
        <v>CAPITAL</v>
      </c>
      <c r="Q723" s="30" t="str">
        <f ca="1">IFERROR(__xludf.DUMMYFUNCTION("""COMPUTED_VALUE"""),"-31.372877")</f>
        <v>-31.372877</v>
      </c>
      <c r="R723" s="30" t="str">
        <f ca="1">IFERROR(__xludf.DUMMYFUNCTION("""COMPUTED_VALUE"""),"-64.1869")</f>
        <v>-64.1869</v>
      </c>
      <c r="S723" s="30" t="str">
        <f ca="1">IFERROR(__xludf.DUMMYFUNCTION("""COMPUTED_VALUE"""),"Municipal")</f>
        <v>Municipal</v>
      </c>
      <c r="T723" s="29"/>
    </row>
    <row r="724" spans="1:20" ht="15.75" customHeight="1" x14ac:dyDescent="0.25">
      <c r="A724" s="30" t="str">
        <f ca="1">IFERROR(__xludf.DUMMYFUNCTION("""COMPUTED_VALUE"""),"50140142133191")</f>
        <v>50140142133191</v>
      </c>
      <c r="B724" s="30" t="str">
        <f ca="1">IFERROR(__xludf.DUMMYFUNCTION("""COMPUTED_VALUE"""),"CENTRO DE SALUD N° 17 - BARRIO VILLA AZALAIS OESTE")</f>
        <v>CENTRO DE SALUD N° 17 - BARRIO VILLA AZALAIS OESTE</v>
      </c>
      <c r="C724" s="30" t="str">
        <f ca="1">IFERROR(__xludf.DUMMYFUNCTION("""COMPUTED_VALUE"""),"Córdoba")</f>
        <v>Córdoba</v>
      </c>
      <c r="D724" s="30" t="str">
        <f ca="1">IFERROR(__xludf.DUMMYFUNCTION("""COMPUTED_VALUE"""),"14")</f>
        <v>14</v>
      </c>
      <c r="E724" s="30" t="str">
        <f ca="1">IFERROR(__xludf.DUMMYFUNCTION("""COMPUTED_VALUE"""),"")</f>
        <v/>
      </c>
      <c r="F724" s="29"/>
      <c r="G724" s="29"/>
      <c r="H724" s="30" t="str">
        <f ca="1">IFERROR(__xludf.DUMMYFUNCTION("""COMPUTED_VALUE"""),"activo")</f>
        <v>activo</v>
      </c>
      <c r="I724" s="29"/>
      <c r="J724" s="29"/>
      <c r="K724" s="29"/>
      <c r="L724" s="30" t="str">
        <f ca="1">IFERROR(__xludf.DUMMYFUNCTION("""COMPUTED_VALUE"""),"No")</f>
        <v>No</v>
      </c>
      <c r="M724" s="30" t="str">
        <f ca="1">IFERROR(__xludf.DUMMYFUNCTION("""COMPUTED_VALUE"""),"14014010000")</f>
        <v>14014010000</v>
      </c>
      <c r="N724" s="30" t="str">
        <f ca="1">IFERROR(__xludf.DUMMYFUNCTION("""COMPUTED_VALUE"""),"CORDOBA")</f>
        <v>CORDOBA</v>
      </c>
      <c r="O724" s="30" t="str">
        <f ca="1">IFERROR(__xludf.DUMMYFUNCTION("""COMPUTED_VALUE"""),"1414")</f>
        <v>1414</v>
      </c>
      <c r="P724" s="30" t="str">
        <f ca="1">IFERROR(__xludf.DUMMYFUNCTION("""COMPUTED_VALUE"""),"CAPITAL")</f>
        <v>CAPITAL</v>
      </c>
      <c r="Q724" s="30" t="str">
        <f ca="1">IFERROR(__xludf.DUMMYFUNCTION("""COMPUTED_VALUE"""),"-31.38446794")</f>
        <v>-31.38446794</v>
      </c>
      <c r="R724" s="30" t="str">
        <f ca="1">IFERROR(__xludf.DUMMYFUNCTION("""COMPUTED_VALUE"""),"-64.1703701")</f>
        <v>-64.1703701</v>
      </c>
      <c r="S724" s="30" t="str">
        <f ca="1">IFERROR(__xludf.DUMMYFUNCTION("""COMPUTED_VALUE"""),"Municipal")</f>
        <v>Municipal</v>
      </c>
      <c r="T724" s="29"/>
    </row>
    <row r="725" spans="1:20" ht="15.75" customHeight="1" x14ac:dyDescent="0.25">
      <c r="A725" s="30" t="str">
        <f ca="1">IFERROR(__xludf.DUMMYFUNCTION("""COMPUTED_VALUE"""),"50140142133192")</f>
        <v>50140142133192</v>
      </c>
      <c r="B725" s="30" t="str">
        <f ca="1">IFERROR(__xludf.DUMMYFUNCTION("""COMPUTED_VALUE"""),"CENTRO DE SALUD N° 18 - BARRIO SAN JORGE")</f>
        <v>CENTRO DE SALUD N° 18 - BARRIO SAN JORGE</v>
      </c>
      <c r="C725" s="30" t="str">
        <f ca="1">IFERROR(__xludf.DUMMYFUNCTION("""COMPUTED_VALUE"""),"Córdoba")</f>
        <v>Córdoba</v>
      </c>
      <c r="D725" s="30" t="str">
        <f ca="1">IFERROR(__xludf.DUMMYFUNCTION("""COMPUTED_VALUE"""),"14")</f>
        <v>14</v>
      </c>
      <c r="E725" s="30" t="str">
        <f ca="1">IFERROR(__xludf.DUMMYFUNCTION("""COMPUTED_VALUE"""),"")</f>
        <v/>
      </c>
      <c r="F725" s="29"/>
      <c r="G725" s="29"/>
      <c r="H725" s="30" t="str">
        <f ca="1">IFERROR(__xludf.DUMMYFUNCTION("""COMPUTED_VALUE"""),"inactivo")</f>
        <v>inactivo</v>
      </c>
      <c r="I725" s="29"/>
      <c r="J725" s="29"/>
      <c r="K725" s="29"/>
      <c r="L725" s="30" t="str">
        <f ca="1">IFERROR(__xludf.DUMMYFUNCTION("""COMPUTED_VALUE"""),"No")</f>
        <v>No</v>
      </c>
      <c r="M725" s="30" t="str">
        <f ca="1">IFERROR(__xludf.DUMMYFUNCTION("""COMPUTED_VALUE"""),"14014010000")</f>
        <v>14014010000</v>
      </c>
      <c r="N725" s="30" t="str">
        <f ca="1">IFERROR(__xludf.DUMMYFUNCTION("""COMPUTED_VALUE"""),"CORDOBA")</f>
        <v>CORDOBA</v>
      </c>
      <c r="O725" s="30" t="str">
        <f ca="1">IFERROR(__xludf.DUMMYFUNCTION("""COMPUTED_VALUE"""),"1414")</f>
        <v>1414</v>
      </c>
      <c r="P725" s="30" t="str">
        <f ca="1">IFERROR(__xludf.DUMMYFUNCTION("""COMPUTED_VALUE"""),"CAPITAL")</f>
        <v>CAPITAL</v>
      </c>
      <c r="Q725" s="30" t="str">
        <f ca="1">IFERROR(__xludf.DUMMYFUNCTION("""COMPUTED_VALUE"""),"-31.3742458")</f>
        <v>-31.3742458</v>
      </c>
      <c r="R725" s="30" t="str">
        <f ca="1">IFERROR(__xludf.DUMMYFUNCTION("""COMPUTED_VALUE"""),"-64.13320541")</f>
        <v>-64.13320541</v>
      </c>
      <c r="S725" s="30" t="str">
        <f ca="1">IFERROR(__xludf.DUMMYFUNCTION("""COMPUTED_VALUE"""),"Municipal")</f>
        <v>Municipal</v>
      </c>
      <c r="T725" s="29"/>
    </row>
    <row r="726" spans="1:20" ht="15.75" customHeight="1" x14ac:dyDescent="0.25">
      <c r="A726" s="30" t="str">
        <f ca="1">IFERROR(__xludf.DUMMYFUNCTION("""COMPUTED_VALUE"""),"50140142133194")</f>
        <v>50140142133194</v>
      </c>
      <c r="B726" s="30" t="str">
        <f ca="1">IFERROR(__xludf.DUMMYFUNCTION("""COMPUTED_VALUE"""),"CENTRO DE SALUD N° 48 - BARRIO VILLA AZALAIS ESTE")</f>
        <v>CENTRO DE SALUD N° 48 - BARRIO VILLA AZALAIS ESTE</v>
      </c>
      <c r="C726" s="30" t="str">
        <f ca="1">IFERROR(__xludf.DUMMYFUNCTION("""COMPUTED_VALUE"""),"Córdoba")</f>
        <v>Córdoba</v>
      </c>
      <c r="D726" s="30" t="str">
        <f ca="1">IFERROR(__xludf.DUMMYFUNCTION("""COMPUTED_VALUE"""),"14")</f>
        <v>14</v>
      </c>
      <c r="E726" s="30" t="str">
        <f ca="1">IFERROR(__xludf.DUMMYFUNCTION("""COMPUTED_VALUE"""),"")</f>
        <v/>
      </c>
      <c r="F726" s="29"/>
      <c r="G726" s="29"/>
      <c r="H726" s="30" t="str">
        <f ca="1">IFERROR(__xludf.DUMMYFUNCTION("""COMPUTED_VALUE"""),"inactivo")</f>
        <v>inactivo</v>
      </c>
      <c r="I726" s="29"/>
      <c r="J726" s="29"/>
      <c r="K726" s="29"/>
      <c r="L726" s="30" t="str">
        <f ca="1">IFERROR(__xludf.DUMMYFUNCTION("""COMPUTED_VALUE"""),"No")</f>
        <v>No</v>
      </c>
      <c r="M726" s="30" t="str">
        <f ca="1">IFERROR(__xludf.DUMMYFUNCTION("""COMPUTED_VALUE"""),"14014010000")</f>
        <v>14014010000</v>
      </c>
      <c r="N726" s="30" t="str">
        <f ca="1">IFERROR(__xludf.DUMMYFUNCTION("""COMPUTED_VALUE"""),"CORDOBA")</f>
        <v>CORDOBA</v>
      </c>
      <c r="O726" s="30" t="str">
        <f ca="1">IFERROR(__xludf.DUMMYFUNCTION("""COMPUTED_VALUE"""),"1414")</f>
        <v>1414</v>
      </c>
      <c r="P726" s="30" t="str">
        <f ca="1">IFERROR(__xludf.DUMMYFUNCTION("""COMPUTED_VALUE"""),"CAPITAL")</f>
        <v>CAPITAL</v>
      </c>
      <c r="Q726" s="30" t="str">
        <f ca="1">IFERROR(__xludf.DUMMYFUNCTION("""COMPUTED_VALUE"""),"-31.375384")</f>
        <v>-31.375384</v>
      </c>
      <c r="R726" s="30" t="str">
        <f ca="1">IFERROR(__xludf.DUMMYFUNCTION("""COMPUTED_VALUE"""),"-64.15064")</f>
        <v>-64.15064</v>
      </c>
      <c r="S726" s="30" t="str">
        <f ca="1">IFERROR(__xludf.DUMMYFUNCTION("""COMPUTED_VALUE"""),"Municipal")</f>
        <v>Municipal</v>
      </c>
      <c r="T726" s="29"/>
    </row>
    <row r="727" spans="1:20" ht="15.75" customHeight="1" x14ac:dyDescent="0.25">
      <c r="A727" s="30" t="str">
        <f ca="1">IFERROR(__xludf.DUMMYFUNCTION("""COMPUTED_VALUE"""),"50140142133195")</f>
        <v>50140142133195</v>
      </c>
      <c r="B727" s="30" t="str">
        <f ca="1">IFERROR(__xludf.DUMMYFUNCTION("""COMPUTED_VALUE"""),"CENTRO DE SALUD N° 51 - BARRIO GUIÑAZU")</f>
        <v>CENTRO DE SALUD N° 51 - BARRIO GUIÑAZU</v>
      </c>
      <c r="C727" s="30" t="str">
        <f ca="1">IFERROR(__xludf.DUMMYFUNCTION("""COMPUTED_VALUE"""),"Córdoba")</f>
        <v>Córdoba</v>
      </c>
      <c r="D727" s="30" t="str">
        <f ca="1">IFERROR(__xludf.DUMMYFUNCTION("""COMPUTED_VALUE"""),"14")</f>
        <v>14</v>
      </c>
      <c r="E727" s="30" t="str">
        <f ca="1">IFERROR(__xludf.DUMMYFUNCTION("""COMPUTED_VALUE"""),"")</f>
        <v/>
      </c>
      <c r="F727" s="29"/>
      <c r="G727" s="29"/>
      <c r="H727" s="30" t="str">
        <f ca="1">IFERROR(__xludf.DUMMYFUNCTION("""COMPUTED_VALUE"""),"activo")</f>
        <v>activo</v>
      </c>
      <c r="I727" s="29"/>
      <c r="J727" s="29"/>
      <c r="K727" s="29"/>
      <c r="L727" s="30" t="str">
        <f ca="1">IFERROR(__xludf.DUMMYFUNCTION("""COMPUTED_VALUE"""),"No")</f>
        <v>No</v>
      </c>
      <c r="M727" s="30" t="str">
        <f ca="1">IFERROR(__xludf.DUMMYFUNCTION("""COMPUTED_VALUE"""),"14014010000")</f>
        <v>14014010000</v>
      </c>
      <c r="N727" s="30" t="str">
        <f ca="1">IFERROR(__xludf.DUMMYFUNCTION("""COMPUTED_VALUE"""),"CORDOBA")</f>
        <v>CORDOBA</v>
      </c>
      <c r="O727" s="30" t="str">
        <f ca="1">IFERROR(__xludf.DUMMYFUNCTION("""COMPUTED_VALUE"""),"1414")</f>
        <v>1414</v>
      </c>
      <c r="P727" s="30" t="str">
        <f ca="1">IFERROR(__xludf.DUMMYFUNCTION("""COMPUTED_VALUE"""),"CAPITAL")</f>
        <v>CAPITAL</v>
      </c>
      <c r="Q727" s="30" t="str">
        <f ca="1">IFERROR(__xludf.DUMMYFUNCTION("""COMPUTED_VALUE"""),"-31.31450286")</f>
        <v>-31.31450286</v>
      </c>
      <c r="R727" s="30" t="str">
        <f ca="1">IFERROR(__xludf.DUMMYFUNCTION("""COMPUTED_VALUE"""),"-64.17702198")</f>
        <v>-64.17702198</v>
      </c>
      <c r="S727" s="30" t="str">
        <f ca="1">IFERROR(__xludf.DUMMYFUNCTION("""COMPUTED_VALUE"""),"Municipal")</f>
        <v>Municipal</v>
      </c>
      <c r="T727" s="29"/>
    </row>
    <row r="728" spans="1:20" ht="15.75" customHeight="1" x14ac:dyDescent="0.25">
      <c r="A728" s="30" t="str">
        <f ca="1">IFERROR(__xludf.DUMMYFUNCTION("""COMPUTED_VALUE"""),"50140142133200")</f>
        <v>50140142133200</v>
      </c>
      <c r="B728" s="30" t="str">
        <f ca="1">IFERROR(__xludf.DUMMYFUNCTION("""COMPUTED_VALUE"""),"UPAS N° 32 - BARRIO PARQUE LICEO III SECC.")</f>
        <v>UPAS N° 32 - BARRIO PARQUE LICEO III SECC.</v>
      </c>
      <c r="C728" s="30" t="str">
        <f ca="1">IFERROR(__xludf.DUMMYFUNCTION("""COMPUTED_VALUE"""),"Córdoba")</f>
        <v>Córdoba</v>
      </c>
      <c r="D728" s="30" t="str">
        <f ca="1">IFERROR(__xludf.DUMMYFUNCTION("""COMPUTED_VALUE"""),"14")</f>
        <v>14</v>
      </c>
      <c r="E728" s="30" t="str">
        <f ca="1">IFERROR(__xludf.DUMMYFUNCTION("""COMPUTED_VALUE"""),"")</f>
        <v/>
      </c>
      <c r="F728" s="29"/>
      <c r="G728" s="29"/>
      <c r="H728" s="30" t="str">
        <f ca="1">IFERROR(__xludf.DUMMYFUNCTION("""COMPUTED_VALUE"""),"activo")</f>
        <v>activo</v>
      </c>
      <c r="I728" s="29"/>
      <c r="J728" s="29"/>
      <c r="K728" s="29"/>
      <c r="L728" s="30" t="str">
        <f ca="1">IFERROR(__xludf.DUMMYFUNCTION("""COMPUTED_VALUE"""),"No")</f>
        <v>No</v>
      </c>
      <c r="M728" s="30" t="str">
        <f ca="1">IFERROR(__xludf.DUMMYFUNCTION("""COMPUTED_VALUE"""),"14014010000")</f>
        <v>14014010000</v>
      </c>
      <c r="N728" s="30" t="str">
        <f ca="1">IFERROR(__xludf.DUMMYFUNCTION("""COMPUTED_VALUE"""),"CORDOBA")</f>
        <v>CORDOBA</v>
      </c>
      <c r="O728" s="30" t="str">
        <f ca="1">IFERROR(__xludf.DUMMYFUNCTION("""COMPUTED_VALUE"""),"1414")</f>
        <v>1414</v>
      </c>
      <c r="P728" s="30" t="str">
        <f ca="1">IFERROR(__xludf.DUMMYFUNCTION("""COMPUTED_VALUE"""),"CAPITAL")</f>
        <v>CAPITAL</v>
      </c>
      <c r="Q728" s="30" t="str">
        <f ca="1">IFERROR(__xludf.DUMMYFUNCTION("""COMPUTED_VALUE"""),"-31.35533009")</f>
        <v>-31.35533009</v>
      </c>
      <c r="R728" s="30" t="str">
        <f ca="1">IFERROR(__xludf.DUMMYFUNCTION("""COMPUTED_VALUE"""),"-64.15095091")</f>
        <v>-64.15095091</v>
      </c>
      <c r="S728" s="30" t="str">
        <f ca="1">IFERROR(__xludf.DUMMYFUNCTION("""COMPUTED_VALUE"""),"Municipal")</f>
        <v>Municipal</v>
      </c>
      <c r="T728" s="29"/>
    </row>
    <row r="729" spans="1:20" ht="15.75" customHeight="1" x14ac:dyDescent="0.25">
      <c r="A729" s="30" t="str">
        <f ca="1">IFERROR(__xludf.DUMMYFUNCTION("""COMPUTED_VALUE"""),"50140142233205")</f>
        <v>50140142233205</v>
      </c>
      <c r="B729" s="30" t="str">
        <f ca="1">IFERROR(__xludf.DUMMYFUNCTION("""COMPUTED_VALUE"""),"CENTRO DE SALUD N° 7 - BARRIO PUEYRREDON")</f>
        <v>CENTRO DE SALUD N° 7 - BARRIO PUEYRREDON</v>
      </c>
      <c r="C729" s="30" t="str">
        <f ca="1">IFERROR(__xludf.DUMMYFUNCTION("""COMPUTED_VALUE"""),"Córdoba")</f>
        <v>Córdoba</v>
      </c>
      <c r="D729" s="30" t="str">
        <f ca="1">IFERROR(__xludf.DUMMYFUNCTION("""COMPUTED_VALUE"""),"14")</f>
        <v>14</v>
      </c>
      <c r="E729" s="30" t="str">
        <f ca="1">IFERROR(__xludf.DUMMYFUNCTION("""COMPUTED_VALUE"""),"")</f>
        <v/>
      </c>
      <c r="F729" s="29"/>
      <c r="G729" s="29"/>
      <c r="H729" s="30" t="str">
        <f ca="1">IFERROR(__xludf.DUMMYFUNCTION("""COMPUTED_VALUE"""),"inactivo")</f>
        <v>inactivo</v>
      </c>
      <c r="I729" s="29"/>
      <c r="J729" s="29"/>
      <c r="K729" s="29"/>
      <c r="L729" s="30" t="str">
        <f ca="1">IFERROR(__xludf.DUMMYFUNCTION("""COMPUTED_VALUE"""),"No")</f>
        <v>No</v>
      </c>
      <c r="M729" s="30" t="str">
        <f ca="1">IFERROR(__xludf.DUMMYFUNCTION("""COMPUTED_VALUE"""),"14014010000")</f>
        <v>14014010000</v>
      </c>
      <c r="N729" s="30" t="str">
        <f ca="1">IFERROR(__xludf.DUMMYFUNCTION("""COMPUTED_VALUE"""),"CORDOBA")</f>
        <v>CORDOBA</v>
      </c>
      <c r="O729" s="30" t="str">
        <f ca="1">IFERROR(__xludf.DUMMYFUNCTION("""COMPUTED_VALUE"""),"1414")</f>
        <v>1414</v>
      </c>
      <c r="P729" s="30" t="str">
        <f ca="1">IFERROR(__xludf.DUMMYFUNCTION("""COMPUTED_VALUE"""),"CAPITAL")</f>
        <v>CAPITAL</v>
      </c>
      <c r="Q729" s="30" t="str">
        <f ca="1">IFERROR(__xludf.DUMMYFUNCTION("""COMPUTED_VALUE"""),"-31.40028624")</f>
        <v>-31.40028624</v>
      </c>
      <c r="R729" s="30" t="str">
        <f ca="1">IFERROR(__xludf.DUMMYFUNCTION("""COMPUTED_VALUE"""),"-64.15494204")</f>
        <v>-64.15494204</v>
      </c>
      <c r="S729" s="30" t="str">
        <f ca="1">IFERROR(__xludf.DUMMYFUNCTION("""COMPUTED_VALUE"""),"Municipal")</f>
        <v>Municipal</v>
      </c>
      <c r="T729" s="29"/>
    </row>
    <row r="730" spans="1:20" ht="15.75" customHeight="1" x14ac:dyDescent="0.25">
      <c r="A730" s="30" t="str">
        <f ca="1">IFERROR(__xludf.DUMMYFUNCTION("""COMPUTED_VALUE"""),"50140142233211")</f>
        <v>50140142233211</v>
      </c>
      <c r="B730" s="30" t="str">
        <f ca="1">IFERROR(__xludf.DUMMYFUNCTION("""COMPUTED_VALUE"""),"CENTRO DE SALUD N° 56 - BARRIO EMPALME")</f>
        <v>CENTRO DE SALUD N° 56 - BARRIO EMPALME</v>
      </c>
      <c r="C730" s="30" t="str">
        <f ca="1">IFERROR(__xludf.DUMMYFUNCTION("""COMPUTED_VALUE"""),"Córdoba")</f>
        <v>Córdoba</v>
      </c>
      <c r="D730" s="30" t="str">
        <f ca="1">IFERROR(__xludf.DUMMYFUNCTION("""COMPUTED_VALUE"""),"14")</f>
        <v>14</v>
      </c>
      <c r="E730" s="30" t="str">
        <f ca="1">IFERROR(__xludf.DUMMYFUNCTION("""COMPUTED_VALUE"""),"")</f>
        <v/>
      </c>
      <c r="F730" s="29"/>
      <c r="G730" s="29"/>
      <c r="H730" s="30" t="str">
        <f ca="1">IFERROR(__xludf.DUMMYFUNCTION("""COMPUTED_VALUE"""),"inactivo")</f>
        <v>inactivo</v>
      </c>
      <c r="I730" s="29"/>
      <c r="J730" s="29"/>
      <c r="K730" s="29"/>
      <c r="L730" s="30" t="str">
        <f ca="1">IFERROR(__xludf.DUMMYFUNCTION("""COMPUTED_VALUE"""),"No")</f>
        <v>No</v>
      </c>
      <c r="M730" s="30" t="str">
        <f ca="1">IFERROR(__xludf.DUMMYFUNCTION("""COMPUTED_VALUE"""),"14014010000")</f>
        <v>14014010000</v>
      </c>
      <c r="N730" s="30" t="str">
        <f ca="1">IFERROR(__xludf.DUMMYFUNCTION("""COMPUTED_VALUE"""),"CORDOBA")</f>
        <v>CORDOBA</v>
      </c>
      <c r="O730" s="30" t="str">
        <f ca="1">IFERROR(__xludf.DUMMYFUNCTION("""COMPUTED_VALUE"""),"1414")</f>
        <v>1414</v>
      </c>
      <c r="P730" s="30" t="str">
        <f ca="1">IFERROR(__xludf.DUMMYFUNCTION("""COMPUTED_VALUE"""),"CAPITAL")</f>
        <v>CAPITAL</v>
      </c>
      <c r="Q730" s="30" t="str">
        <f ca="1">IFERROR(__xludf.DUMMYFUNCTION("""COMPUTED_VALUE"""),"-31.43201006")</f>
        <v>-31.43201006</v>
      </c>
      <c r="R730" s="30" t="str">
        <f ca="1">IFERROR(__xludf.DUMMYFUNCTION("""COMPUTED_VALUE"""),"-64.12251949")</f>
        <v>-64.12251949</v>
      </c>
      <c r="S730" s="30" t="str">
        <f ca="1">IFERROR(__xludf.DUMMYFUNCTION("""COMPUTED_VALUE"""),"Municipal")</f>
        <v>Municipal</v>
      </c>
      <c r="T730" s="29"/>
    </row>
    <row r="731" spans="1:20" ht="15.75" customHeight="1" x14ac:dyDescent="0.25">
      <c r="A731" s="30" t="str">
        <f ca="1">IFERROR(__xludf.DUMMYFUNCTION("""COMPUTED_VALUE"""),"50140142233251")</f>
        <v>50140142233251</v>
      </c>
      <c r="B731" s="30" t="str">
        <f ca="1">IFERROR(__xludf.DUMMYFUNCTION("""COMPUTED_VALUE"""),"CENTRO DE SALUD N° 23 - BARRIO ROSEDAL ANEXO")</f>
        <v>CENTRO DE SALUD N° 23 - BARRIO ROSEDAL ANEXO</v>
      </c>
      <c r="C731" s="30" t="str">
        <f ca="1">IFERROR(__xludf.DUMMYFUNCTION("""COMPUTED_VALUE"""),"Córdoba")</f>
        <v>Córdoba</v>
      </c>
      <c r="D731" s="30" t="str">
        <f ca="1">IFERROR(__xludf.DUMMYFUNCTION("""COMPUTED_VALUE"""),"14")</f>
        <v>14</v>
      </c>
      <c r="E731" s="30" t="str">
        <f ca="1">IFERROR(__xludf.DUMMYFUNCTION("""COMPUTED_VALUE"""),"")</f>
        <v/>
      </c>
      <c r="F731" s="29"/>
      <c r="G731" s="29"/>
      <c r="H731" s="30" t="str">
        <f ca="1">IFERROR(__xludf.DUMMYFUNCTION("""COMPUTED_VALUE"""),"inactivo")</f>
        <v>inactivo</v>
      </c>
      <c r="I731" s="29"/>
      <c r="J731" s="29"/>
      <c r="K731" s="29"/>
      <c r="L731" s="30" t="str">
        <f ca="1">IFERROR(__xludf.DUMMYFUNCTION("""COMPUTED_VALUE"""),"No")</f>
        <v>No</v>
      </c>
      <c r="M731" s="30" t="str">
        <f ca="1">IFERROR(__xludf.DUMMYFUNCTION("""COMPUTED_VALUE"""),"14014010000")</f>
        <v>14014010000</v>
      </c>
      <c r="N731" s="30" t="str">
        <f ca="1">IFERROR(__xludf.DUMMYFUNCTION("""COMPUTED_VALUE"""),"CORDOBA")</f>
        <v>CORDOBA</v>
      </c>
      <c r="O731" s="30" t="str">
        <f ca="1">IFERROR(__xludf.DUMMYFUNCTION("""COMPUTED_VALUE"""),"1414")</f>
        <v>1414</v>
      </c>
      <c r="P731" s="30" t="str">
        <f ca="1">IFERROR(__xludf.DUMMYFUNCTION("""COMPUTED_VALUE"""),"CAPITAL")</f>
        <v>CAPITAL</v>
      </c>
      <c r="Q731" s="30" t="str">
        <f ca="1">IFERROR(__xludf.DUMMYFUNCTION("""COMPUTED_VALUE"""),"-31.437232")</f>
        <v>-31.437232</v>
      </c>
      <c r="R731" s="30" t="str">
        <f ca="1">IFERROR(__xludf.DUMMYFUNCTION("""COMPUTED_VALUE"""),"-64.223353")</f>
        <v>-64.223353</v>
      </c>
      <c r="S731" s="30" t="str">
        <f ca="1">IFERROR(__xludf.DUMMYFUNCTION("""COMPUTED_VALUE"""),"Municipal")</f>
        <v>Municipal</v>
      </c>
      <c r="T731" s="29"/>
    </row>
    <row r="732" spans="1:20" ht="15.75" customHeight="1" x14ac:dyDescent="0.25">
      <c r="A732" s="30" t="str">
        <f ca="1">IFERROR(__xludf.DUMMYFUNCTION("""COMPUTED_VALUE"""),"50140142233254")</f>
        <v>50140142233254</v>
      </c>
      <c r="B732" s="30" t="str">
        <f ca="1">IFERROR(__xludf.DUMMYFUNCTION("""COMPUTED_VALUE"""),"CENTRO DE SALUD N° 9 - BARRIO ALBERDI OESTE")</f>
        <v>CENTRO DE SALUD N° 9 - BARRIO ALBERDI OESTE</v>
      </c>
      <c r="C732" s="30" t="str">
        <f ca="1">IFERROR(__xludf.DUMMYFUNCTION("""COMPUTED_VALUE"""),"Córdoba")</f>
        <v>Córdoba</v>
      </c>
      <c r="D732" s="30" t="str">
        <f ca="1">IFERROR(__xludf.DUMMYFUNCTION("""COMPUTED_VALUE"""),"14")</f>
        <v>14</v>
      </c>
      <c r="E732" s="30" t="str">
        <f ca="1">IFERROR(__xludf.DUMMYFUNCTION("""COMPUTED_VALUE"""),"")</f>
        <v/>
      </c>
      <c r="F732" s="29"/>
      <c r="G732" s="29"/>
      <c r="H732" s="30" t="str">
        <f ca="1">IFERROR(__xludf.DUMMYFUNCTION("""COMPUTED_VALUE"""),"inactivo")</f>
        <v>inactivo</v>
      </c>
      <c r="I732" s="29"/>
      <c r="J732" s="29"/>
      <c r="K732" s="29"/>
      <c r="L732" s="30" t="str">
        <f ca="1">IFERROR(__xludf.DUMMYFUNCTION("""COMPUTED_VALUE"""),"No")</f>
        <v>No</v>
      </c>
      <c r="M732" s="30" t="str">
        <f ca="1">IFERROR(__xludf.DUMMYFUNCTION("""COMPUTED_VALUE"""),"14014010000")</f>
        <v>14014010000</v>
      </c>
      <c r="N732" s="30" t="str">
        <f ca="1">IFERROR(__xludf.DUMMYFUNCTION("""COMPUTED_VALUE"""),"CORDOBA")</f>
        <v>CORDOBA</v>
      </c>
      <c r="O732" s="30" t="str">
        <f ca="1">IFERROR(__xludf.DUMMYFUNCTION("""COMPUTED_VALUE"""),"1414")</f>
        <v>1414</v>
      </c>
      <c r="P732" s="30" t="str">
        <f ca="1">IFERROR(__xludf.DUMMYFUNCTION("""COMPUTED_VALUE"""),"CAPITAL")</f>
        <v>CAPITAL</v>
      </c>
      <c r="Q732" s="30" t="str">
        <f ca="1">IFERROR(__xludf.DUMMYFUNCTION("""COMPUTED_VALUE"""),"-31.40491")</f>
        <v>-31.40491</v>
      </c>
      <c r="R732" s="30" t="str">
        <f ca="1">IFERROR(__xludf.DUMMYFUNCTION("""COMPUTED_VALUE"""),"-64.213933")</f>
        <v>-64.213933</v>
      </c>
      <c r="S732" s="30" t="str">
        <f ca="1">IFERROR(__xludf.DUMMYFUNCTION("""COMPUTED_VALUE"""),"Municipal")</f>
        <v>Municipal</v>
      </c>
      <c r="T732" s="29"/>
    </row>
    <row r="733" spans="1:20" ht="15.75" customHeight="1" x14ac:dyDescent="0.25">
      <c r="A733" s="30" t="str">
        <f ca="1">IFERROR(__xludf.DUMMYFUNCTION("""COMPUTED_VALUE"""),"50140142233258")</f>
        <v>50140142233258</v>
      </c>
      <c r="B733" s="30" t="str">
        <f ca="1">IFERROR(__xludf.DUMMYFUNCTION("""COMPUTED_VALUE"""),"CENTRO DE SALUD N° 39 - BARRIO FERRER")</f>
        <v>CENTRO DE SALUD N° 39 - BARRIO FERRER</v>
      </c>
      <c r="C733" s="30" t="str">
        <f ca="1">IFERROR(__xludf.DUMMYFUNCTION("""COMPUTED_VALUE"""),"Córdoba")</f>
        <v>Córdoba</v>
      </c>
      <c r="D733" s="30" t="str">
        <f ca="1">IFERROR(__xludf.DUMMYFUNCTION("""COMPUTED_VALUE"""),"14")</f>
        <v>14</v>
      </c>
      <c r="E733" s="30" t="str">
        <f ca="1">IFERROR(__xludf.DUMMYFUNCTION("""COMPUTED_VALUE"""),"")</f>
        <v/>
      </c>
      <c r="F733" s="29"/>
      <c r="G733" s="29"/>
      <c r="H733" s="30" t="str">
        <f ca="1">IFERROR(__xludf.DUMMYFUNCTION("""COMPUTED_VALUE"""),"inactivo")</f>
        <v>inactivo</v>
      </c>
      <c r="I733" s="29"/>
      <c r="J733" s="29"/>
      <c r="K733" s="29"/>
      <c r="L733" s="30" t="str">
        <f ca="1">IFERROR(__xludf.DUMMYFUNCTION("""COMPUTED_VALUE"""),"No")</f>
        <v>No</v>
      </c>
      <c r="M733" s="30" t="str">
        <f ca="1">IFERROR(__xludf.DUMMYFUNCTION("""COMPUTED_VALUE"""),"14014010000")</f>
        <v>14014010000</v>
      </c>
      <c r="N733" s="30" t="str">
        <f ca="1">IFERROR(__xludf.DUMMYFUNCTION("""COMPUTED_VALUE"""),"CORDOBA")</f>
        <v>CORDOBA</v>
      </c>
      <c r="O733" s="30" t="str">
        <f ca="1">IFERROR(__xludf.DUMMYFUNCTION("""COMPUTED_VALUE"""),"1414")</f>
        <v>1414</v>
      </c>
      <c r="P733" s="30" t="str">
        <f ca="1">IFERROR(__xludf.DUMMYFUNCTION("""COMPUTED_VALUE"""),"CAPITAL")</f>
        <v>CAPITAL</v>
      </c>
      <c r="Q733" s="30" t="str">
        <f ca="1">IFERROR(__xludf.DUMMYFUNCTION("""COMPUTED_VALUE"""),"-31.445049")</f>
        <v>-31.445049</v>
      </c>
      <c r="R733" s="30" t="str">
        <f ca="1">IFERROR(__xludf.DUMMYFUNCTION("""COMPUTED_VALUE"""),"-64.210907")</f>
        <v>-64.210907</v>
      </c>
      <c r="S733" s="30" t="str">
        <f ca="1">IFERROR(__xludf.DUMMYFUNCTION("""COMPUTED_VALUE"""),"Municipal")</f>
        <v>Municipal</v>
      </c>
      <c r="T733" s="29"/>
    </row>
    <row r="734" spans="1:20" ht="15.75" customHeight="1" x14ac:dyDescent="0.25">
      <c r="A734" s="30" t="str">
        <f ca="1">IFERROR(__xludf.DUMMYFUNCTION("""COMPUTED_VALUE"""),"50140142233259")</f>
        <v>50140142233259</v>
      </c>
      <c r="B734" s="30" t="str">
        <f ca="1">IFERROR(__xludf.DUMMYFUNCTION("""COMPUTED_VALUE"""),"CENTRO DE SALUD N° 49 - BARRIO COLINAS DEL CERRO")</f>
        <v>CENTRO DE SALUD N° 49 - BARRIO COLINAS DEL CERRO</v>
      </c>
      <c r="C734" s="30" t="str">
        <f ca="1">IFERROR(__xludf.DUMMYFUNCTION("""COMPUTED_VALUE"""),"Córdoba")</f>
        <v>Córdoba</v>
      </c>
      <c r="D734" s="30" t="str">
        <f ca="1">IFERROR(__xludf.DUMMYFUNCTION("""COMPUTED_VALUE"""),"14")</f>
        <v>14</v>
      </c>
      <c r="E734" s="30" t="str">
        <f ca="1">IFERROR(__xludf.DUMMYFUNCTION("""COMPUTED_VALUE"""),"")</f>
        <v/>
      </c>
      <c r="F734" s="29"/>
      <c r="G734" s="29"/>
      <c r="H734" s="30" t="str">
        <f ca="1">IFERROR(__xludf.DUMMYFUNCTION("""COMPUTED_VALUE"""),"inactivo")</f>
        <v>inactivo</v>
      </c>
      <c r="I734" s="29"/>
      <c r="J734" s="29"/>
      <c r="K734" s="29"/>
      <c r="L734" s="30" t="str">
        <f ca="1">IFERROR(__xludf.DUMMYFUNCTION("""COMPUTED_VALUE"""),"No")</f>
        <v>No</v>
      </c>
      <c r="M734" s="30" t="str">
        <f ca="1">IFERROR(__xludf.DUMMYFUNCTION("""COMPUTED_VALUE"""),"14014010000")</f>
        <v>14014010000</v>
      </c>
      <c r="N734" s="30" t="str">
        <f ca="1">IFERROR(__xludf.DUMMYFUNCTION("""COMPUTED_VALUE"""),"CORDOBA")</f>
        <v>CORDOBA</v>
      </c>
      <c r="O734" s="30" t="str">
        <f ca="1">IFERROR(__xludf.DUMMYFUNCTION("""COMPUTED_VALUE"""),"1414")</f>
        <v>1414</v>
      </c>
      <c r="P734" s="30" t="str">
        <f ca="1">IFERROR(__xludf.DUMMYFUNCTION("""COMPUTED_VALUE"""),"CAPITAL")</f>
        <v>CAPITAL</v>
      </c>
      <c r="Q734" s="30" t="str">
        <f ca="1">IFERROR(__xludf.DUMMYFUNCTION("""COMPUTED_VALUE"""),"-31.380533")</f>
        <v>-31.380533</v>
      </c>
      <c r="R734" s="30" t="str">
        <f ca="1">IFERROR(__xludf.DUMMYFUNCTION("""COMPUTED_VALUE"""),"-64.248928")</f>
        <v>-64.248928</v>
      </c>
      <c r="S734" s="30" t="str">
        <f ca="1">IFERROR(__xludf.DUMMYFUNCTION("""COMPUTED_VALUE"""),"Municipal")</f>
        <v>Municipal</v>
      </c>
      <c r="T734" s="29"/>
    </row>
    <row r="735" spans="1:20" ht="15.75" customHeight="1" x14ac:dyDescent="0.25">
      <c r="A735" s="30" t="str">
        <f ca="1">IFERROR(__xludf.DUMMYFUNCTION("""COMPUTED_VALUE"""),"50140142233260")</f>
        <v>50140142233260</v>
      </c>
      <c r="B735" s="30" t="str">
        <f ca="1">IFERROR(__xludf.DUMMYFUNCTION("""COMPUTED_VALUE"""),"CENTRO DE SALUD N° 31 - BARRIO LA SALLE")</f>
        <v>CENTRO DE SALUD N° 31 - BARRIO LA SALLE</v>
      </c>
      <c r="C735" s="30" t="str">
        <f ca="1">IFERROR(__xludf.DUMMYFUNCTION("""COMPUTED_VALUE"""),"Córdoba")</f>
        <v>Córdoba</v>
      </c>
      <c r="D735" s="30" t="str">
        <f ca="1">IFERROR(__xludf.DUMMYFUNCTION("""COMPUTED_VALUE"""),"14")</f>
        <v>14</v>
      </c>
      <c r="E735" s="30" t="str">
        <f ca="1">IFERROR(__xludf.DUMMYFUNCTION("""COMPUTED_VALUE"""),"")</f>
        <v/>
      </c>
      <c r="F735" s="29"/>
      <c r="G735" s="29"/>
      <c r="H735" s="30" t="str">
        <f ca="1">IFERROR(__xludf.DUMMYFUNCTION("""COMPUTED_VALUE"""),"inactivo")</f>
        <v>inactivo</v>
      </c>
      <c r="I735" s="29"/>
      <c r="J735" s="29"/>
      <c r="K735" s="29"/>
      <c r="L735" s="30" t="str">
        <f ca="1">IFERROR(__xludf.DUMMYFUNCTION("""COMPUTED_VALUE"""),"No")</f>
        <v>No</v>
      </c>
      <c r="M735" s="30" t="str">
        <f ca="1">IFERROR(__xludf.DUMMYFUNCTION("""COMPUTED_VALUE"""),"14014010000")</f>
        <v>14014010000</v>
      </c>
      <c r="N735" s="30" t="str">
        <f ca="1">IFERROR(__xludf.DUMMYFUNCTION("""COMPUTED_VALUE"""),"CORDOBA")</f>
        <v>CORDOBA</v>
      </c>
      <c r="O735" s="30" t="str">
        <f ca="1">IFERROR(__xludf.DUMMYFUNCTION("""COMPUTED_VALUE"""),"1414")</f>
        <v>1414</v>
      </c>
      <c r="P735" s="30" t="str">
        <f ca="1">IFERROR(__xludf.DUMMYFUNCTION("""COMPUTED_VALUE"""),"CAPITAL")</f>
        <v>CAPITAL</v>
      </c>
      <c r="Q735" s="30" t="str">
        <f ca="1">IFERROR(__xludf.DUMMYFUNCTION("""COMPUTED_VALUE"""),"-31.343848")</f>
        <v>-31.343848</v>
      </c>
      <c r="R735" s="30" t="str">
        <f ca="1">IFERROR(__xludf.DUMMYFUNCTION("""COMPUTED_VALUE"""),"-64.274985")</f>
        <v>-64.274985</v>
      </c>
      <c r="S735" s="30" t="str">
        <f ca="1">IFERROR(__xludf.DUMMYFUNCTION("""COMPUTED_VALUE"""),"Municipal")</f>
        <v>Municipal</v>
      </c>
      <c r="T735" s="29"/>
    </row>
    <row r="736" spans="1:20" ht="15.75" customHeight="1" x14ac:dyDescent="0.25">
      <c r="A736" s="30" t="str">
        <f ca="1">IFERROR(__xludf.DUMMYFUNCTION("""COMPUTED_VALUE"""),"50140142233261")</f>
        <v>50140142233261</v>
      </c>
      <c r="B736" s="30" t="str">
        <f ca="1">IFERROR(__xludf.DUMMYFUNCTION("""COMPUTED_VALUE"""),"CENTRO DE SALUD N° 54 - BARRIO LOS BOULEVARES")</f>
        <v>CENTRO DE SALUD N° 54 - BARRIO LOS BOULEVARES</v>
      </c>
      <c r="C736" s="30" t="str">
        <f ca="1">IFERROR(__xludf.DUMMYFUNCTION("""COMPUTED_VALUE"""),"Córdoba")</f>
        <v>Córdoba</v>
      </c>
      <c r="D736" s="30" t="str">
        <f ca="1">IFERROR(__xludf.DUMMYFUNCTION("""COMPUTED_VALUE"""),"14")</f>
        <v>14</v>
      </c>
      <c r="E736" s="30" t="str">
        <f ca="1">IFERROR(__xludf.DUMMYFUNCTION("""COMPUTED_VALUE"""),"")</f>
        <v/>
      </c>
      <c r="F736" s="29"/>
      <c r="G736" s="29"/>
      <c r="H736" s="30" t="str">
        <f ca="1">IFERROR(__xludf.DUMMYFUNCTION("""COMPUTED_VALUE"""),"inactivo")</f>
        <v>inactivo</v>
      </c>
      <c r="I736" s="29"/>
      <c r="J736" s="29"/>
      <c r="K736" s="29"/>
      <c r="L736" s="30" t="str">
        <f ca="1">IFERROR(__xludf.DUMMYFUNCTION("""COMPUTED_VALUE"""),"No")</f>
        <v>No</v>
      </c>
      <c r="M736" s="30" t="str">
        <f ca="1">IFERROR(__xludf.DUMMYFUNCTION("""COMPUTED_VALUE"""),"14014010000")</f>
        <v>14014010000</v>
      </c>
      <c r="N736" s="30" t="str">
        <f ca="1">IFERROR(__xludf.DUMMYFUNCTION("""COMPUTED_VALUE"""),"CORDOBA")</f>
        <v>CORDOBA</v>
      </c>
      <c r="O736" s="30" t="str">
        <f ca="1">IFERROR(__xludf.DUMMYFUNCTION("""COMPUTED_VALUE"""),"1414")</f>
        <v>1414</v>
      </c>
      <c r="P736" s="30" t="str">
        <f ca="1">IFERROR(__xludf.DUMMYFUNCTION("""COMPUTED_VALUE"""),"CAPITAL")</f>
        <v>CAPITAL</v>
      </c>
      <c r="Q736" s="30" t="str">
        <f ca="1">IFERROR(__xludf.DUMMYFUNCTION("""COMPUTED_VALUE"""),"-31.344273")</f>
        <v>-31.344273</v>
      </c>
      <c r="R736" s="30" t="str">
        <f ca="1">IFERROR(__xludf.DUMMYFUNCTION("""COMPUTED_VALUE"""),"-64.21786")</f>
        <v>-64.21786</v>
      </c>
      <c r="S736" s="30" t="str">
        <f ca="1">IFERROR(__xludf.DUMMYFUNCTION("""COMPUTED_VALUE"""),"Municipal")</f>
        <v>Municipal</v>
      </c>
      <c r="T736" s="29"/>
    </row>
    <row r="737" spans="1:20" ht="15.75" customHeight="1" x14ac:dyDescent="0.25">
      <c r="A737" s="30" t="str">
        <f ca="1">IFERROR(__xludf.DUMMYFUNCTION("""COMPUTED_VALUE"""),"50140142233262")</f>
        <v>50140142233262</v>
      </c>
      <c r="B737" s="30" t="str">
        <f ca="1">IFERROR(__xludf.DUMMYFUNCTION("""COMPUTED_VALUE"""),"CENTRO DE SALUD N° 57 - BARRIO ARGUELLO IPV")</f>
        <v>CENTRO DE SALUD N° 57 - BARRIO ARGUELLO IPV</v>
      </c>
      <c r="C737" s="30" t="str">
        <f ca="1">IFERROR(__xludf.DUMMYFUNCTION("""COMPUTED_VALUE"""),"Córdoba")</f>
        <v>Córdoba</v>
      </c>
      <c r="D737" s="30" t="str">
        <f ca="1">IFERROR(__xludf.DUMMYFUNCTION("""COMPUTED_VALUE"""),"14")</f>
        <v>14</v>
      </c>
      <c r="E737" s="30" t="str">
        <f ca="1">IFERROR(__xludf.DUMMYFUNCTION("""COMPUTED_VALUE"""),"")</f>
        <v/>
      </c>
      <c r="F737" s="29"/>
      <c r="G737" s="29"/>
      <c r="H737" s="30" t="str">
        <f ca="1">IFERROR(__xludf.DUMMYFUNCTION("""COMPUTED_VALUE"""),"inactivo")</f>
        <v>inactivo</v>
      </c>
      <c r="I737" s="29"/>
      <c r="J737" s="29"/>
      <c r="K737" s="29"/>
      <c r="L737" s="30" t="str">
        <f ca="1">IFERROR(__xludf.DUMMYFUNCTION("""COMPUTED_VALUE"""),"No")</f>
        <v>No</v>
      </c>
      <c r="M737" s="30" t="str">
        <f ca="1">IFERROR(__xludf.DUMMYFUNCTION("""COMPUTED_VALUE"""),"14014010000")</f>
        <v>14014010000</v>
      </c>
      <c r="N737" s="30" t="str">
        <f ca="1">IFERROR(__xludf.DUMMYFUNCTION("""COMPUTED_VALUE"""),"CORDOBA")</f>
        <v>CORDOBA</v>
      </c>
      <c r="O737" s="30" t="str">
        <f ca="1">IFERROR(__xludf.DUMMYFUNCTION("""COMPUTED_VALUE"""),"1414")</f>
        <v>1414</v>
      </c>
      <c r="P737" s="30" t="str">
        <f ca="1">IFERROR(__xludf.DUMMYFUNCTION("""COMPUTED_VALUE"""),"CAPITAL")</f>
        <v>CAPITAL</v>
      </c>
      <c r="Q737" s="30" t="str">
        <f ca="1">IFERROR(__xludf.DUMMYFUNCTION("""COMPUTED_VALUE"""),"-31.34982542")</f>
        <v>-31.34982542</v>
      </c>
      <c r="R737" s="30" t="str">
        <f ca="1">IFERROR(__xludf.DUMMYFUNCTION("""COMPUTED_VALUE"""),"-64.25079346")</f>
        <v>-64.25079346</v>
      </c>
      <c r="S737" s="30" t="str">
        <f ca="1">IFERROR(__xludf.DUMMYFUNCTION("""COMPUTED_VALUE"""),"Municipal")</f>
        <v>Municipal</v>
      </c>
      <c r="T737" s="29"/>
    </row>
    <row r="738" spans="1:20" ht="15.75" customHeight="1" x14ac:dyDescent="0.25">
      <c r="A738" s="30" t="str">
        <f ca="1">IFERROR(__xludf.DUMMYFUNCTION("""COMPUTED_VALUE"""),"50140142233263")</f>
        <v>50140142233263</v>
      </c>
      <c r="B738" s="30" t="str">
        <f ca="1">IFERROR(__xludf.DUMMYFUNCTION("""COMPUTED_VALUE"""),"CENTRO DE SALUD N°60 - BARRIO MARQUEZ ANEXO")</f>
        <v>CENTRO DE SALUD N°60 - BARRIO MARQUEZ ANEXO</v>
      </c>
      <c r="C738" s="30" t="str">
        <f ca="1">IFERROR(__xludf.DUMMYFUNCTION("""COMPUTED_VALUE"""),"Córdoba")</f>
        <v>Córdoba</v>
      </c>
      <c r="D738" s="30" t="str">
        <f ca="1">IFERROR(__xludf.DUMMYFUNCTION("""COMPUTED_VALUE"""),"14")</f>
        <v>14</v>
      </c>
      <c r="E738" s="30" t="str">
        <f ca="1">IFERROR(__xludf.DUMMYFUNCTION("""COMPUTED_VALUE"""),"")</f>
        <v/>
      </c>
      <c r="F738" s="29"/>
      <c r="G738" s="29"/>
      <c r="H738" s="30" t="str">
        <f ca="1">IFERROR(__xludf.DUMMYFUNCTION("""COMPUTED_VALUE"""),"inactivo")</f>
        <v>inactivo</v>
      </c>
      <c r="I738" s="29"/>
      <c r="J738" s="29"/>
      <c r="K738" s="29"/>
      <c r="L738" s="30" t="str">
        <f ca="1">IFERROR(__xludf.DUMMYFUNCTION("""COMPUTED_VALUE"""),"No")</f>
        <v>No</v>
      </c>
      <c r="M738" s="30" t="str">
        <f ca="1">IFERROR(__xludf.DUMMYFUNCTION("""COMPUTED_VALUE"""),"14014010000")</f>
        <v>14014010000</v>
      </c>
      <c r="N738" s="30" t="str">
        <f ca="1">IFERROR(__xludf.DUMMYFUNCTION("""COMPUTED_VALUE"""),"CORDOBA")</f>
        <v>CORDOBA</v>
      </c>
      <c r="O738" s="30" t="str">
        <f ca="1">IFERROR(__xludf.DUMMYFUNCTION("""COMPUTED_VALUE"""),"1414")</f>
        <v>1414</v>
      </c>
      <c r="P738" s="30" t="str">
        <f ca="1">IFERROR(__xludf.DUMMYFUNCTION("""COMPUTED_VALUE"""),"CAPITAL")</f>
        <v>CAPITAL</v>
      </c>
      <c r="Q738" s="30" t="str">
        <f ca="1">IFERROR(__xludf.DUMMYFUNCTION("""COMPUTED_VALUE"""),"-31.371978")</f>
        <v>-31.371978</v>
      </c>
      <c r="R738" s="30" t="str">
        <f ca="1">IFERROR(__xludf.DUMMYFUNCTION("""COMPUTED_VALUE"""),"-64.190565")</f>
        <v>-64.190565</v>
      </c>
      <c r="S738" s="30" t="str">
        <f ca="1">IFERROR(__xludf.DUMMYFUNCTION("""COMPUTED_VALUE"""),"Municipal")</f>
        <v>Municipal</v>
      </c>
      <c r="T738" s="29"/>
    </row>
    <row r="739" spans="1:20" ht="15.75" customHeight="1" x14ac:dyDescent="0.25">
      <c r="A739" s="30" t="str">
        <f ca="1">IFERROR(__xludf.DUMMYFUNCTION("""COMPUTED_VALUE"""),"50140142233264")</f>
        <v>50140142233264</v>
      </c>
      <c r="B739" s="30" t="str">
        <f ca="1">IFERROR(__xludf.DUMMYFUNCTION("""COMPUTED_VALUE"""),"UPAS N° 18 - BARRIO VILLA ALLENDE PARQUE")</f>
        <v>UPAS N° 18 - BARRIO VILLA ALLENDE PARQUE</v>
      </c>
      <c r="C739" s="30" t="str">
        <f ca="1">IFERROR(__xludf.DUMMYFUNCTION("""COMPUTED_VALUE"""),"Córdoba")</f>
        <v>Córdoba</v>
      </c>
      <c r="D739" s="30" t="str">
        <f ca="1">IFERROR(__xludf.DUMMYFUNCTION("""COMPUTED_VALUE"""),"14")</f>
        <v>14</v>
      </c>
      <c r="E739" s="30" t="str">
        <f ca="1">IFERROR(__xludf.DUMMYFUNCTION("""COMPUTED_VALUE"""),"")</f>
        <v/>
      </c>
      <c r="F739" s="29"/>
      <c r="G739" s="29"/>
      <c r="H739" s="30" t="str">
        <f ca="1">IFERROR(__xludf.DUMMYFUNCTION("""COMPUTED_VALUE"""),"inactivo")</f>
        <v>inactivo</v>
      </c>
      <c r="I739" s="29"/>
      <c r="J739" s="29"/>
      <c r="K739" s="29"/>
      <c r="L739" s="30" t="str">
        <f ca="1">IFERROR(__xludf.DUMMYFUNCTION("""COMPUTED_VALUE"""),"No")</f>
        <v>No</v>
      </c>
      <c r="M739" s="30" t="str">
        <f ca="1">IFERROR(__xludf.DUMMYFUNCTION("""COMPUTED_VALUE"""),"14014010000")</f>
        <v>14014010000</v>
      </c>
      <c r="N739" s="30" t="str">
        <f ca="1">IFERROR(__xludf.DUMMYFUNCTION("""COMPUTED_VALUE"""),"CORDOBA")</f>
        <v>CORDOBA</v>
      </c>
      <c r="O739" s="30" t="str">
        <f ca="1">IFERROR(__xludf.DUMMYFUNCTION("""COMPUTED_VALUE"""),"1414")</f>
        <v>1414</v>
      </c>
      <c r="P739" s="30" t="str">
        <f ca="1">IFERROR(__xludf.DUMMYFUNCTION("""COMPUTED_VALUE"""),"CAPITAL")</f>
        <v>CAPITAL</v>
      </c>
      <c r="Q739" s="30" t="str">
        <f ca="1">IFERROR(__xludf.DUMMYFUNCTION("""COMPUTED_VALUE"""),"-31.315551")</f>
        <v>-31.315551</v>
      </c>
      <c r="R739" s="30" t="str">
        <f ca="1">IFERROR(__xludf.DUMMYFUNCTION("""COMPUTED_VALUE"""),"-64.28322")</f>
        <v>-64.28322</v>
      </c>
      <c r="S739" s="30" t="str">
        <f ca="1">IFERROR(__xludf.DUMMYFUNCTION("""COMPUTED_VALUE"""),"Municipal")</f>
        <v>Municipal</v>
      </c>
      <c r="T739" s="29"/>
    </row>
    <row r="740" spans="1:20" ht="15.75" customHeight="1" x14ac:dyDescent="0.25">
      <c r="A740" s="30" t="str">
        <f ca="1">IFERROR(__xludf.DUMMYFUNCTION("""COMPUTED_VALUE"""),"50140142233269")</f>
        <v>50140142233269</v>
      </c>
      <c r="B740" s="30" t="str">
        <f ca="1">IFERROR(__xludf.DUMMYFUNCTION("""COMPUTED_VALUE"""),"UPAS N° 15 - BARRIO ALBERT SABIN")</f>
        <v>UPAS N° 15 - BARRIO ALBERT SABIN</v>
      </c>
      <c r="C740" s="30" t="str">
        <f ca="1">IFERROR(__xludf.DUMMYFUNCTION("""COMPUTED_VALUE"""),"Córdoba")</f>
        <v>Córdoba</v>
      </c>
      <c r="D740" s="30" t="str">
        <f ca="1">IFERROR(__xludf.DUMMYFUNCTION("""COMPUTED_VALUE"""),"14")</f>
        <v>14</v>
      </c>
      <c r="E740" s="30" t="str">
        <f ca="1">IFERROR(__xludf.DUMMYFUNCTION("""COMPUTED_VALUE"""),"")</f>
        <v/>
      </c>
      <c r="F740" s="29"/>
      <c r="G740" s="29"/>
      <c r="H740" s="30" t="str">
        <f ca="1">IFERROR(__xludf.DUMMYFUNCTION("""COMPUTED_VALUE"""),"inactivo")</f>
        <v>inactivo</v>
      </c>
      <c r="I740" s="29"/>
      <c r="J740" s="29"/>
      <c r="K740" s="29"/>
      <c r="L740" s="30" t="str">
        <f ca="1">IFERROR(__xludf.DUMMYFUNCTION("""COMPUTED_VALUE"""),"No")</f>
        <v>No</v>
      </c>
      <c r="M740" s="30" t="str">
        <f ca="1">IFERROR(__xludf.DUMMYFUNCTION("""COMPUTED_VALUE"""),"14014010000")</f>
        <v>14014010000</v>
      </c>
      <c r="N740" s="30" t="str">
        <f ca="1">IFERROR(__xludf.DUMMYFUNCTION("""COMPUTED_VALUE"""),"CORDOBA")</f>
        <v>CORDOBA</v>
      </c>
      <c r="O740" s="30" t="str">
        <f ca="1">IFERROR(__xludf.DUMMYFUNCTION("""COMPUTED_VALUE"""),"1414")</f>
        <v>1414</v>
      </c>
      <c r="P740" s="30" t="str">
        <f ca="1">IFERROR(__xludf.DUMMYFUNCTION("""COMPUTED_VALUE"""),"CAPITAL")</f>
        <v>CAPITAL</v>
      </c>
      <c r="Q740" s="30" t="str">
        <f ca="1">IFERROR(__xludf.DUMMYFUNCTION("""COMPUTED_VALUE"""),"-31.446018")</f>
        <v>-31.446018</v>
      </c>
      <c r="R740" s="30" t="str">
        <f ca="1">IFERROR(__xludf.DUMMYFUNCTION("""COMPUTED_VALUE"""),"-64.213493")</f>
        <v>-64.213493</v>
      </c>
      <c r="S740" s="30" t="str">
        <f ca="1">IFERROR(__xludf.DUMMYFUNCTION("""COMPUTED_VALUE"""),"Municipal")</f>
        <v>Municipal</v>
      </c>
      <c r="T740" s="29"/>
    </row>
    <row r="741" spans="1:20" ht="15.75" customHeight="1" x14ac:dyDescent="0.25">
      <c r="A741" s="30" t="str">
        <f ca="1">IFERROR(__xludf.DUMMYFUNCTION("""COMPUTED_VALUE"""),"50140142233273")</f>
        <v>50140142233273</v>
      </c>
      <c r="B741" s="30" t="str">
        <f ca="1">IFERROR(__xludf.DUMMYFUNCTION("""COMPUTED_VALUE"""),"CENTRO DE SALUD N° 21 - BARRIO MARQUES DE SOBREMONTE")</f>
        <v>CENTRO DE SALUD N° 21 - BARRIO MARQUES DE SOBREMONTE</v>
      </c>
      <c r="C741" s="30" t="str">
        <f ca="1">IFERROR(__xludf.DUMMYFUNCTION("""COMPUTED_VALUE"""),"Córdoba")</f>
        <v>Córdoba</v>
      </c>
      <c r="D741" s="30" t="str">
        <f ca="1">IFERROR(__xludf.DUMMYFUNCTION("""COMPUTED_VALUE"""),"14")</f>
        <v>14</v>
      </c>
      <c r="E741" s="30" t="str">
        <f ca="1">IFERROR(__xludf.DUMMYFUNCTION("""COMPUTED_VALUE"""),"")</f>
        <v/>
      </c>
      <c r="F741" s="29"/>
      <c r="G741" s="29"/>
      <c r="H741" s="30" t="str">
        <f ca="1">IFERROR(__xludf.DUMMYFUNCTION("""COMPUTED_VALUE"""),"inactivo")</f>
        <v>inactivo</v>
      </c>
      <c r="I741" s="29"/>
      <c r="J741" s="29"/>
      <c r="K741" s="29"/>
      <c r="L741" s="30" t="str">
        <f ca="1">IFERROR(__xludf.DUMMYFUNCTION("""COMPUTED_VALUE"""),"No")</f>
        <v>No</v>
      </c>
      <c r="M741" s="30" t="str">
        <f ca="1">IFERROR(__xludf.DUMMYFUNCTION("""COMPUTED_VALUE"""),"14014010000")</f>
        <v>14014010000</v>
      </c>
      <c r="N741" s="30" t="str">
        <f ca="1">IFERROR(__xludf.DUMMYFUNCTION("""COMPUTED_VALUE"""),"CORDOBA")</f>
        <v>CORDOBA</v>
      </c>
      <c r="O741" s="30" t="str">
        <f ca="1">IFERROR(__xludf.DUMMYFUNCTION("""COMPUTED_VALUE"""),"1414")</f>
        <v>1414</v>
      </c>
      <c r="P741" s="30" t="str">
        <f ca="1">IFERROR(__xludf.DUMMYFUNCTION("""COMPUTED_VALUE"""),"CAPITAL")</f>
        <v>CAPITAL</v>
      </c>
      <c r="Q741" s="30" t="str">
        <f ca="1">IFERROR(__xludf.DUMMYFUNCTION("""COMPUTED_VALUE"""),"-31.364209")</f>
        <v>-31.364209</v>
      </c>
      <c r="R741" s="30" t="str">
        <f ca="1">IFERROR(__xludf.DUMMYFUNCTION("""COMPUTED_VALUE"""),"-64.195692")</f>
        <v>-64.195692</v>
      </c>
      <c r="S741" s="30" t="str">
        <f ca="1">IFERROR(__xludf.DUMMYFUNCTION("""COMPUTED_VALUE"""),"Municipal")</f>
        <v>Municipal</v>
      </c>
      <c r="T741" s="29"/>
    </row>
    <row r="742" spans="1:20" ht="15.75" customHeight="1" x14ac:dyDescent="0.25">
      <c r="A742" s="30" t="str">
        <f ca="1">IFERROR(__xludf.DUMMYFUNCTION("""COMPUTED_VALUE"""),"50140142233464")</f>
        <v>50140142233464</v>
      </c>
      <c r="B742" s="30" t="str">
        <f ca="1">IFERROR(__xludf.DUMMYFUNCTION("""COMPUTED_VALUE"""),"UPAS N° 12 - BARRIO VILLA UNION")</f>
        <v>UPAS N° 12 - BARRIO VILLA UNION</v>
      </c>
      <c r="C742" s="30" t="str">
        <f ca="1">IFERROR(__xludf.DUMMYFUNCTION("""COMPUTED_VALUE"""),"Córdoba")</f>
        <v>Córdoba</v>
      </c>
      <c r="D742" s="30" t="str">
        <f ca="1">IFERROR(__xludf.DUMMYFUNCTION("""COMPUTED_VALUE"""),"14")</f>
        <v>14</v>
      </c>
      <c r="E742" s="30" t="str">
        <f ca="1">IFERROR(__xludf.DUMMYFUNCTION("""COMPUTED_VALUE"""),"")</f>
        <v/>
      </c>
      <c r="F742" s="29"/>
      <c r="G742" s="29"/>
      <c r="H742" s="30" t="str">
        <f ca="1">IFERROR(__xludf.DUMMYFUNCTION("""COMPUTED_VALUE"""),"inactivo")</f>
        <v>inactivo</v>
      </c>
      <c r="I742" s="29"/>
      <c r="J742" s="29"/>
      <c r="K742" s="29"/>
      <c r="L742" s="30" t="str">
        <f ca="1">IFERROR(__xludf.DUMMYFUNCTION("""COMPUTED_VALUE"""),"No")</f>
        <v>No</v>
      </c>
      <c r="M742" s="30" t="str">
        <f ca="1">IFERROR(__xludf.DUMMYFUNCTION("""COMPUTED_VALUE"""),"14014010000")</f>
        <v>14014010000</v>
      </c>
      <c r="N742" s="30" t="str">
        <f ca="1">IFERROR(__xludf.DUMMYFUNCTION("""COMPUTED_VALUE"""),"CORDOBA")</f>
        <v>CORDOBA</v>
      </c>
      <c r="O742" s="30" t="str">
        <f ca="1">IFERROR(__xludf.DUMMYFUNCTION("""COMPUTED_VALUE"""),"1414")</f>
        <v>1414</v>
      </c>
      <c r="P742" s="30" t="str">
        <f ca="1">IFERROR(__xludf.DUMMYFUNCTION("""COMPUTED_VALUE"""),"CAPITAL")</f>
        <v>CAPITAL</v>
      </c>
      <c r="Q742" s="30" t="str">
        <f ca="1">IFERROR(__xludf.DUMMYFUNCTION("""COMPUTED_VALUE"""),"-31.42172352")</f>
        <v>-31.42172352</v>
      </c>
      <c r="R742" s="30" t="str">
        <f ca="1">IFERROR(__xludf.DUMMYFUNCTION("""COMPUTED_VALUE"""),"-64.26519156")</f>
        <v>-64.26519156</v>
      </c>
      <c r="S742" s="30" t="str">
        <f ca="1">IFERROR(__xludf.DUMMYFUNCTION("""COMPUTED_VALUE"""),"Municipal")</f>
        <v>Municipal</v>
      </c>
      <c r="T742" s="29"/>
    </row>
    <row r="743" spans="1:20" ht="15.75" customHeight="1" x14ac:dyDescent="0.25">
      <c r="A743" s="30" t="str">
        <f ca="1">IFERROR(__xludf.DUMMYFUNCTION("""COMPUTED_VALUE"""),"50140142233467")</f>
        <v>50140142233467</v>
      </c>
      <c r="B743" s="30" t="str">
        <f ca="1">IFERROR(__xludf.DUMMYFUNCTION("""COMPUTED_VALUE"""),"UPAS N° 28 - BARRIO ITUZAINGO ANEXO")</f>
        <v>UPAS N° 28 - BARRIO ITUZAINGO ANEXO</v>
      </c>
      <c r="C743" s="30" t="str">
        <f ca="1">IFERROR(__xludf.DUMMYFUNCTION("""COMPUTED_VALUE"""),"Córdoba")</f>
        <v>Córdoba</v>
      </c>
      <c r="D743" s="30" t="str">
        <f ca="1">IFERROR(__xludf.DUMMYFUNCTION("""COMPUTED_VALUE"""),"14")</f>
        <v>14</v>
      </c>
      <c r="E743" s="30" t="str">
        <f ca="1">IFERROR(__xludf.DUMMYFUNCTION("""COMPUTED_VALUE"""),"")</f>
        <v/>
      </c>
      <c r="F743" s="29"/>
      <c r="G743" s="29"/>
      <c r="H743" s="30" t="str">
        <f ca="1">IFERROR(__xludf.DUMMYFUNCTION("""COMPUTED_VALUE"""),"inactivo")</f>
        <v>inactivo</v>
      </c>
      <c r="I743" s="29"/>
      <c r="J743" s="29"/>
      <c r="K743" s="29"/>
      <c r="L743" s="30" t="str">
        <f ca="1">IFERROR(__xludf.DUMMYFUNCTION("""COMPUTED_VALUE"""),"No")</f>
        <v>No</v>
      </c>
      <c r="M743" s="30" t="str">
        <f ca="1">IFERROR(__xludf.DUMMYFUNCTION("""COMPUTED_VALUE"""),"14014010000")</f>
        <v>14014010000</v>
      </c>
      <c r="N743" s="30" t="str">
        <f ca="1">IFERROR(__xludf.DUMMYFUNCTION("""COMPUTED_VALUE"""),"CORDOBA")</f>
        <v>CORDOBA</v>
      </c>
      <c r="O743" s="30" t="str">
        <f ca="1">IFERROR(__xludf.DUMMYFUNCTION("""COMPUTED_VALUE"""),"1414")</f>
        <v>1414</v>
      </c>
      <c r="P743" s="30" t="str">
        <f ca="1">IFERROR(__xludf.DUMMYFUNCTION("""COMPUTED_VALUE"""),"CAPITAL")</f>
        <v>CAPITAL</v>
      </c>
      <c r="Q743" s="30" t="str">
        <f ca="1">IFERROR(__xludf.DUMMYFUNCTION("""COMPUTED_VALUE"""),"-31.466009")</f>
        <v>-31.466009</v>
      </c>
      <c r="R743" s="30" t="str">
        <f ca="1">IFERROR(__xludf.DUMMYFUNCTION("""COMPUTED_VALUE"""),"-64.082283")</f>
        <v>-64.082283</v>
      </c>
      <c r="S743" s="30" t="str">
        <f ca="1">IFERROR(__xludf.DUMMYFUNCTION("""COMPUTED_VALUE"""),"Municipal")</f>
        <v>Municipal</v>
      </c>
      <c r="T743" s="29"/>
    </row>
    <row r="744" spans="1:20" ht="15.75" customHeight="1" x14ac:dyDescent="0.25">
      <c r="A744" s="30" t="str">
        <f ca="1">IFERROR(__xludf.DUMMYFUNCTION("""COMPUTED_VALUE"""),"50140142233469")</f>
        <v>50140142233469</v>
      </c>
      <c r="B744" s="30" t="str">
        <f ca="1">IFERROR(__xludf.DUMMYFUNCTION("""COMPUTED_VALUE"""),"UPAS N° 1 - BARRIO SAN ROQUE")</f>
        <v>UPAS N° 1 - BARRIO SAN ROQUE</v>
      </c>
      <c r="C744" s="30" t="str">
        <f ca="1">IFERROR(__xludf.DUMMYFUNCTION("""COMPUTED_VALUE"""),"Córdoba")</f>
        <v>Córdoba</v>
      </c>
      <c r="D744" s="30" t="str">
        <f ca="1">IFERROR(__xludf.DUMMYFUNCTION("""COMPUTED_VALUE"""),"14")</f>
        <v>14</v>
      </c>
      <c r="E744" s="30" t="str">
        <f ca="1">IFERROR(__xludf.DUMMYFUNCTION("""COMPUTED_VALUE"""),"")</f>
        <v/>
      </c>
      <c r="F744" s="29"/>
      <c r="G744" s="29"/>
      <c r="H744" s="30" t="str">
        <f ca="1">IFERROR(__xludf.DUMMYFUNCTION("""COMPUTED_VALUE"""),"inactivo")</f>
        <v>inactivo</v>
      </c>
      <c r="I744" s="29"/>
      <c r="J744" s="29"/>
      <c r="K744" s="29"/>
      <c r="L744" s="30" t="str">
        <f ca="1">IFERROR(__xludf.DUMMYFUNCTION("""COMPUTED_VALUE"""),"No")</f>
        <v>No</v>
      </c>
      <c r="M744" s="30" t="str">
        <f ca="1">IFERROR(__xludf.DUMMYFUNCTION("""COMPUTED_VALUE"""),"14014010000")</f>
        <v>14014010000</v>
      </c>
      <c r="N744" s="30" t="str">
        <f ca="1">IFERROR(__xludf.DUMMYFUNCTION("""COMPUTED_VALUE"""),"CORDOBA")</f>
        <v>CORDOBA</v>
      </c>
      <c r="O744" s="30" t="str">
        <f ca="1">IFERROR(__xludf.DUMMYFUNCTION("""COMPUTED_VALUE"""),"1414")</f>
        <v>1414</v>
      </c>
      <c r="P744" s="30" t="str">
        <f ca="1">IFERROR(__xludf.DUMMYFUNCTION("""COMPUTED_VALUE"""),"CAPITAL")</f>
        <v>CAPITAL</v>
      </c>
      <c r="Q744" s="30" t="str">
        <f ca="1">IFERROR(__xludf.DUMMYFUNCTION("""COMPUTED_VALUE"""),"-31.44005101")</f>
        <v>-31.44005101</v>
      </c>
      <c r="R744" s="30" t="str">
        <f ca="1">IFERROR(__xludf.DUMMYFUNCTION("""COMPUTED_VALUE"""),"-64.24701691")</f>
        <v>-64.24701691</v>
      </c>
      <c r="S744" s="30" t="str">
        <f ca="1">IFERROR(__xludf.DUMMYFUNCTION("""COMPUTED_VALUE"""),"Municipal")</f>
        <v>Municipal</v>
      </c>
      <c r="T744" s="29"/>
    </row>
    <row r="745" spans="1:20" ht="15.75" customHeight="1" x14ac:dyDescent="0.25">
      <c r="A745" s="30" t="str">
        <f ca="1">IFERROR(__xludf.DUMMYFUNCTION("""COMPUTED_VALUE"""),"50140142233470")</f>
        <v>50140142233470</v>
      </c>
      <c r="B745" s="30" t="str">
        <f ca="1">IFERROR(__xludf.DUMMYFUNCTION("""COMPUTED_VALUE"""),"CENTRO DE SALUD N° 52 - BARRIO VILLA URQUIZA")</f>
        <v>CENTRO DE SALUD N° 52 - BARRIO VILLA URQUIZA</v>
      </c>
      <c r="C745" s="30" t="str">
        <f ca="1">IFERROR(__xludf.DUMMYFUNCTION("""COMPUTED_VALUE"""),"Córdoba")</f>
        <v>Córdoba</v>
      </c>
      <c r="D745" s="30" t="str">
        <f ca="1">IFERROR(__xludf.DUMMYFUNCTION("""COMPUTED_VALUE"""),"14")</f>
        <v>14</v>
      </c>
      <c r="E745" s="30" t="str">
        <f ca="1">IFERROR(__xludf.DUMMYFUNCTION("""COMPUTED_VALUE"""),"si")</f>
        <v>si</v>
      </c>
      <c r="F745" s="29"/>
      <c r="G745" s="29"/>
      <c r="H745" s="30" t="str">
        <f ca="1">IFERROR(__xludf.DUMMYFUNCTION("""COMPUTED_VALUE"""),"activo")</f>
        <v>activo</v>
      </c>
      <c r="I745" s="29"/>
      <c r="J745" s="29"/>
      <c r="K745" s="29"/>
      <c r="L745" s="30" t="str">
        <f ca="1">IFERROR(__xludf.DUMMYFUNCTION("""COMPUTED_VALUE"""),"No")</f>
        <v>No</v>
      </c>
      <c r="M745" s="30" t="str">
        <f ca="1">IFERROR(__xludf.DUMMYFUNCTION("""COMPUTED_VALUE"""),"14014010000")</f>
        <v>14014010000</v>
      </c>
      <c r="N745" s="30" t="str">
        <f ca="1">IFERROR(__xludf.DUMMYFUNCTION("""COMPUTED_VALUE"""),"CORDOBA")</f>
        <v>CORDOBA</v>
      </c>
      <c r="O745" s="30" t="str">
        <f ca="1">IFERROR(__xludf.DUMMYFUNCTION("""COMPUTED_VALUE"""),"1414")</f>
        <v>1414</v>
      </c>
      <c r="P745" s="30" t="str">
        <f ca="1">IFERROR(__xludf.DUMMYFUNCTION("""COMPUTED_VALUE"""),"CAPITAL")</f>
        <v>CAPITAL</v>
      </c>
      <c r="Q745" s="30" t="str">
        <f ca="1">IFERROR(__xludf.DUMMYFUNCTION("""COMPUTED_VALUE"""),"-31.392039")</f>
        <v>-31.392039</v>
      </c>
      <c r="R745" s="30" t="str">
        <f ca="1">IFERROR(__xludf.DUMMYFUNCTION("""COMPUTED_VALUE"""),"-64.241435")</f>
        <v>-64.241435</v>
      </c>
      <c r="S745" s="30" t="str">
        <f ca="1">IFERROR(__xludf.DUMMYFUNCTION("""COMPUTED_VALUE"""),"Municipal")</f>
        <v>Municipal</v>
      </c>
      <c r="T745" s="29"/>
    </row>
    <row r="746" spans="1:20" ht="15.75" customHeight="1" x14ac:dyDescent="0.25">
      <c r="A746" s="30" t="str">
        <f ca="1">IFERROR(__xludf.DUMMYFUNCTION("""COMPUTED_VALUE"""),"50140142233655")</f>
        <v>50140142233655</v>
      </c>
      <c r="B746" s="30" t="str">
        <f ca="1">IFERROR(__xludf.DUMMYFUNCTION("""COMPUTED_VALUE"""),"CENTRO DE SALUD N° 32 - BARRIO YAPEYU")</f>
        <v>CENTRO DE SALUD N° 32 - BARRIO YAPEYU</v>
      </c>
      <c r="C746" s="30" t="str">
        <f ca="1">IFERROR(__xludf.DUMMYFUNCTION("""COMPUTED_VALUE"""),"Córdoba")</f>
        <v>Córdoba</v>
      </c>
      <c r="D746" s="30" t="str">
        <f ca="1">IFERROR(__xludf.DUMMYFUNCTION("""COMPUTED_VALUE"""),"14")</f>
        <v>14</v>
      </c>
      <c r="E746" s="30" t="str">
        <f ca="1">IFERROR(__xludf.DUMMYFUNCTION("""COMPUTED_VALUE"""),"")</f>
        <v/>
      </c>
      <c r="F746" s="29"/>
      <c r="G746" s="29"/>
      <c r="H746" s="30" t="str">
        <f ca="1">IFERROR(__xludf.DUMMYFUNCTION("""COMPUTED_VALUE"""),"activo")</f>
        <v>activo</v>
      </c>
      <c r="I746" s="29"/>
      <c r="J746" s="29"/>
      <c r="K746" s="29"/>
      <c r="L746" s="30" t="str">
        <f ca="1">IFERROR(__xludf.DUMMYFUNCTION("""COMPUTED_VALUE"""),"No")</f>
        <v>No</v>
      </c>
      <c r="M746" s="30" t="str">
        <f ca="1">IFERROR(__xludf.DUMMYFUNCTION("""COMPUTED_VALUE"""),"14014010000")</f>
        <v>14014010000</v>
      </c>
      <c r="N746" s="30" t="str">
        <f ca="1">IFERROR(__xludf.DUMMYFUNCTION("""COMPUTED_VALUE"""),"CORDOBA")</f>
        <v>CORDOBA</v>
      </c>
      <c r="O746" s="30" t="str">
        <f ca="1">IFERROR(__xludf.DUMMYFUNCTION("""COMPUTED_VALUE"""),"1414")</f>
        <v>1414</v>
      </c>
      <c r="P746" s="30" t="str">
        <f ca="1">IFERROR(__xludf.DUMMYFUNCTION("""COMPUTED_VALUE"""),"CAPITAL")</f>
        <v>CAPITAL</v>
      </c>
      <c r="Q746" s="30" t="str">
        <f ca="1">IFERROR(__xludf.DUMMYFUNCTION("""COMPUTED_VALUE"""),"-31.41235")</f>
        <v>-31.41235</v>
      </c>
      <c r="R746" s="30" t="str">
        <f ca="1">IFERROR(__xludf.DUMMYFUNCTION("""COMPUTED_VALUE"""),"-64.149728")</f>
        <v>-64.149728</v>
      </c>
      <c r="S746" s="30" t="str">
        <f ca="1">IFERROR(__xludf.DUMMYFUNCTION("""COMPUTED_VALUE"""),"Municipal")</f>
        <v>Municipal</v>
      </c>
      <c r="T746" s="29"/>
    </row>
    <row r="747" spans="1:20" ht="15.75" customHeight="1" x14ac:dyDescent="0.25">
      <c r="A747" s="30" t="str">
        <f ca="1">IFERROR(__xludf.DUMMYFUNCTION("""COMPUTED_VALUE"""),"50140142233658")</f>
        <v>50140142233658</v>
      </c>
      <c r="B747" s="30" t="str">
        <f ca="1">IFERROR(__xludf.DUMMYFUNCTION("""COMPUTED_VALUE"""),"CENTRO DE SALUD N° 28 - BARRIO LAS VIOLETAS")</f>
        <v>CENTRO DE SALUD N° 28 - BARRIO LAS VIOLETAS</v>
      </c>
      <c r="C747" s="30" t="str">
        <f ca="1">IFERROR(__xludf.DUMMYFUNCTION("""COMPUTED_VALUE"""),"Córdoba")</f>
        <v>Córdoba</v>
      </c>
      <c r="D747" s="30" t="str">
        <f ca="1">IFERROR(__xludf.DUMMYFUNCTION("""COMPUTED_VALUE"""),"14")</f>
        <v>14</v>
      </c>
      <c r="E747" s="30" t="str">
        <f ca="1">IFERROR(__xludf.DUMMYFUNCTION("""COMPUTED_VALUE"""),"")</f>
        <v/>
      </c>
      <c r="F747" s="29"/>
      <c r="G747" s="29"/>
      <c r="H747" s="30" t="str">
        <f ca="1">IFERROR(__xludf.DUMMYFUNCTION("""COMPUTED_VALUE"""),"inactivo")</f>
        <v>inactivo</v>
      </c>
      <c r="I747" s="29"/>
      <c r="J747" s="29"/>
      <c r="K747" s="29"/>
      <c r="L747" s="30" t="str">
        <f ca="1">IFERROR(__xludf.DUMMYFUNCTION("""COMPUTED_VALUE"""),"No")</f>
        <v>No</v>
      </c>
      <c r="M747" s="30" t="str">
        <f ca="1">IFERROR(__xludf.DUMMYFUNCTION("""COMPUTED_VALUE"""),"14014010000")</f>
        <v>14014010000</v>
      </c>
      <c r="N747" s="30" t="str">
        <f ca="1">IFERROR(__xludf.DUMMYFUNCTION("""COMPUTED_VALUE"""),"CORDOBA")</f>
        <v>CORDOBA</v>
      </c>
      <c r="O747" s="30" t="str">
        <f ca="1">IFERROR(__xludf.DUMMYFUNCTION("""COMPUTED_VALUE"""),"1414")</f>
        <v>1414</v>
      </c>
      <c r="P747" s="30" t="str">
        <f ca="1">IFERROR(__xludf.DUMMYFUNCTION("""COMPUTED_VALUE"""),"CAPITAL")</f>
        <v>CAPITAL</v>
      </c>
      <c r="Q747" s="30" t="str">
        <f ca="1">IFERROR(__xludf.DUMMYFUNCTION("""COMPUTED_VALUE"""),"-31.41094375")</f>
        <v>-31.41094375</v>
      </c>
      <c r="R747" s="30" t="str">
        <f ca="1">IFERROR(__xludf.DUMMYFUNCTION("""COMPUTED_VALUE"""),"-64.24808978")</f>
        <v>-64.24808978</v>
      </c>
      <c r="S747" s="30" t="str">
        <f ca="1">IFERROR(__xludf.DUMMYFUNCTION("""COMPUTED_VALUE"""),"Municipal")</f>
        <v>Municipal</v>
      </c>
      <c r="T747" s="29"/>
    </row>
    <row r="748" spans="1:20" ht="15.75" customHeight="1" x14ac:dyDescent="0.25">
      <c r="A748" s="30" t="str">
        <f ca="1">IFERROR(__xludf.DUMMYFUNCTION("""COMPUTED_VALUE"""),"50140142233662")</f>
        <v>50140142233662</v>
      </c>
      <c r="B748" s="30" t="str">
        <f ca="1">IFERROR(__xludf.DUMMYFUNCTION("""COMPUTED_VALUE"""),"UPAS N° 36 - BARRIO CABILDO")</f>
        <v>UPAS N° 36 - BARRIO CABILDO</v>
      </c>
      <c r="C748" s="30" t="str">
        <f ca="1">IFERROR(__xludf.DUMMYFUNCTION("""COMPUTED_VALUE"""),"Córdoba")</f>
        <v>Córdoba</v>
      </c>
      <c r="D748" s="30" t="str">
        <f ca="1">IFERROR(__xludf.DUMMYFUNCTION("""COMPUTED_VALUE"""),"14")</f>
        <v>14</v>
      </c>
      <c r="E748" s="30" t="str">
        <f ca="1">IFERROR(__xludf.DUMMYFUNCTION("""COMPUTED_VALUE"""),"")</f>
        <v/>
      </c>
      <c r="F748" s="29"/>
      <c r="G748" s="29"/>
      <c r="H748" s="30" t="str">
        <f ca="1">IFERROR(__xludf.DUMMYFUNCTION("""COMPUTED_VALUE"""),"inactivo")</f>
        <v>inactivo</v>
      </c>
      <c r="I748" s="29"/>
      <c r="J748" s="29"/>
      <c r="K748" s="29"/>
      <c r="L748" s="30" t="str">
        <f ca="1">IFERROR(__xludf.DUMMYFUNCTION("""COMPUTED_VALUE"""),"No")</f>
        <v>No</v>
      </c>
      <c r="M748" s="30" t="str">
        <f ca="1">IFERROR(__xludf.DUMMYFUNCTION("""COMPUTED_VALUE"""),"14014010000")</f>
        <v>14014010000</v>
      </c>
      <c r="N748" s="30" t="str">
        <f ca="1">IFERROR(__xludf.DUMMYFUNCTION("""COMPUTED_VALUE"""),"CORDOBA")</f>
        <v>CORDOBA</v>
      </c>
      <c r="O748" s="30" t="str">
        <f ca="1">IFERROR(__xludf.DUMMYFUNCTION("""COMPUTED_VALUE"""),"1414")</f>
        <v>1414</v>
      </c>
      <c r="P748" s="30" t="str">
        <f ca="1">IFERROR(__xludf.DUMMYFUNCTION("""COMPUTED_VALUE"""),"CAPITAL")</f>
        <v>CAPITAL</v>
      </c>
      <c r="Q748" s="30" t="str">
        <f ca="1">IFERROR(__xludf.DUMMYFUNCTION("""COMPUTED_VALUE"""),"-31.3989296")</f>
        <v>-31.3989296</v>
      </c>
      <c r="R748" s="30" t="str">
        <f ca="1">IFERROR(__xludf.DUMMYFUNCTION("""COMPUTED_VALUE"""),"-64.1821289")</f>
        <v>-64.1821289</v>
      </c>
      <c r="S748" s="30" t="str">
        <f ca="1">IFERROR(__xludf.DUMMYFUNCTION("""COMPUTED_VALUE"""),"Municipal")</f>
        <v>Municipal</v>
      </c>
      <c r="T748" s="29"/>
    </row>
    <row r="749" spans="1:20" ht="15.75" customHeight="1" x14ac:dyDescent="0.25">
      <c r="A749" s="30" t="str">
        <f ca="1">IFERROR(__xludf.DUMMYFUNCTION("""COMPUTED_VALUE"""),"50140142233663")</f>
        <v>50140142233663</v>
      </c>
      <c r="B749" s="30" t="str">
        <f ca="1">IFERROR(__xludf.DUMMYFUNCTION("""COMPUTED_VALUE"""),"CENTRO DE SALUD N° 26 - BARRIO LA MADRID")</f>
        <v>CENTRO DE SALUD N° 26 - BARRIO LA MADRID</v>
      </c>
      <c r="C749" s="30" t="str">
        <f ca="1">IFERROR(__xludf.DUMMYFUNCTION("""COMPUTED_VALUE"""),"Córdoba")</f>
        <v>Córdoba</v>
      </c>
      <c r="D749" s="30" t="str">
        <f ca="1">IFERROR(__xludf.DUMMYFUNCTION("""COMPUTED_VALUE"""),"14")</f>
        <v>14</v>
      </c>
      <c r="E749" s="30" t="str">
        <f ca="1">IFERROR(__xludf.DUMMYFUNCTION("""COMPUTED_VALUE"""),"")</f>
        <v/>
      </c>
      <c r="F749" s="29"/>
      <c r="G749" s="29"/>
      <c r="H749" s="30" t="str">
        <f ca="1">IFERROR(__xludf.DUMMYFUNCTION("""COMPUTED_VALUE"""),"activo")</f>
        <v>activo</v>
      </c>
      <c r="I749" s="29"/>
      <c r="J749" s="29"/>
      <c r="K749" s="29"/>
      <c r="L749" s="30" t="str">
        <f ca="1">IFERROR(__xludf.DUMMYFUNCTION("""COMPUTED_VALUE"""),"No")</f>
        <v>No</v>
      </c>
      <c r="M749" s="30" t="str">
        <f ca="1">IFERROR(__xludf.DUMMYFUNCTION("""COMPUTED_VALUE"""),"14014010000")</f>
        <v>14014010000</v>
      </c>
      <c r="N749" s="30" t="str">
        <f ca="1">IFERROR(__xludf.DUMMYFUNCTION("""COMPUTED_VALUE"""),"CORDOBA")</f>
        <v>CORDOBA</v>
      </c>
      <c r="O749" s="30" t="str">
        <f ca="1">IFERROR(__xludf.DUMMYFUNCTION("""COMPUTED_VALUE"""),"1414")</f>
        <v>1414</v>
      </c>
      <c r="P749" s="30" t="str">
        <f ca="1">IFERROR(__xludf.DUMMYFUNCTION("""COMPUTED_VALUE"""),"CAPITAL")</f>
        <v>CAPITAL</v>
      </c>
      <c r="Q749" s="30" t="str">
        <f ca="1">IFERROR(__xludf.DUMMYFUNCTION("""COMPUTED_VALUE"""),"-31.414229")</f>
        <v>-31.414229</v>
      </c>
      <c r="R749" s="30" t="str">
        <f ca="1">IFERROR(__xludf.DUMMYFUNCTION("""COMPUTED_VALUE"""),"-64.232433")</f>
        <v>-64.232433</v>
      </c>
      <c r="S749" s="30" t="str">
        <f ca="1">IFERROR(__xludf.DUMMYFUNCTION("""COMPUTED_VALUE"""),"Municipal")</f>
        <v>Municipal</v>
      </c>
      <c r="T749" s="29"/>
    </row>
    <row r="750" spans="1:20" ht="15.75" customHeight="1" x14ac:dyDescent="0.25">
      <c r="A750" s="30" t="str">
        <f ca="1">IFERROR(__xludf.DUMMYFUNCTION("""COMPUTED_VALUE"""),"50140142233666")</f>
        <v>50140142233666</v>
      </c>
      <c r="B750" s="30" t="str">
        <f ca="1">IFERROR(__xludf.DUMMYFUNCTION("""COMPUTED_VALUE"""),"CENTRO DE SALUD N° 50 - BARRIO VILLA ADELA")</f>
        <v>CENTRO DE SALUD N° 50 - BARRIO VILLA ADELA</v>
      </c>
      <c r="C750" s="30" t="str">
        <f ca="1">IFERROR(__xludf.DUMMYFUNCTION("""COMPUTED_VALUE"""),"Córdoba")</f>
        <v>Córdoba</v>
      </c>
      <c r="D750" s="30" t="str">
        <f ca="1">IFERROR(__xludf.DUMMYFUNCTION("""COMPUTED_VALUE"""),"14")</f>
        <v>14</v>
      </c>
      <c r="E750" s="30" t="str">
        <f ca="1">IFERROR(__xludf.DUMMYFUNCTION("""COMPUTED_VALUE"""),"")</f>
        <v/>
      </c>
      <c r="F750" s="29"/>
      <c r="G750" s="29"/>
      <c r="H750" s="30" t="str">
        <f ca="1">IFERROR(__xludf.DUMMYFUNCTION("""COMPUTED_VALUE"""),"inactivo")</f>
        <v>inactivo</v>
      </c>
      <c r="I750" s="29"/>
      <c r="J750" s="29"/>
      <c r="K750" s="29"/>
      <c r="L750" s="30" t="str">
        <f ca="1">IFERROR(__xludf.DUMMYFUNCTION("""COMPUTED_VALUE"""),"No")</f>
        <v>No</v>
      </c>
      <c r="M750" s="30" t="str">
        <f ca="1">IFERROR(__xludf.DUMMYFUNCTION("""COMPUTED_VALUE"""),"14014010000")</f>
        <v>14014010000</v>
      </c>
      <c r="N750" s="30" t="str">
        <f ca="1">IFERROR(__xludf.DUMMYFUNCTION("""COMPUTED_VALUE"""),"CORDOBA")</f>
        <v>CORDOBA</v>
      </c>
      <c r="O750" s="30" t="str">
        <f ca="1">IFERROR(__xludf.DUMMYFUNCTION("""COMPUTED_VALUE"""),"1414")</f>
        <v>1414</v>
      </c>
      <c r="P750" s="30" t="str">
        <f ca="1">IFERROR(__xludf.DUMMYFUNCTION("""COMPUTED_VALUE"""),"CAPITAL")</f>
        <v>CAPITAL</v>
      </c>
      <c r="Q750" s="30" t="str">
        <f ca="1">IFERROR(__xludf.DUMMYFUNCTION("""COMPUTED_VALUE"""),"-31.435802")</f>
        <v>-31.435802</v>
      </c>
      <c r="R750" s="30" t="str">
        <f ca="1">IFERROR(__xludf.DUMMYFUNCTION("""COMPUTED_VALUE"""),"-64.248195")</f>
        <v>-64.248195</v>
      </c>
      <c r="S750" s="30" t="str">
        <f ca="1">IFERROR(__xludf.DUMMYFUNCTION("""COMPUTED_VALUE"""),"Municipal")</f>
        <v>Municipal</v>
      </c>
      <c r="T750" s="29"/>
    </row>
    <row r="751" spans="1:20" ht="15.75" customHeight="1" x14ac:dyDescent="0.25">
      <c r="A751" s="30" t="str">
        <f ca="1">IFERROR(__xludf.DUMMYFUNCTION("""COMPUTED_VALUE"""),"50140142233673")</f>
        <v>50140142233673</v>
      </c>
      <c r="B751" s="30" t="str">
        <f ca="1">IFERROR(__xludf.DUMMYFUNCTION("""COMPUTED_VALUE"""),"UPAS N° 6 - BARRIO ESTACION FLORES")</f>
        <v>UPAS N° 6 - BARRIO ESTACION FLORES</v>
      </c>
      <c r="C751" s="30" t="str">
        <f ca="1">IFERROR(__xludf.DUMMYFUNCTION("""COMPUTED_VALUE"""),"Córdoba")</f>
        <v>Córdoba</v>
      </c>
      <c r="D751" s="30" t="str">
        <f ca="1">IFERROR(__xludf.DUMMYFUNCTION("""COMPUTED_VALUE"""),"14")</f>
        <v>14</v>
      </c>
      <c r="E751" s="30" t="str">
        <f ca="1">IFERROR(__xludf.DUMMYFUNCTION("""COMPUTED_VALUE"""),"si")</f>
        <v>si</v>
      </c>
      <c r="F751" s="29"/>
      <c r="G751" s="29"/>
      <c r="H751" s="30" t="str">
        <f ca="1">IFERROR(__xludf.DUMMYFUNCTION("""COMPUTED_VALUE"""),"activo")</f>
        <v>activo</v>
      </c>
      <c r="I751" s="29"/>
      <c r="J751" s="29"/>
      <c r="K751" s="29"/>
      <c r="L751" s="30" t="str">
        <f ca="1">IFERROR(__xludf.DUMMYFUNCTION("""COMPUTED_VALUE"""),"No")</f>
        <v>No</v>
      </c>
      <c r="M751" s="30" t="str">
        <f ca="1">IFERROR(__xludf.DUMMYFUNCTION("""COMPUTED_VALUE"""),"14014010000")</f>
        <v>14014010000</v>
      </c>
      <c r="N751" s="30" t="str">
        <f ca="1">IFERROR(__xludf.DUMMYFUNCTION("""COMPUTED_VALUE"""),"CORDOBA")</f>
        <v>CORDOBA</v>
      </c>
      <c r="O751" s="30" t="str">
        <f ca="1">IFERROR(__xludf.DUMMYFUNCTION("""COMPUTED_VALUE"""),"1414")</f>
        <v>1414</v>
      </c>
      <c r="P751" s="30" t="str">
        <f ca="1">IFERROR(__xludf.DUMMYFUNCTION("""COMPUTED_VALUE"""),"CAPITAL")</f>
        <v>CAPITAL</v>
      </c>
      <c r="Q751" s="30" t="str">
        <f ca="1">IFERROR(__xludf.DUMMYFUNCTION("""COMPUTED_VALUE"""),"-31.4486275")</f>
        <v>-31.4486275</v>
      </c>
      <c r="R751" s="30" t="str">
        <f ca="1">IFERROR(__xludf.DUMMYFUNCTION("""COMPUTED_VALUE"""),"-64.2472992")</f>
        <v>-64.2472992</v>
      </c>
      <c r="S751" s="30" t="str">
        <f ca="1">IFERROR(__xludf.DUMMYFUNCTION("""COMPUTED_VALUE"""),"Municipal")</f>
        <v>Municipal</v>
      </c>
      <c r="T751" s="29"/>
    </row>
    <row r="752" spans="1:20" ht="15.75" customHeight="1" x14ac:dyDescent="0.25">
      <c r="A752" s="30" t="str">
        <f ca="1">IFERROR(__xludf.DUMMYFUNCTION("""COMPUTED_VALUE"""),"50140142233693")</f>
        <v>50140142233693</v>
      </c>
      <c r="B752" s="30" t="str">
        <f ca="1">IFERROR(__xludf.DUMMYFUNCTION("""COMPUTED_VALUE"""),"DIRECCION DE ESPECIALIDADES MEDICAS - DEM NORTE")</f>
        <v>DIRECCION DE ESPECIALIDADES MEDICAS - DEM NORTE</v>
      </c>
      <c r="C752" s="30" t="str">
        <f ca="1">IFERROR(__xludf.DUMMYFUNCTION("""COMPUTED_VALUE"""),"Córdoba")</f>
        <v>Córdoba</v>
      </c>
      <c r="D752" s="30" t="str">
        <f ca="1">IFERROR(__xludf.DUMMYFUNCTION("""COMPUTED_VALUE"""),"14")</f>
        <v>14</v>
      </c>
      <c r="E752" s="30" t="str">
        <f ca="1">IFERROR(__xludf.DUMMYFUNCTION("""COMPUTED_VALUE"""),"")</f>
        <v/>
      </c>
      <c r="F752" s="29"/>
      <c r="G752" s="29"/>
      <c r="H752" s="30" t="str">
        <f ca="1">IFERROR(__xludf.DUMMYFUNCTION("""COMPUTED_VALUE"""),"inactivo")</f>
        <v>inactivo</v>
      </c>
      <c r="I752" s="29"/>
      <c r="J752" s="29"/>
      <c r="K752" s="29"/>
      <c r="L752" s="30" t="str">
        <f ca="1">IFERROR(__xludf.DUMMYFUNCTION("""COMPUTED_VALUE"""),"No")</f>
        <v>No</v>
      </c>
      <c r="M752" s="30" t="str">
        <f ca="1">IFERROR(__xludf.DUMMYFUNCTION("""COMPUTED_VALUE"""),"14014010000")</f>
        <v>14014010000</v>
      </c>
      <c r="N752" s="30" t="str">
        <f ca="1">IFERROR(__xludf.DUMMYFUNCTION("""COMPUTED_VALUE"""),"CORDOBA")</f>
        <v>CORDOBA</v>
      </c>
      <c r="O752" s="30" t="str">
        <f ca="1">IFERROR(__xludf.DUMMYFUNCTION("""COMPUTED_VALUE"""),"1414")</f>
        <v>1414</v>
      </c>
      <c r="P752" s="30" t="str">
        <f ca="1">IFERROR(__xludf.DUMMYFUNCTION("""COMPUTED_VALUE"""),"CAPITAL")</f>
        <v>CAPITAL</v>
      </c>
      <c r="Q752" s="30" t="str">
        <f ca="1">IFERROR(__xludf.DUMMYFUNCTION("""COMPUTED_VALUE"""),"-31.3899212")</f>
        <v>-31.3899212</v>
      </c>
      <c r="R752" s="30" t="str">
        <f ca="1">IFERROR(__xludf.DUMMYFUNCTION("""COMPUTED_VALUE"""),"-64.181221")</f>
        <v>-64.181221</v>
      </c>
      <c r="S752" s="30" t="str">
        <f ca="1">IFERROR(__xludf.DUMMYFUNCTION("""COMPUTED_VALUE"""),"Municipal")</f>
        <v>Municipal</v>
      </c>
      <c r="T752" s="29"/>
    </row>
    <row r="753" spans="1:20" ht="15.75" customHeight="1" x14ac:dyDescent="0.25">
      <c r="A753" s="30" t="str">
        <f ca="1">IFERROR(__xludf.DUMMYFUNCTION("""COMPUTED_VALUE"""),"50140142234643")</f>
        <v>50140142234643</v>
      </c>
      <c r="B753" s="30" t="str">
        <f ca="1">IFERROR(__xludf.DUMMYFUNCTION("""COMPUTED_VALUE"""),"DIRECCION DE ESPECIALIDADES MEDICAS ZONA CENTRO")</f>
        <v>DIRECCION DE ESPECIALIDADES MEDICAS ZONA CENTRO</v>
      </c>
      <c r="C753" s="30" t="str">
        <f ca="1">IFERROR(__xludf.DUMMYFUNCTION("""COMPUTED_VALUE"""),"Córdoba")</f>
        <v>Córdoba</v>
      </c>
      <c r="D753" s="30" t="str">
        <f ca="1">IFERROR(__xludf.DUMMYFUNCTION("""COMPUTED_VALUE"""),"14")</f>
        <v>14</v>
      </c>
      <c r="E753" s="30" t="str">
        <f ca="1">IFERROR(__xludf.DUMMYFUNCTION("""COMPUTED_VALUE"""),"")</f>
        <v/>
      </c>
      <c r="F753" s="29"/>
      <c r="G753" s="29"/>
      <c r="H753" s="30" t="str">
        <f ca="1">IFERROR(__xludf.DUMMYFUNCTION("""COMPUTED_VALUE"""),"inactivo")</f>
        <v>inactivo</v>
      </c>
      <c r="I753" s="29"/>
      <c r="J753" s="29"/>
      <c r="K753" s="29"/>
      <c r="L753" s="30" t="str">
        <f ca="1">IFERROR(__xludf.DUMMYFUNCTION("""COMPUTED_VALUE"""),"No")</f>
        <v>No</v>
      </c>
      <c r="M753" s="30" t="str">
        <f ca="1">IFERROR(__xludf.DUMMYFUNCTION("""COMPUTED_VALUE"""),"14014010000")</f>
        <v>14014010000</v>
      </c>
      <c r="N753" s="30" t="str">
        <f ca="1">IFERROR(__xludf.DUMMYFUNCTION("""COMPUTED_VALUE"""),"CORDOBA")</f>
        <v>CORDOBA</v>
      </c>
      <c r="O753" s="30" t="str">
        <f ca="1">IFERROR(__xludf.DUMMYFUNCTION("""COMPUTED_VALUE"""),"1414")</f>
        <v>1414</v>
      </c>
      <c r="P753" s="30" t="str">
        <f ca="1">IFERROR(__xludf.DUMMYFUNCTION("""COMPUTED_VALUE"""),"CAPITAL")</f>
        <v>CAPITAL</v>
      </c>
      <c r="Q753" s="30" t="str">
        <f ca="1">IFERROR(__xludf.DUMMYFUNCTION("""COMPUTED_VALUE"""),"-31.412015")</f>
        <v>-31.412015</v>
      </c>
      <c r="R753" s="30" t="str">
        <f ca="1">IFERROR(__xludf.DUMMYFUNCTION("""COMPUTED_VALUE"""),"-64.175584")</f>
        <v>-64.175584</v>
      </c>
      <c r="S753" s="30" t="str">
        <f ca="1">IFERROR(__xludf.DUMMYFUNCTION("""COMPUTED_VALUE"""),"Municipal")</f>
        <v>Municipal</v>
      </c>
      <c r="T753" s="29"/>
    </row>
    <row r="754" spans="1:20" ht="15.75" customHeight="1" x14ac:dyDescent="0.25">
      <c r="A754" s="30" t="str">
        <f ca="1">IFERROR(__xludf.DUMMYFUNCTION("""COMPUTED_VALUE"""),"50140212231456")</f>
        <v>50140212231456</v>
      </c>
      <c r="B754" s="30" t="str">
        <f ca="1">IFERROR(__xludf.DUMMYFUNCTION("""COMPUTED_VALUE"""),"DISPENSARIO MUNICIPAL ESTACION COLONIA TIROLESA")</f>
        <v>DISPENSARIO MUNICIPAL ESTACION COLONIA TIROLESA</v>
      </c>
      <c r="C754" s="30" t="str">
        <f ca="1">IFERROR(__xludf.DUMMYFUNCTION("""COMPUTED_VALUE"""),"Córdoba")</f>
        <v>Córdoba</v>
      </c>
      <c r="D754" s="30" t="str">
        <f ca="1">IFERROR(__xludf.DUMMYFUNCTION("""COMPUTED_VALUE"""),"14")</f>
        <v>14</v>
      </c>
      <c r="E754" s="30" t="str">
        <f ca="1">IFERROR(__xludf.DUMMYFUNCTION("""COMPUTED_VALUE"""),"")</f>
        <v/>
      </c>
      <c r="F754" s="29"/>
      <c r="G754" s="29"/>
      <c r="H754" s="30" t="str">
        <f ca="1">IFERROR(__xludf.DUMMYFUNCTION("""COMPUTED_VALUE"""),"inactivo")</f>
        <v>inactivo</v>
      </c>
      <c r="I754" s="29"/>
      <c r="J754" s="29"/>
      <c r="K754" s="29"/>
      <c r="L754" s="30" t="str">
        <f ca="1">IFERROR(__xludf.DUMMYFUNCTION("""COMPUTED_VALUE"""),"No")</f>
        <v>No</v>
      </c>
      <c r="M754" s="30" t="str">
        <f ca="1">IFERROR(__xludf.DUMMYFUNCTION("""COMPUTED_VALUE"""),"14021060000")</f>
        <v>14021060000</v>
      </c>
      <c r="N754" s="30" t="str">
        <f ca="1">IFERROR(__xludf.DUMMYFUNCTION("""COMPUTED_VALUE"""),"COLONIA TIROLESA")</f>
        <v>COLONIA TIROLESA</v>
      </c>
      <c r="O754" s="30" t="str">
        <f ca="1">IFERROR(__xludf.DUMMYFUNCTION("""COMPUTED_VALUE"""),"1421")</f>
        <v>1421</v>
      </c>
      <c r="P754" s="30" t="str">
        <f ca="1">IFERROR(__xludf.DUMMYFUNCTION("""COMPUTED_VALUE"""),"COLÓN")</f>
        <v>COLÓN</v>
      </c>
      <c r="Q754" s="30" t="str">
        <f ca="1">IFERROR(__xludf.DUMMYFUNCTION("""COMPUTED_VALUE"""),"-31.236812")</f>
        <v>-31.236812</v>
      </c>
      <c r="R754" s="30" t="str">
        <f ca="1">IFERROR(__xludf.DUMMYFUNCTION("""COMPUTED_VALUE"""),"-64.067001")</f>
        <v>-64.067001</v>
      </c>
      <c r="S754" s="30" t="str">
        <f ca="1">IFERROR(__xludf.DUMMYFUNCTION("""COMPUTED_VALUE"""),"Municipal")</f>
        <v>Municipal</v>
      </c>
      <c r="T754" s="29"/>
    </row>
    <row r="755" spans="1:20" ht="15.75" customHeight="1" x14ac:dyDescent="0.25">
      <c r="A755" s="30" t="str">
        <f ca="1">IFERROR(__xludf.DUMMYFUNCTION("""COMPUTED_VALUE"""),"50140212232008")</f>
        <v>50140212232008</v>
      </c>
      <c r="B755" s="30" t="str">
        <f ca="1">IFERROR(__xludf.DUMMYFUNCTION("""COMPUTED_VALUE"""),"DISPENSARIO MUNICIPAL CENTRAL DE SALDAN")</f>
        <v>DISPENSARIO MUNICIPAL CENTRAL DE SALDAN</v>
      </c>
      <c r="C755" s="30" t="str">
        <f ca="1">IFERROR(__xludf.DUMMYFUNCTION("""COMPUTED_VALUE"""),"Córdoba")</f>
        <v>Córdoba</v>
      </c>
      <c r="D755" s="30" t="str">
        <f ca="1">IFERROR(__xludf.DUMMYFUNCTION("""COMPUTED_VALUE"""),"14")</f>
        <v>14</v>
      </c>
      <c r="E755" s="30" t="str">
        <f ca="1">IFERROR(__xludf.DUMMYFUNCTION("""COMPUTED_VALUE"""),"")</f>
        <v/>
      </c>
      <c r="F755" s="29"/>
      <c r="G755" s="29"/>
      <c r="H755" s="30" t="str">
        <f ca="1">IFERROR(__xludf.DUMMYFUNCTION("""COMPUTED_VALUE"""),"activo")</f>
        <v>activo</v>
      </c>
      <c r="I755" s="29"/>
      <c r="J755" s="29"/>
      <c r="K755" s="29"/>
      <c r="L755" s="30" t="str">
        <f ca="1">IFERROR(__xludf.DUMMYFUNCTION("""COMPUTED_VALUE"""),"No")</f>
        <v>No</v>
      </c>
      <c r="M755" s="30" t="str">
        <f ca="1">IFERROR(__xludf.DUMMYFUNCTION("""COMPUTED_VALUE"""),"14021240000")</f>
        <v>14021240000</v>
      </c>
      <c r="N755" s="30" t="str">
        <f ca="1">IFERROR(__xludf.DUMMYFUNCTION("""COMPUTED_VALUE"""),"SALDAN")</f>
        <v>SALDAN</v>
      </c>
      <c r="O755" s="30" t="str">
        <f ca="1">IFERROR(__xludf.DUMMYFUNCTION("""COMPUTED_VALUE"""),"1421")</f>
        <v>1421</v>
      </c>
      <c r="P755" s="30" t="str">
        <f ca="1">IFERROR(__xludf.DUMMYFUNCTION("""COMPUTED_VALUE"""),"COLÓN")</f>
        <v>COLÓN</v>
      </c>
      <c r="Q755" s="30" t="str">
        <f ca="1">IFERROR(__xludf.DUMMYFUNCTION("""COMPUTED_VALUE"""),"-31.2951087")</f>
        <v>-31.2951087</v>
      </c>
      <c r="R755" s="30" t="str">
        <f ca="1">IFERROR(__xludf.DUMMYFUNCTION("""COMPUTED_VALUE"""),"-64.2943752")</f>
        <v>-64.2943752</v>
      </c>
      <c r="S755" s="30" t="str">
        <f ca="1">IFERROR(__xludf.DUMMYFUNCTION("""COMPUTED_VALUE"""),"Municipal")</f>
        <v>Municipal</v>
      </c>
      <c r="T755" s="29"/>
    </row>
    <row r="756" spans="1:20" ht="15.75" customHeight="1" x14ac:dyDescent="0.25">
      <c r="A756" s="30" t="str">
        <f ca="1">IFERROR(__xludf.DUMMYFUNCTION("""COMPUTED_VALUE"""),"50140212232551")</f>
        <v>50140212232551</v>
      </c>
      <c r="B756" s="30" t="str">
        <f ca="1">IFERROR(__xludf.DUMMYFUNCTION("""COMPUTED_VALUE"""),"CENTRO DE SALUD LA GRANJA")</f>
        <v>CENTRO DE SALUD LA GRANJA</v>
      </c>
      <c r="C756" s="30" t="str">
        <f ca="1">IFERROR(__xludf.DUMMYFUNCTION("""COMPUTED_VALUE"""),"Córdoba")</f>
        <v>Córdoba</v>
      </c>
      <c r="D756" s="30" t="str">
        <f ca="1">IFERROR(__xludf.DUMMYFUNCTION("""COMPUTED_VALUE"""),"14")</f>
        <v>14</v>
      </c>
      <c r="E756" s="30" t="str">
        <f ca="1">IFERROR(__xludf.DUMMYFUNCTION("""COMPUTED_VALUE"""),"")</f>
        <v/>
      </c>
      <c r="F756" s="29"/>
      <c r="G756" s="29"/>
      <c r="H756" s="30" t="str">
        <f ca="1">IFERROR(__xludf.DUMMYFUNCTION("""COMPUTED_VALUE"""),"activo")</f>
        <v>activo</v>
      </c>
      <c r="I756" s="29"/>
      <c r="J756" s="29"/>
      <c r="K756" s="29"/>
      <c r="L756" s="30" t="str">
        <f ca="1">IFERROR(__xludf.DUMMYFUNCTION("""COMPUTED_VALUE"""),"No")</f>
        <v>No</v>
      </c>
      <c r="M756" s="30" t="str">
        <f ca="1">IFERROR(__xludf.DUMMYFUNCTION("""COMPUTED_VALUE"""),"14021160000")</f>
        <v>14021160000</v>
      </c>
      <c r="N756" s="30" t="str">
        <f ca="1">IFERROR(__xludf.DUMMYFUNCTION("""COMPUTED_VALUE"""),"LA GRANJA")</f>
        <v>LA GRANJA</v>
      </c>
      <c r="O756" s="30" t="str">
        <f ca="1">IFERROR(__xludf.DUMMYFUNCTION("""COMPUTED_VALUE"""),"1421")</f>
        <v>1421</v>
      </c>
      <c r="P756" s="30" t="str">
        <f ca="1">IFERROR(__xludf.DUMMYFUNCTION("""COMPUTED_VALUE"""),"COLÓN")</f>
        <v>COLÓN</v>
      </c>
      <c r="Q756" s="30" t="str">
        <f ca="1">IFERROR(__xludf.DUMMYFUNCTION("""COMPUTED_VALUE"""),"-31.01616169")</f>
        <v>-31.01616169</v>
      </c>
      <c r="R756" s="30" t="str">
        <f ca="1">IFERROR(__xludf.DUMMYFUNCTION("""COMPUTED_VALUE"""),"-64.26521301")</f>
        <v>-64.26521301</v>
      </c>
      <c r="S756" s="30" t="str">
        <f ca="1">IFERROR(__xludf.DUMMYFUNCTION("""COMPUTED_VALUE"""),"Municipal")</f>
        <v>Municipal</v>
      </c>
      <c r="T756" s="29"/>
    </row>
    <row r="757" spans="1:20" ht="15.75" customHeight="1" x14ac:dyDescent="0.25">
      <c r="A757" s="30" t="str">
        <f ca="1">IFERROR(__xludf.DUMMYFUNCTION("""COMPUTED_VALUE"""),"50140212232975")</f>
        <v>50140212232975</v>
      </c>
      <c r="B757" s="30" t="str">
        <f ca="1">IFERROR(__xludf.DUMMYFUNCTION("""COMPUTED_VALUE"""),"CAPS MARIA C. BACTAGLIERO")</f>
        <v>CAPS MARIA C. BACTAGLIERO</v>
      </c>
      <c r="C757" s="30" t="str">
        <f ca="1">IFERROR(__xludf.DUMMYFUNCTION("""COMPUTED_VALUE"""),"Córdoba")</f>
        <v>Córdoba</v>
      </c>
      <c r="D757" s="30" t="str">
        <f ca="1">IFERROR(__xludf.DUMMYFUNCTION("""COMPUTED_VALUE"""),"14")</f>
        <v>14</v>
      </c>
      <c r="E757" s="30" t="str">
        <f ca="1">IFERROR(__xludf.DUMMYFUNCTION("""COMPUTED_VALUE"""),"")</f>
        <v/>
      </c>
      <c r="F757" s="29"/>
      <c r="G757" s="29"/>
      <c r="H757" s="30" t="str">
        <f ca="1">IFERROR(__xludf.DUMMYFUNCTION("""COMPUTED_VALUE"""),"activo")</f>
        <v>activo</v>
      </c>
      <c r="I757" s="29"/>
      <c r="J757" s="29"/>
      <c r="K757" s="29"/>
      <c r="L757" s="30" t="str">
        <f ca="1">IFERROR(__xludf.DUMMYFUNCTION("""COMPUTED_VALUE"""),"No")</f>
        <v>No</v>
      </c>
      <c r="M757" s="30" t="str">
        <f ca="1">IFERROR(__xludf.DUMMYFUNCTION("""COMPUTED_VALUE"""),"14021320001")</f>
        <v>14021320001</v>
      </c>
      <c r="N757" s="30" t="str">
        <f ca="1">IFERROR(__xludf.DUMMYFUNCTION("""COMPUTED_VALUE"""),"JUAREZ CELMAN")</f>
        <v>JUAREZ CELMAN</v>
      </c>
      <c r="O757" s="30" t="str">
        <f ca="1">IFERROR(__xludf.DUMMYFUNCTION("""COMPUTED_VALUE"""),"1421")</f>
        <v>1421</v>
      </c>
      <c r="P757" s="30" t="str">
        <f ca="1">IFERROR(__xludf.DUMMYFUNCTION("""COMPUTED_VALUE"""),"COLÓN")</f>
        <v>COLÓN</v>
      </c>
      <c r="Q757" s="30" t="str">
        <f ca="1">IFERROR(__xludf.DUMMYFUNCTION("""COMPUTED_VALUE"""),"-31.273683")</f>
        <v>-31.273683</v>
      </c>
      <c r="R757" s="30" t="str">
        <f ca="1">IFERROR(__xludf.DUMMYFUNCTION("""COMPUTED_VALUE"""),"-64.165143")</f>
        <v>-64.165143</v>
      </c>
      <c r="S757" s="30" t="str">
        <f ca="1">IFERROR(__xludf.DUMMYFUNCTION("""COMPUTED_VALUE"""),"Municipal")</f>
        <v>Municipal</v>
      </c>
      <c r="T757" s="29"/>
    </row>
    <row r="758" spans="1:20" ht="15.75" customHeight="1" x14ac:dyDescent="0.25">
      <c r="A758" s="30" t="str">
        <f ca="1">IFERROR(__xludf.DUMMYFUNCTION("""COMPUTED_VALUE"""),"50140282231454")</f>
        <v>50140282231454</v>
      </c>
      <c r="B758" s="30" t="str">
        <f ca="1">IFERROR(__xludf.DUMMYFUNCTION("""COMPUTED_VALUE"""),"CENTRO DE SALUD MUNICIPAL EDIFICIO CIC")</f>
        <v>CENTRO DE SALUD MUNICIPAL EDIFICIO CIC</v>
      </c>
      <c r="C758" s="30" t="str">
        <f ca="1">IFERROR(__xludf.DUMMYFUNCTION("""COMPUTED_VALUE"""),"Córdoba")</f>
        <v>Córdoba</v>
      </c>
      <c r="D758" s="30" t="str">
        <f ca="1">IFERROR(__xludf.DUMMYFUNCTION("""COMPUTED_VALUE"""),"14")</f>
        <v>14</v>
      </c>
      <c r="E758" s="30" t="str">
        <f ca="1">IFERROR(__xludf.DUMMYFUNCTION("""COMPUTED_VALUE"""),"si")</f>
        <v>si</v>
      </c>
      <c r="F758" s="29"/>
      <c r="G758" s="29"/>
      <c r="H758" s="30" t="str">
        <f ca="1">IFERROR(__xludf.DUMMYFUNCTION("""COMPUTED_VALUE"""),"activo")</f>
        <v>activo</v>
      </c>
      <c r="I758" s="29"/>
      <c r="J758" s="29"/>
      <c r="K758" s="29"/>
      <c r="L758" s="30" t="str">
        <f ca="1">IFERROR(__xludf.DUMMYFUNCTION("""COMPUTED_VALUE"""),"No")</f>
        <v>No</v>
      </c>
      <c r="M758" s="30" t="str">
        <f ca="1">IFERROR(__xludf.DUMMYFUNCTION("""COMPUTED_VALUE"""),"14028050000")</f>
        <v>14028050000</v>
      </c>
      <c r="N758" s="30" t="str">
        <f ca="1">IFERROR(__xludf.DUMMYFUNCTION("""COMPUTED_VALUE"""),"CRUZ DEL EJE")</f>
        <v>CRUZ DEL EJE</v>
      </c>
      <c r="O758" s="30" t="str">
        <f ca="1">IFERROR(__xludf.DUMMYFUNCTION("""COMPUTED_VALUE"""),"1428")</f>
        <v>1428</v>
      </c>
      <c r="P758" s="30" t="str">
        <f ca="1">IFERROR(__xludf.DUMMYFUNCTION("""COMPUTED_VALUE"""),"CRUZ DEL EJE")</f>
        <v>CRUZ DEL EJE</v>
      </c>
      <c r="Q758" s="30" t="str">
        <f ca="1">IFERROR(__xludf.DUMMYFUNCTION("""COMPUTED_VALUE"""),"-31.1281993")</f>
        <v>-31.1281993</v>
      </c>
      <c r="R758" s="30" t="str">
        <f ca="1">IFERROR(__xludf.DUMMYFUNCTION("""COMPUTED_VALUE"""),"-65.21484375")</f>
        <v>-65.21484375</v>
      </c>
      <c r="S758" s="30" t="str">
        <f ca="1">IFERROR(__xludf.DUMMYFUNCTION("""COMPUTED_VALUE"""),"Municipal")</f>
        <v>Municipal</v>
      </c>
      <c r="T758" s="29"/>
    </row>
    <row r="759" spans="1:20" ht="15.75" customHeight="1" x14ac:dyDescent="0.25">
      <c r="A759" s="30" t="str">
        <f ca="1">IFERROR(__xludf.DUMMYFUNCTION("""COMPUTED_VALUE"""),"50140282232395")</f>
        <v>50140282232395</v>
      </c>
      <c r="B759" s="30" t="str">
        <f ca="1">IFERROR(__xludf.DUMMYFUNCTION("""COMPUTED_VALUE"""),"DISPENSARIO MUNICIPAL LA RINCONADA")</f>
        <v>DISPENSARIO MUNICIPAL LA RINCONADA</v>
      </c>
      <c r="C759" s="30" t="str">
        <f ca="1">IFERROR(__xludf.DUMMYFUNCTION("""COMPUTED_VALUE"""),"Córdoba")</f>
        <v>Córdoba</v>
      </c>
      <c r="D759" s="30" t="str">
        <f ca="1">IFERROR(__xludf.DUMMYFUNCTION("""COMPUTED_VALUE"""),"14")</f>
        <v>14</v>
      </c>
      <c r="E759" s="30" t="str">
        <f ca="1">IFERROR(__xludf.DUMMYFUNCTION("""COMPUTED_VALUE"""),"")</f>
        <v/>
      </c>
      <c r="F759" s="29"/>
      <c r="G759" s="29"/>
      <c r="H759" s="30" t="str">
        <f ca="1">IFERROR(__xludf.DUMMYFUNCTION("""COMPUTED_VALUE"""),"inactivo")</f>
        <v>inactivo</v>
      </c>
      <c r="I759" s="29"/>
      <c r="J759" s="29"/>
      <c r="K759" s="29"/>
      <c r="L759" s="30" t="str">
        <f ca="1">IFERROR(__xludf.DUMMYFUNCTION("""COMPUTED_VALUE"""),"No")</f>
        <v>No</v>
      </c>
      <c r="M759" s="30" t="str">
        <f ca="1">IFERROR(__xludf.DUMMYFUNCTION("""COMPUTED_VALUE"""),"14028050000")</f>
        <v>14028050000</v>
      </c>
      <c r="N759" s="30" t="str">
        <f ca="1">IFERROR(__xludf.DUMMYFUNCTION("""COMPUTED_VALUE"""),"CRUZ DEL EJE")</f>
        <v>CRUZ DEL EJE</v>
      </c>
      <c r="O759" s="30" t="str">
        <f ca="1">IFERROR(__xludf.DUMMYFUNCTION("""COMPUTED_VALUE"""),"1428")</f>
        <v>1428</v>
      </c>
      <c r="P759" s="30" t="str">
        <f ca="1">IFERROR(__xludf.DUMMYFUNCTION("""COMPUTED_VALUE"""),"CRUZ DEL EJE")</f>
        <v>CRUZ DEL EJE</v>
      </c>
      <c r="Q759" s="30" t="str">
        <f ca="1">IFERROR(__xludf.DUMMYFUNCTION("""COMPUTED_VALUE"""),"-30.71999741")</f>
        <v>-30.71999741</v>
      </c>
      <c r="R759" s="30" t="str">
        <f ca="1">IFERROR(__xludf.DUMMYFUNCTION("""COMPUTED_VALUE"""),"-64.81109619")</f>
        <v>-64.81109619</v>
      </c>
      <c r="S759" s="30" t="str">
        <f ca="1">IFERROR(__xludf.DUMMYFUNCTION("""COMPUTED_VALUE"""),"Municipal")</f>
        <v>Municipal</v>
      </c>
      <c r="T759" s="29"/>
    </row>
    <row r="760" spans="1:20" ht="15.75" customHeight="1" x14ac:dyDescent="0.25">
      <c r="A760" s="30" t="str">
        <f ca="1">IFERROR(__xludf.DUMMYFUNCTION("""COMPUTED_VALUE"""),"50140422231531")</f>
        <v>50140422231531</v>
      </c>
      <c r="B760" s="30" t="str">
        <f ca="1">IFERROR(__xludf.DUMMYFUNCTION("""COMPUTED_VALUE"""),"DISPENSARIO MUNICIPAL DE TIO PUJIO")</f>
        <v>DISPENSARIO MUNICIPAL DE TIO PUJIO</v>
      </c>
      <c r="C760" s="30" t="str">
        <f ca="1">IFERROR(__xludf.DUMMYFUNCTION("""COMPUTED_VALUE"""),"Córdoba")</f>
        <v>Córdoba</v>
      </c>
      <c r="D760" s="30" t="str">
        <f ca="1">IFERROR(__xludf.DUMMYFUNCTION("""COMPUTED_VALUE"""),"14")</f>
        <v>14</v>
      </c>
      <c r="E760" s="30" t="str">
        <f ca="1">IFERROR(__xludf.DUMMYFUNCTION("""COMPUTED_VALUE"""),"")</f>
        <v/>
      </c>
      <c r="F760" s="29"/>
      <c r="G760" s="29"/>
      <c r="H760" s="30" t="str">
        <f ca="1">IFERROR(__xludf.DUMMYFUNCTION("""COMPUTED_VALUE"""),"inactivo")</f>
        <v>inactivo</v>
      </c>
      <c r="I760" s="29"/>
      <c r="J760" s="29"/>
      <c r="K760" s="29"/>
      <c r="L760" s="30" t="str">
        <f ca="1">IFERROR(__xludf.DUMMYFUNCTION("""COMPUTED_VALUE"""),"No")</f>
        <v>No</v>
      </c>
      <c r="M760" s="30" t="str">
        <f ca="1">IFERROR(__xludf.DUMMYFUNCTION("""COMPUTED_VALUE"""),"14042150000")</f>
        <v>14042150000</v>
      </c>
      <c r="N760" s="30" t="str">
        <f ca="1">IFERROR(__xludf.DUMMYFUNCTION("""COMPUTED_VALUE"""),"TIO PUJIO")</f>
        <v>TIO PUJIO</v>
      </c>
      <c r="O760" s="30" t="str">
        <f ca="1">IFERROR(__xludf.DUMMYFUNCTION("""COMPUTED_VALUE"""),"1442")</f>
        <v>1442</v>
      </c>
      <c r="P760" s="30" t="str">
        <f ca="1">IFERROR(__xludf.DUMMYFUNCTION("""COMPUTED_VALUE"""),"GENERAL SAN MARTÍN")</f>
        <v>GENERAL SAN MARTÍN</v>
      </c>
      <c r="Q760" s="30" t="str">
        <f ca="1">IFERROR(__xludf.DUMMYFUNCTION("""COMPUTED_VALUE"""),"-32.289416")</f>
        <v>-32.289416</v>
      </c>
      <c r="R760" s="30" t="str">
        <f ca="1">IFERROR(__xludf.DUMMYFUNCTION("""COMPUTED_VALUE"""),"-63.351175")</f>
        <v>-63.351175</v>
      </c>
      <c r="S760" s="30" t="str">
        <f ca="1">IFERROR(__xludf.DUMMYFUNCTION("""COMPUTED_VALUE"""),"Municipal")</f>
        <v>Municipal</v>
      </c>
      <c r="T760" s="29"/>
    </row>
    <row r="761" spans="1:20" ht="15.75" customHeight="1" x14ac:dyDescent="0.25">
      <c r="A761" s="30" t="str">
        <f ca="1">IFERROR(__xludf.DUMMYFUNCTION("""COMPUTED_VALUE"""),"50140912231439")</f>
        <v>50140912231439</v>
      </c>
      <c r="B761" s="30" t="str">
        <f ca="1">IFERROR(__xludf.DUMMYFUNCTION("""COMPUTED_VALUE"""),"CENTRO DE SALUD DR. JOSE ANEINE")</f>
        <v>CENTRO DE SALUD DR. JOSE ANEINE</v>
      </c>
      <c r="C761" s="30" t="str">
        <f ca="1">IFERROR(__xludf.DUMMYFUNCTION("""COMPUTED_VALUE"""),"Córdoba")</f>
        <v>Córdoba</v>
      </c>
      <c r="D761" s="30" t="str">
        <f ca="1">IFERROR(__xludf.DUMMYFUNCTION("""COMPUTED_VALUE"""),"14")</f>
        <v>14</v>
      </c>
      <c r="E761" s="30" t="str">
        <f ca="1">IFERROR(__xludf.DUMMYFUNCTION("""COMPUTED_VALUE"""),"")</f>
        <v/>
      </c>
      <c r="F761" s="29"/>
      <c r="G761" s="29"/>
      <c r="H761" s="30" t="str">
        <f ca="1">IFERROR(__xludf.DUMMYFUNCTION("""COMPUTED_VALUE"""),"activo")</f>
        <v>activo</v>
      </c>
      <c r="I761" s="29"/>
      <c r="J761" s="29"/>
      <c r="K761" s="29"/>
      <c r="L761" s="30" t="str">
        <f ca="1">IFERROR(__xludf.DUMMYFUNCTION("""COMPUTED_VALUE"""),"No")</f>
        <v>No</v>
      </c>
      <c r="M761" s="30" t="str">
        <f ca="1">IFERROR(__xludf.DUMMYFUNCTION("""COMPUTED_VALUE"""),"14091230000")</f>
        <v>14091230000</v>
      </c>
      <c r="N761" s="30" t="str">
        <f ca="1">IFERROR(__xludf.DUMMYFUNCTION("""COMPUTED_VALUE"""),"TANTI")</f>
        <v>TANTI</v>
      </c>
      <c r="O761" s="30" t="str">
        <f ca="1">IFERROR(__xludf.DUMMYFUNCTION("""COMPUTED_VALUE"""),"1491")</f>
        <v>1491</v>
      </c>
      <c r="P761" s="30" t="str">
        <f ca="1">IFERROR(__xludf.DUMMYFUNCTION("""COMPUTED_VALUE"""),"PUNILLA")</f>
        <v>PUNILLA</v>
      </c>
      <c r="Q761" s="30" t="str">
        <f ca="1">IFERROR(__xludf.DUMMYFUNCTION("""COMPUTED_VALUE"""),"-31.359545")</f>
        <v>-31.359545</v>
      </c>
      <c r="R761" s="30" t="str">
        <f ca="1">IFERROR(__xludf.DUMMYFUNCTION("""COMPUTED_VALUE"""),"-64.596511")</f>
        <v>-64.596511</v>
      </c>
      <c r="S761" s="30" t="str">
        <f ca="1">IFERROR(__xludf.DUMMYFUNCTION("""COMPUTED_VALUE"""),"Municipal")</f>
        <v>Municipal</v>
      </c>
      <c r="T761" s="29"/>
    </row>
    <row r="762" spans="1:20" ht="15.75" customHeight="1" x14ac:dyDescent="0.25">
      <c r="A762" s="30" t="str">
        <f ca="1">IFERROR(__xludf.DUMMYFUNCTION("""COMPUTED_VALUE"""),"50140912231968")</f>
        <v>50140912231968</v>
      </c>
      <c r="B762" s="30" t="str">
        <f ca="1">IFERROR(__xludf.DUMMYFUNCTION("""COMPUTED_VALUE"""),"DISPENSARIO BIALET MASSE")</f>
        <v>DISPENSARIO BIALET MASSE</v>
      </c>
      <c r="C762" s="30" t="str">
        <f ca="1">IFERROR(__xludf.DUMMYFUNCTION("""COMPUTED_VALUE"""),"Córdoba")</f>
        <v>Córdoba</v>
      </c>
      <c r="D762" s="30" t="str">
        <f ca="1">IFERROR(__xludf.DUMMYFUNCTION("""COMPUTED_VALUE"""),"14")</f>
        <v>14</v>
      </c>
      <c r="E762" s="30" t="str">
        <f ca="1">IFERROR(__xludf.DUMMYFUNCTION("""COMPUTED_VALUE"""),"")</f>
        <v/>
      </c>
      <c r="F762" s="29"/>
      <c r="G762" s="29"/>
      <c r="H762" s="30" t="str">
        <f ca="1">IFERROR(__xludf.DUMMYFUNCTION("""COMPUTED_VALUE"""),"inactivo")</f>
        <v>inactivo</v>
      </c>
      <c r="I762" s="29"/>
      <c r="J762" s="29"/>
      <c r="K762" s="29"/>
      <c r="L762" s="30" t="str">
        <f ca="1">IFERROR(__xludf.DUMMYFUNCTION("""COMPUTED_VALUE"""),"No")</f>
        <v>No</v>
      </c>
      <c r="M762" s="30" t="str">
        <f ca="1">IFERROR(__xludf.DUMMYFUNCTION("""COMPUTED_VALUE"""),"14091020000")</f>
        <v>14091020000</v>
      </c>
      <c r="N762" s="30" t="str">
        <f ca="1">IFERROR(__xludf.DUMMYFUNCTION("""COMPUTED_VALUE"""),"BIALET MASSE")</f>
        <v>BIALET MASSE</v>
      </c>
      <c r="O762" s="30" t="str">
        <f ca="1">IFERROR(__xludf.DUMMYFUNCTION("""COMPUTED_VALUE"""),"1491")</f>
        <v>1491</v>
      </c>
      <c r="P762" s="30" t="str">
        <f ca="1">IFERROR(__xludf.DUMMYFUNCTION("""COMPUTED_VALUE"""),"PUNILLA")</f>
        <v>PUNILLA</v>
      </c>
      <c r="Q762" s="30" t="str">
        <f ca="1">IFERROR(__xludf.DUMMYFUNCTION("""COMPUTED_VALUE"""),"-31.29974821")</f>
        <v>-31.29974821</v>
      </c>
      <c r="R762" s="30" t="str">
        <f ca="1">IFERROR(__xludf.DUMMYFUNCTION("""COMPUTED_VALUE"""),"-64.46631432")</f>
        <v>-64.46631432</v>
      </c>
      <c r="S762" s="30" t="str">
        <f ca="1">IFERROR(__xludf.DUMMYFUNCTION("""COMPUTED_VALUE"""),"Municipal")</f>
        <v>Municipal</v>
      </c>
      <c r="T762" s="29"/>
    </row>
    <row r="763" spans="1:20" ht="15.75" customHeight="1" x14ac:dyDescent="0.25">
      <c r="A763" s="30" t="str">
        <f ca="1">IFERROR(__xludf.DUMMYFUNCTION("""COMPUTED_VALUE"""),"50140912231994")</f>
        <v>50140912231994</v>
      </c>
      <c r="B763" s="30" t="str">
        <f ca="1">IFERROR(__xludf.DUMMYFUNCTION("""COMPUTED_VALUE"""),"DISPENSARIO SAN ANTONIO DE ARREDONDO")</f>
        <v>DISPENSARIO SAN ANTONIO DE ARREDONDO</v>
      </c>
      <c r="C763" s="30" t="str">
        <f ca="1">IFERROR(__xludf.DUMMYFUNCTION("""COMPUTED_VALUE"""),"Córdoba")</f>
        <v>Córdoba</v>
      </c>
      <c r="D763" s="30" t="str">
        <f ca="1">IFERROR(__xludf.DUMMYFUNCTION("""COMPUTED_VALUE"""),"14")</f>
        <v>14</v>
      </c>
      <c r="E763" s="30" t="str">
        <f ca="1">IFERROR(__xludf.DUMMYFUNCTION("""COMPUTED_VALUE"""),"")</f>
        <v/>
      </c>
      <c r="F763" s="29"/>
      <c r="G763" s="29"/>
      <c r="H763" s="30" t="str">
        <f ca="1">IFERROR(__xludf.DUMMYFUNCTION("""COMPUTED_VALUE"""),"inactivo")</f>
        <v>inactivo</v>
      </c>
      <c r="I763" s="29"/>
      <c r="J763" s="29"/>
      <c r="K763" s="29"/>
      <c r="L763" s="30" t="str">
        <f ca="1">IFERROR(__xludf.DUMMYFUNCTION("""COMPUTED_VALUE"""),"No")</f>
        <v>No</v>
      </c>
      <c r="M763" s="30" t="str">
        <f ca="1">IFERROR(__xludf.DUMMYFUNCTION("""COMPUTED_VALUE"""),"14091180000")</f>
        <v>14091180000</v>
      </c>
      <c r="N763" s="30" t="str">
        <f ca="1">IFERROR(__xludf.DUMMYFUNCTION("""COMPUTED_VALUE"""),"SAN ANTONIO DE ARREDONDO")</f>
        <v>SAN ANTONIO DE ARREDONDO</v>
      </c>
      <c r="O763" s="30" t="str">
        <f ca="1">IFERROR(__xludf.DUMMYFUNCTION("""COMPUTED_VALUE"""),"1491")</f>
        <v>1491</v>
      </c>
      <c r="P763" s="30" t="str">
        <f ca="1">IFERROR(__xludf.DUMMYFUNCTION("""COMPUTED_VALUE"""),"PUNILLA")</f>
        <v>PUNILLA</v>
      </c>
      <c r="Q763" s="30" t="str">
        <f ca="1">IFERROR(__xludf.DUMMYFUNCTION("""COMPUTED_VALUE"""),"-31.48416144")</f>
        <v>-31.48416144</v>
      </c>
      <c r="R763" s="30" t="str">
        <f ca="1">IFERROR(__xludf.DUMMYFUNCTION("""COMPUTED_VALUE"""),"-64.5230484")</f>
        <v>-64.5230484</v>
      </c>
      <c r="S763" s="30" t="str">
        <f ca="1">IFERROR(__xludf.DUMMYFUNCTION("""COMPUTED_VALUE"""),"Municipal")</f>
        <v>Municipal</v>
      </c>
      <c r="T763" s="29"/>
    </row>
    <row r="764" spans="1:20" ht="15.75" customHeight="1" x14ac:dyDescent="0.25">
      <c r="A764" s="30" t="str">
        <f ca="1">IFERROR(__xludf.DUMMYFUNCTION("""COMPUTED_VALUE"""),"50140912232002")</f>
        <v>50140912232002</v>
      </c>
      <c r="B764" s="30" t="str">
        <f ca="1">IFERROR(__xludf.DUMMYFUNCTION("""COMPUTED_VALUE"""),"DISPENSARIO SANTO DOMINGO SAVIO")</f>
        <v>DISPENSARIO SANTO DOMINGO SAVIO</v>
      </c>
      <c r="C764" s="30" t="str">
        <f ca="1">IFERROR(__xludf.DUMMYFUNCTION("""COMPUTED_VALUE"""),"Córdoba")</f>
        <v>Córdoba</v>
      </c>
      <c r="D764" s="30" t="str">
        <f ca="1">IFERROR(__xludf.DUMMYFUNCTION("""COMPUTED_VALUE"""),"14")</f>
        <v>14</v>
      </c>
      <c r="E764" s="30" t="str">
        <f ca="1">IFERROR(__xludf.DUMMYFUNCTION("""COMPUTED_VALUE"""),"")</f>
        <v/>
      </c>
      <c r="F764" s="29"/>
      <c r="G764" s="29"/>
      <c r="H764" s="30" t="str">
        <f ca="1">IFERROR(__xludf.DUMMYFUNCTION("""COMPUTED_VALUE"""),"activo")</f>
        <v>activo</v>
      </c>
      <c r="I764" s="29"/>
      <c r="J764" s="29"/>
      <c r="K764" s="29"/>
      <c r="L764" s="30" t="str">
        <f ca="1">IFERROR(__xludf.DUMMYFUNCTION("""COMPUTED_VALUE"""),"No")</f>
        <v>No</v>
      </c>
      <c r="M764" s="30" t="str">
        <f ca="1">IFERROR(__xludf.DUMMYFUNCTION("""COMPUTED_VALUE"""),"14091210000")</f>
        <v>14091210000</v>
      </c>
      <c r="N764" s="30" t="str">
        <f ca="1">IFERROR(__xludf.DUMMYFUNCTION("""COMPUTED_VALUE"""),"SANTA MARIA DE PUNILLA")</f>
        <v>SANTA MARIA DE PUNILLA</v>
      </c>
      <c r="O764" s="30" t="str">
        <f ca="1">IFERROR(__xludf.DUMMYFUNCTION("""COMPUTED_VALUE"""),"1491")</f>
        <v>1491</v>
      </c>
      <c r="P764" s="30" t="str">
        <f ca="1">IFERROR(__xludf.DUMMYFUNCTION("""COMPUTED_VALUE"""),"PUNILLA")</f>
        <v>PUNILLA</v>
      </c>
      <c r="Q764" s="30" t="str">
        <f ca="1">IFERROR(__xludf.DUMMYFUNCTION("""COMPUTED_VALUE"""),"-31.26637306")</f>
        <v>-31.26637306</v>
      </c>
      <c r="R764" s="30" t="str">
        <f ca="1">IFERROR(__xludf.DUMMYFUNCTION("""COMPUTED_VALUE"""),"-64.46532726")</f>
        <v>-64.46532726</v>
      </c>
      <c r="S764" s="30" t="str">
        <f ca="1">IFERROR(__xludf.DUMMYFUNCTION("""COMPUTED_VALUE"""),"Municipal")</f>
        <v>Municipal</v>
      </c>
      <c r="T764" s="29"/>
    </row>
    <row r="765" spans="1:20" ht="15.75" customHeight="1" x14ac:dyDescent="0.25">
      <c r="A765" s="30" t="str">
        <f ca="1">IFERROR(__xludf.DUMMYFUNCTION("""COMPUTED_VALUE"""),"50140912232010")</f>
        <v>50140912232010</v>
      </c>
      <c r="B765" s="30" t="str">
        <f ca="1">IFERROR(__xludf.DUMMYFUNCTION("""COMPUTED_VALUE"""),"DISPENSARIO EVA PERON")</f>
        <v>DISPENSARIO EVA PERON</v>
      </c>
      <c r="C765" s="30" t="str">
        <f ca="1">IFERROR(__xludf.DUMMYFUNCTION("""COMPUTED_VALUE"""),"Córdoba")</f>
        <v>Córdoba</v>
      </c>
      <c r="D765" s="30" t="str">
        <f ca="1">IFERROR(__xludf.DUMMYFUNCTION("""COMPUTED_VALUE"""),"14")</f>
        <v>14</v>
      </c>
      <c r="E765" s="30" t="str">
        <f ca="1">IFERROR(__xludf.DUMMYFUNCTION("""COMPUTED_VALUE"""),"")</f>
        <v/>
      </c>
      <c r="F765" s="29"/>
      <c r="G765" s="29"/>
      <c r="H765" s="30" t="str">
        <f ca="1">IFERROR(__xludf.DUMMYFUNCTION("""COMPUTED_VALUE"""),"activo")</f>
        <v>activo</v>
      </c>
      <c r="I765" s="29"/>
      <c r="J765" s="29"/>
      <c r="K765" s="29"/>
      <c r="L765" s="30" t="str">
        <f ca="1">IFERROR(__xludf.DUMMYFUNCTION("""COMPUTED_VALUE"""),"No")</f>
        <v>No</v>
      </c>
      <c r="M765" s="30" t="str">
        <f ca="1">IFERROR(__xludf.DUMMYFUNCTION("""COMPUTED_VALUE"""),"14091240000")</f>
        <v>14091240000</v>
      </c>
      <c r="N765" s="30" t="str">
        <f ca="1">IFERROR(__xludf.DUMMYFUNCTION("""COMPUTED_VALUE"""),"VALLE HERMOSO")</f>
        <v>VALLE HERMOSO</v>
      </c>
      <c r="O765" s="30" t="str">
        <f ca="1">IFERROR(__xludf.DUMMYFUNCTION("""COMPUTED_VALUE"""),"1491")</f>
        <v>1491</v>
      </c>
      <c r="P765" s="30" t="str">
        <f ca="1">IFERROR(__xludf.DUMMYFUNCTION("""COMPUTED_VALUE"""),"PUNILLA")</f>
        <v>PUNILLA</v>
      </c>
      <c r="Q765" s="30" t="str">
        <f ca="1">IFERROR(__xludf.DUMMYFUNCTION("""COMPUTED_VALUE"""),"-31.092004")</f>
        <v>-31.092004</v>
      </c>
      <c r="R765" s="30" t="str">
        <f ca="1">IFERROR(__xludf.DUMMYFUNCTION("""COMPUTED_VALUE"""),"-64.48618")</f>
        <v>-64.48618</v>
      </c>
      <c r="S765" s="30" t="str">
        <f ca="1">IFERROR(__xludf.DUMMYFUNCTION("""COMPUTED_VALUE"""),"Municipal")</f>
        <v>Municipal</v>
      </c>
      <c r="T765" s="29"/>
    </row>
    <row r="766" spans="1:20" ht="15.75" customHeight="1" x14ac:dyDescent="0.25">
      <c r="A766" s="30" t="str">
        <f ca="1">IFERROR(__xludf.DUMMYFUNCTION("""COMPUTED_VALUE"""),"50140912232026")</f>
        <v>50140912232026</v>
      </c>
      <c r="B766" s="30" t="str">
        <f ca="1">IFERROR(__xludf.DUMMYFUNCTION("""COMPUTED_VALUE"""),"CENTRO DE SALUD BARRIO COLINAS")</f>
        <v>CENTRO DE SALUD BARRIO COLINAS</v>
      </c>
      <c r="C766" s="30" t="str">
        <f ca="1">IFERROR(__xludf.DUMMYFUNCTION("""COMPUTED_VALUE"""),"Córdoba")</f>
        <v>Córdoba</v>
      </c>
      <c r="D766" s="30" t="str">
        <f ca="1">IFERROR(__xludf.DUMMYFUNCTION("""COMPUTED_VALUE"""),"14")</f>
        <v>14</v>
      </c>
      <c r="E766" s="30" t="str">
        <f ca="1">IFERROR(__xludf.DUMMYFUNCTION("""COMPUTED_VALUE"""),"")</f>
        <v/>
      </c>
      <c r="F766" s="29"/>
      <c r="G766" s="29"/>
      <c r="H766" s="30" t="str">
        <f ca="1">IFERROR(__xludf.DUMMYFUNCTION("""COMPUTED_VALUE"""),"activo")</f>
        <v>activo</v>
      </c>
      <c r="I766" s="29"/>
      <c r="J766" s="29"/>
      <c r="K766" s="29"/>
      <c r="L766" s="30" t="str">
        <f ca="1">IFERROR(__xludf.DUMMYFUNCTION("""COMPUTED_VALUE"""),"No")</f>
        <v>No</v>
      </c>
      <c r="M766" s="30" t="str">
        <f ca="1">IFERROR(__xludf.DUMMYFUNCTION("""COMPUTED_VALUE"""),"14091250000")</f>
        <v>14091250000</v>
      </c>
      <c r="N766" s="30" t="str">
        <f ca="1">IFERROR(__xludf.DUMMYFUNCTION("""COMPUTED_VALUE"""),"VILLA CARLOS PAZ")</f>
        <v>VILLA CARLOS PAZ</v>
      </c>
      <c r="O766" s="30" t="str">
        <f ca="1">IFERROR(__xludf.DUMMYFUNCTION("""COMPUTED_VALUE"""),"1491")</f>
        <v>1491</v>
      </c>
      <c r="P766" s="30" t="str">
        <f ca="1">IFERROR(__xludf.DUMMYFUNCTION("""COMPUTED_VALUE"""),"PUNILLA")</f>
        <v>PUNILLA</v>
      </c>
      <c r="Q766" s="30" t="str">
        <f ca="1">IFERROR(__xludf.DUMMYFUNCTION("""COMPUTED_VALUE"""),"-31.417285")</f>
        <v>-31.417285</v>
      </c>
      <c r="R766" s="30" t="str">
        <f ca="1">IFERROR(__xludf.DUMMYFUNCTION("""COMPUTED_VALUE"""),"-64.493924")</f>
        <v>-64.493924</v>
      </c>
      <c r="S766" s="30" t="str">
        <f ca="1">IFERROR(__xludf.DUMMYFUNCTION("""COMPUTED_VALUE"""),"Municipal")</f>
        <v>Municipal</v>
      </c>
      <c r="T766" s="29"/>
    </row>
    <row r="767" spans="1:20" ht="15.75" customHeight="1" x14ac:dyDescent="0.25">
      <c r="A767" s="30" t="str">
        <f ca="1">IFERROR(__xludf.DUMMYFUNCTION("""COMPUTED_VALUE"""),"50140912232032")</f>
        <v>50140912232032</v>
      </c>
      <c r="B767" s="30" t="str">
        <f ca="1">IFERROR(__xludf.DUMMYFUNCTION("""COMPUTED_VALUE"""),"CENTRO DE SALUD JUANA MICONO")</f>
        <v>CENTRO DE SALUD JUANA MICONO</v>
      </c>
      <c r="C767" s="30" t="str">
        <f ca="1">IFERROR(__xludf.DUMMYFUNCTION("""COMPUTED_VALUE"""),"Córdoba")</f>
        <v>Córdoba</v>
      </c>
      <c r="D767" s="30" t="str">
        <f ca="1">IFERROR(__xludf.DUMMYFUNCTION("""COMPUTED_VALUE"""),"14")</f>
        <v>14</v>
      </c>
      <c r="E767" s="30" t="str">
        <f ca="1">IFERROR(__xludf.DUMMYFUNCTION("""COMPUTED_VALUE"""),"")</f>
        <v/>
      </c>
      <c r="F767" s="29"/>
      <c r="G767" s="29"/>
      <c r="H767" s="30" t="str">
        <f ca="1">IFERROR(__xludf.DUMMYFUNCTION("""COMPUTED_VALUE"""),"inactivo")</f>
        <v>inactivo</v>
      </c>
      <c r="I767" s="29"/>
      <c r="J767" s="29"/>
      <c r="K767" s="29"/>
      <c r="L767" s="30" t="str">
        <f ca="1">IFERROR(__xludf.DUMMYFUNCTION("""COMPUTED_VALUE"""),"No")</f>
        <v>No</v>
      </c>
      <c r="M767" s="30" t="str">
        <f ca="1">IFERROR(__xludf.DUMMYFUNCTION("""COMPUTED_VALUE"""),"14091270000")</f>
        <v>14091270000</v>
      </c>
      <c r="N767" s="30" t="str">
        <f ca="1">IFERROR(__xludf.DUMMYFUNCTION("""COMPUTED_VALUE"""),"VILLA GIARDINO")</f>
        <v>VILLA GIARDINO</v>
      </c>
      <c r="O767" s="30" t="str">
        <f ca="1">IFERROR(__xludf.DUMMYFUNCTION("""COMPUTED_VALUE"""),"1491")</f>
        <v>1491</v>
      </c>
      <c r="P767" s="30" t="str">
        <f ca="1">IFERROR(__xludf.DUMMYFUNCTION("""COMPUTED_VALUE"""),"PUNILLA")</f>
        <v>PUNILLA</v>
      </c>
      <c r="Q767" s="30" t="str">
        <f ca="1">IFERROR(__xludf.DUMMYFUNCTION("""COMPUTED_VALUE"""),"-31.047707")</f>
        <v>-31.047707</v>
      </c>
      <c r="R767" s="30" t="str">
        <f ca="1">IFERROR(__xludf.DUMMYFUNCTION("""COMPUTED_VALUE"""),"-64.488131")</f>
        <v>-64.488131</v>
      </c>
      <c r="S767" s="30" t="str">
        <f ca="1">IFERROR(__xludf.DUMMYFUNCTION("""COMPUTED_VALUE"""),"Municipal")</f>
        <v>Municipal</v>
      </c>
      <c r="T767" s="29"/>
    </row>
    <row r="768" spans="1:20" ht="15.75" customHeight="1" x14ac:dyDescent="0.25">
      <c r="A768" s="30" t="str">
        <f ca="1">IFERROR(__xludf.DUMMYFUNCTION("""COMPUTED_VALUE"""),"10141612231234")</f>
        <v>10141612231234</v>
      </c>
      <c r="B768" s="30" t="str">
        <f ca="1">IFERROR(__xludf.DUMMYFUNCTION("""COMPUTED_VALUE"""),"HOSPITAL MUNICIPAL TANCACHA")</f>
        <v>HOSPITAL MUNICIPAL TANCACHA</v>
      </c>
      <c r="C768" s="30" t="str">
        <f ca="1">IFERROR(__xludf.DUMMYFUNCTION("""COMPUTED_VALUE"""),"Córdoba")</f>
        <v>Córdoba</v>
      </c>
      <c r="D768" s="30" t="str">
        <f ca="1">IFERROR(__xludf.DUMMYFUNCTION("""COMPUTED_VALUE"""),"14")</f>
        <v>14</v>
      </c>
      <c r="E768" s="30" t="str">
        <f ca="1">IFERROR(__xludf.DUMMYFUNCTION("""COMPUTED_VALUE"""),"")</f>
        <v/>
      </c>
      <c r="F768" s="29"/>
      <c r="G768" s="29"/>
      <c r="H768" s="30" t="str">
        <f ca="1">IFERROR(__xludf.DUMMYFUNCTION("""COMPUTED_VALUE"""),"activo")</f>
        <v>activo</v>
      </c>
      <c r="I768" s="30" t="str">
        <f ca="1">IFERROR(__xludf.DUMMYFUNCTION("""COMPUTED_VALUE"""),"incluido en la circular nro 2")</f>
        <v>incluido en la circular nro 2</v>
      </c>
      <c r="J768" s="29"/>
      <c r="K768" s="29"/>
      <c r="L768" s="30" t="str">
        <f ca="1">IFERROR(__xludf.DUMMYFUNCTION("""COMPUTED_VALUE"""),"No")</f>
        <v>No</v>
      </c>
      <c r="M768" s="30" t="str">
        <f ca="1">IFERROR(__xludf.DUMMYFUNCTION("""COMPUTED_VALUE"""),"14161160000")</f>
        <v>14161160000</v>
      </c>
      <c r="N768" s="30" t="str">
        <f ca="1">IFERROR(__xludf.DUMMYFUNCTION("""COMPUTED_VALUE"""),"TANCACHA")</f>
        <v>TANCACHA</v>
      </c>
      <c r="O768" s="30" t="str">
        <f ca="1">IFERROR(__xludf.DUMMYFUNCTION("""COMPUTED_VALUE"""),"14161")</f>
        <v>14161</v>
      </c>
      <c r="P768" s="30" t="str">
        <f ca="1">IFERROR(__xludf.DUMMYFUNCTION("""COMPUTED_VALUE"""),"TERCERO ARRIBA")</f>
        <v>TERCERO ARRIBA</v>
      </c>
      <c r="Q768" s="30" t="str">
        <f ca="1">IFERROR(__xludf.DUMMYFUNCTION("""COMPUTED_VALUE"""),"-32.244337")</f>
        <v>-32.244337</v>
      </c>
      <c r="R768" s="30" t="str">
        <f ca="1">IFERROR(__xludf.DUMMYFUNCTION("""COMPUTED_VALUE"""),"-63.981857")</f>
        <v>-63.981857</v>
      </c>
      <c r="S768" s="30" t="str">
        <f ca="1">IFERROR(__xludf.DUMMYFUNCTION("""COMPUTED_VALUE"""),"Municipal")</f>
        <v>Municipal</v>
      </c>
      <c r="T768" s="29"/>
    </row>
    <row r="769" spans="1:20" ht="15.75" customHeight="1" x14ac:dyDescent="0.25">
      <c r="A769" s="30" t="str">
        <f ca="1">IFERROR(__xludf.DUMMYFUNCTION("""COMPUTED_VALUE"""),"50141332231845")</f>
        <v>50141332231845</v>
      </c>
      <c r="B769" s="30" t="str">
        <f ca="1">IFERROR(__xludf.DUMMYFUNCTION("""COMPUTED_VALUE"""),"DISPENSARIO BARRIO SUR")</f>
        <v>DISPENSARIO BARRIO SUR</v>
      </c>
      <c r="C769" s="30" t="str">
        <f ca="1">IFERROR(__xludf.DUMMYFUNCTION("""COMPUTED_VALUE"""),"Córdoba")</f>
        <v>Córdoba</v>
      </c>
      <c r="D769" s="30" t="str">
        <f ca="1">IFERROR(__xludf.DUMMYFUNCTION("""COMPUTED_VALUE"""),"14")</f>
        <v>14</v>
      </c>
      <c r="E769" s="30" t="str">
        <f ca="1">IFERROR(__xludf.DUMMYFUNCTION("""COMPUTED_VALUE"""),"")</f>
        <v/>
      </c>
      <c r="F769" s="29"/>
      <c r="G769" s="29"/>
      <c r="H769" s="30" t="str">
        <f ca="1">IFERROR(__xludf.DUMMYFUNCTION("""COMPUTED_VALUE"""),"activo")</f>
        <v>activo</v>
      </c>
      <c r="I769" s="30" t="str">
        <f ca="1">IFERROR(__xludf.DUMMYFUNCTION("""COMPUTED_VALUE"""),"incluido en la circular nro 2")</f>
        <v>incluido en la circular nro 2</v>
      </c>
      <c r="J769" s="29"/>
      <c r="K769" s="29"/>
      <c r="L769" s="30" t="str">
        <f ca="1">IFERROR(__xludf.DUMMYFUNCTION("""COMPUTED_VALUE"""),"No")</f>
        <v>No</v>
      </c>
      <c r="M769" s="30" t="str">
        <f ca="1">IFERROR(__xludf.DUMMYFUNCTION("""COMPUTED_VALUE"""),"14133200000")</f>
        <v>14133200000</v>
      </c>
      <c r="N769" s="30" t="str">
        <f ca="1">IFERROR(__xludf.DUMMYFUNCTION("""COMPUTED_VALUE"""),"VILLA DOLORES")</f>
        <v>VILLA DOLORES</v>
      </c>
      <c r="O769" s="30" t="str">
        <f ca="1">IFERROR(__xludf.DUMMYFUNCTION("""COMPUTED_VALUE"""),"14133")</f>
        <v>14133</v>
      </c>
      <c r="P769" s="30" t="str">
        <f ca="1">IFERROR(__xludf.DUMMYFUNCTION("""COMPUTED_VALUE"""),"SAN JAVIER")</f>
        <v>SAN JAVIER</v>
      </c>
      <c r="Q769" s="30" t="str">
        <f ca="1">IFERROR(__xludf.DUMMYFUNCTION("""COMPUTED_VALUE"""),"-31.9642999")</f>
        <v>-31.9642999</v>
      </c>
      <c r="R769" s="30" t="str">
        <f ca="1">IFERROR(__xludf.DUMMYFUNCTION("""COMPUTED_VALUE"""),"-65.1963216")</f>
        <v>-65.1963216</v>
      </c>
      <c r="S769" s="30" t="str">
        <f ca="1">IFERROR(__xludf.DUMMYFUNCTION("""COMPUTED_VALUE"""),"Municipal")</f>
        <v>Municipal</v>
      </c>
      <c r="T769" s="29"/>
    </row>
    <row r="770" spans="1:20" ht="15.75" customHeight="1" x14ac:dyDescent="0.25">
      <c r="A770" s="30" t="str">
        <f ca="1">IFERROR(__xludf.DUMMYFUNCTION("""COMPUTED_VALUE"""),"50141262231528")</f>
        <v>50141262231528</v>
      </c>
      <c r="B770" s="30" t="str">
        <f ca="1">IFERROR(__xludf.DUMMYFUNCTION("""COMPUTED_VALUE"""),"DISPENSARIO MUNICIPAL DE NONO JOSE DAMIAN GARCIA")</f>
        <v>DISPENSARIO MUNICIPAL DE NONO JOSE DAMIAN GARCIA</v>
      </c>
      <c r="C770" s="30" t="str">
        <f ca="1">IFERROR(__xludf.DUMMYFUNCTION("""COMPUTED_VALUE"""),"Córdoba")</f>
        <v>Córdoba</v>
      </c>
      <c r="D770" s="30" t="str">
        <f ca="1">IFERROR(__xludf.DUMMYFUNCTION("""COMPUTED_VALUE"""),"14")</f>
        <v>14</v>
      </c>
      <c r="E770" s="30" t="str">
        <f ca="1">IFERROR(__xludf.DUMMYFUNCTION("""COMPUTED_VALUE"""),"")</f>
        <v/>
      </c>
      <c r="F770" s="29"/>
      <c r="G770" s="29"/>
      <c r="H770" s="30" t="str">
        <f ca="1">IFERROR(__xludf.DUMMYFUNCTION("""COMPUTED_VALUE"""),"activo")</f>
        <v>activo</v>
      </c>
      <c r="I770" s="30" t="str">
        <f ca="1">IFERROR(__xludf.DUMMYFUNCTION("""COMPUTED_VALUE"""),"incluido en la circular nro 2")</f>
        <v>incluido en la circular nro 2</v>
      </c>
      <c r="J770" s="29"/>
      <c r="K770" s="29"/>
      <c r="L770" s="30" t="str">
        <f ca="1">IFERROR(__xludf.DUMMYFUNCTION("""COMPUTED_VALUE"""),"No")</f>
        <v>No</v>
      </c>
      <c r="M770" s="30" t="str">
        <f ca="1">IFERROR(__xludf.DUMMYFUNCTION("""COMPUTED_VALUE"""),"14126110000")</f>
        <v>14126110000</v>
      </c>
      <c r="N770" s="30" t="str">
        <f ca="1">IFERROR(__xludf.DUMMYFUNCTION("""COMPUTED_VALUE"""),"NONO")</f>
        <v>NONO</v>
      </c>
      <c r="O770" s="30" t="str">
        <f ca="1">IFERROR(__xludf.DUMMYFUNCTION("""COMPUTED_VALUE"""),"14126")</f>
        <v>14126</v>
      </c>
      <c r="P770" s="30" t="str">
        <f ca="1">IFERROR(__xludf.DUMMYFUNCTION("""COMPUTED_VALUE"""),"SAN ALBERTO")</f>
        <v>SAN ALBERTO</v>
      </c>
      <c r="Q770" s="30" t="str">
        <f ca="1">IFERROR(__xludf.DUMMYFUNCTION("""COMPUTED_VALUE"""),"-31.792636")</f>
        <v>-31.792636</v>
      </c>
      <c r="R770" s="30" t="str">
        <f ca="1">IFERROR(__xludf.DUMMYFUNCTION("""COMPUTED_VALUE"""),"-64.999511")</f>
        <v>-64.999511</v>
      </c>
      <c r="S770" s="30" t="str">
        <f ca="1">IFERROR(__xludf.DUMMYFUNCTION("""COMPUTED_VALUE"""),"Municipal")</f>
        <v>Municipal</v>
      </c>
      <c r="T770" s="29"/>
    </row>
    <row r="771" spans="1:20" ht="15.75" customHeight="1" x14ac:dyDescent="0.25">
      <c r="A771" s="30" t="str">
        <f ca="1">IFERROR(__xludf.DUMMYFUNCTION("""COMPUTED_VALUE"""),"50141192232190")</f>
        <v>50141192232190</v>
      </c>
      <c r="B771" s="30" t="str">
        <f ca="1">IFERROR(__xludf.DUMMYFUNCTION("""COMPUTED_VALUE"""),"CENTRO DE SALUD MUNICIPAL MANFREDI")</f>
        <v>CENTRO DE SALUD MUNICIPAL MANFREDI</v>
      </c>
      <c r="C771" s="30" t="str">
        <f ca="1">IFERROR(__xludf.DUMMYFUNCTION("""COMPUTED_VALUE"""),"Córdoba")</f>
        <v>Córdoba</v>
      </c>
      <c r="D771" s="30" t="str">
        <f ca="1">IFERROR(__xludf.DUMMYFUNCTION("""COMPUTED_VALUE"""),"14")</f>
        <v>14</v>
      </c>
      <c r="E771" s="30" t="str">
        <f ca="1">IFERROR(__xludf.DUMMYFUNCTION("""COMPUTED_VALUE"""),"")</f>
        <v/>
      </c>
      <c r="F771" s="29"/>
      <c r="G771" s="30" t="str">
        <f ca="1">IFERROR(__xludf.DUMMYFUNCTION("""COMPUTED_VALUE"""),"50140142131415")</f>
        <v>50140142131415</v>
      </c>
      <c r="H771" s="30" t="str">
        <f ca="1">IFERROR(__xludf.DUMMYFUNCTION("""COMPUTED_VALUE"""),"inactivo")</f>
        <v>inactivo</v>
      </c>
      <c r="I771" s="30" t="str">
        <f ca="1">IFERROR(__xludf.DUMMYFUNCTION("""COMPUTED_VALUE"""),"29/12/2021")</f>
        <v>29/12/2021</v>
      </c>
      <c r="J771" s="29"/>
      <c r="K771" s="29"/>
      <c r="L771" s="30" t="str">
        <f ca="1">IFERROR(__xludf.DUMMYFUNCTION("""COMPUTED_VALUE"""),"No")</f>
        <v>No</v>
      </c>
      <c r="M771" s="30" t="str">
        <f ca="1">IFERROR(__xludf.DUMMYFUNCTION("""COMPUTED_VALUE"""),"14119130000")</f>
        <v>14119130000</v>
      </c>
      <c r="N771" s="30" t="str">
        <f ca="1">IFERROR(__xludf.DUMMYFUNCTION("""COMPUTED_VALUE"""),"MANFREDI")</f>
        <v>MANFREDI</v>
      </c>
      <c r="O771" s="30" t="str">
        <f ca="1">IFERROR(__xludf.DUMMYFUNCTION("""COMPUTED_VALUE"""),"14119")</f>
        <v>14119</v>
      </c>
      <c r="P771" s="30" t="str">
        <f ca="1">IFERROR(__xludf.DUMMYFUNCTION("""COMPUTED_VALUE"""),"RÍO SEGUNDO")</f>
        <v>RÍO SEGUNDO</v>
      </c>
      <c r="Q771" s="30" t="str">
        <f ca="1">IFERROR(__xludf.DUMMYFUNCTION("""COMPUTED_VALUE"""),"-31.8474465")</f>
        <v>-31.8474465</v>
      </c>
      <c r="R771" s="30" t="str">
        <f ca="1">IFERROR(__xludf.DUMMYFUNCTION("""COMPUTED_VALUE"""),"-63.7471022")</f>
        <v>-63.7471022</v>
      </c>
      <c r="S771" s="30" t="str">
        <f ca="1">IFERROR(__xludf.DUMMYFUNCTION("""COMPUTED_VALUE"""),"Municipal")</f>
        <v>Municipal</v>
      </c>
      <c r="T771" s="29"/>
    </row>
    <row r="772" spans="1:20" ht="15.75" customHeight="1" x14ac:dyDescent="0.25">
      <c r="A772" s="30" t="str">
        <f ca="1">IFERROR(__xludf.DUMMYFUNCTION("""COMPUTED_VALUE"""),"50141402231813")</f>
        <v>50141402231813</v>
      </c>
      <c r="B772" s="30" t="str">
        <f ca="1">IFERROR(__xludf.DUMMYFUNCTION("""COMPUTED_VALUE"""),"DISPENSARIO BARRIO PARQUE")</f>
        <v>DISPENSARIO BARRIO PARQUE</v>
      </c>
      <c r="C772" s="30" t="str">
        <f ca="1">IFERROR(__xludf.DUMMYFUNCTION("""COMPUTED_VALUE"""),"Córdoba")</f>
        <v>Córdoba</v>
      </c>
      <c r="D772" s="30" t="str">
        <f ca="1">IFERROR(__xludf.DUMMYFUNCTION("""COMPUTED_VALUE"""),"14")</f>
        <v>14</v>
      </c>
      <c r="E772" s="30" t="str">
        <f ca="1">IFERROR(__xludf.DUMMYFUNCTION("""COMPUTED_VALUE"""),"")</f>
        <v/>
      </c>
      <c r="F772" s="29"/>
      <c r="G772" s="29"/>
      <c r="H772" s="30" t="str">
        <f ca="1">IFERROR(__xludf.DUMMYFUNCTION("""COMPUTED_VALUE"""),"activo")</f>
        <v>activo</v>
      </c>
      <c r="I772" s="30" t="str">
        <f ca="1">IFERROR(__xludf.DUMMYFUNCTION("""COMPUTED_VALUE"""),"incluido en la circular nro 2")</f>
        <v>incluido en la circular nro 2</v>
      </c>
      <c r="J772" s="29"/>
      <c r="K772" s="29"/>
      <c r="L772" s="30" t="str">
        <f ca="1">IFERROR(__xludf.DUMMYFUNCTION("""COMPUTED_VALUE"""),"No")</f>
        <v>No</v>
      </c>
      <c r="M772" s="30" t="str">
        <f ca="1">IFERROR(__xludf.DUMMYFUNCTION("""COMPUTED_VALUE"""),"14140360000")</f>
        <v>14140360000</v>
      </c>
      <c r="N772" s="30" t="str">
        <f ca="1">IFERROR(__xludf.DUMMYFUNCTION("""COMPUTED_VALUE"""),"SAN FRANCISCO")</f>
        <v>SAN FRANCISCO</v>
      </c>
      <c r="O772" s="30" t="str">
        <f ca="1">IFERROR(__xludf.DUMMYFUNCTION("""COMPUTED_VALUE"""),"14140")</f>
        <v>14140</v>
      </c>
      <c r="P772" s="30" t="str">
        <f ca="1">IFERROR(__xludf.DUMMYFUNCTION("""COMPUTED_VALUE"""),"SAN JUSTO")</f>
        <v>SAN JUSTO</v>
      </c>
      <c r="Q772" s="30" t="str">
        <f ca="1">IFERROR(__xludf.DUMMYFUNCTION("""COMPUTED_VALUE"""),"-31.4239695")</f>
        <v>-31.4239695</v>
      </c>
      <c r="R772" s="30" t="str">
        <f ca="1">IFERROR(__xludf.DUMMYFUNCTION("""COMPUTED_VALUE"""),"-62.0718338")</f>
        <v>-62.0718338</v>
      </c>
      <c r="S772" s="30" t="str">
        <f ca="1">IFERROR(__xludf.DUMMYFUNCTION("""COMPUTED_VALUE"""),"Municipal")</f>
        <v>Municipal</v>
      </c>
      <c r="T772" s="29"/>
    </row>
    <row r="773" spans="1:20" ht="15.75" customHeight="1" x14ac:dyDescent="0.25">
      <c r="A773" s="30" t="str">
        <f ca="1">IFERROR(__xludf.DUMMYFUNCTION("""COMPUTED_VALUE"""),"50141262232202")</f>
        <v>50141262232202</v>
      </c>
      <c r="B773" s="30" t="str">
        <f ca="1">IFERROR(__xludf.DUMMYFUNCTION("""COMPUTED_VALUE"""),"CENTRO DE ATENCION PRIMARIA DE LA SALUD COMUNAL JOSE GABRIEL BROCHERO")</f>
        <v>CENTRO DE ATENCION PRIMARIA DE LA SALUD COMUNAL JOSE GABRIEL BROCHERO</v>
      </c>
      <c r="C773" s="30" t="str">
        <f ca="1">IFERROR(__xludf.DUMMYFUNCTION("""COMPUTED_VALUE"""),"Córdoba")</f>
        <v>Córdoba</v>
      </c>
      <c r="D773" s="30" t="str">
        <f ca="1">IFERROR(__xludf.DUMMYFUNCTION("""COMPUTED_VALUE"""),"14")</f>
        <v>14</v>
      </c>
      <c r="E773" s="30" t="str">
        <f ca="1">IFERROR(__xludf.DUMMYFUNCTION("""COMPUTED_VALUE"""),"")</f>
        <v/>
      </c>
      <c r="F773" s="29"/>
      <c r="G773" s="29"/>
      <c r="H773" s="30" t="str">
        <f ca="1">IFERROR(__xludf.DUMMYFUNCTION("""COMPUTED_VALUE"""),"activo")</f>
        <v>activo</v>
      </c>
      <c r="I773" s="30" t="str">
        <f ca="1">IFERROR(__xludf.DUMMYFUNCTION("""COMPUTED_VALUE"""),"incluido en la circular nro 2")</f>
        <v>incluido en la circular nro 2</v>
      </c>
      <c r="J773" s="29"/>
      <c r="K773" s="29"/>
      <c r="L773" s="30" t="str">
        <f ca="1">IFERROR(__xludf.DUMMYFUNCTION("""COMPUTED_VALUE"""),"No")</f>
        <v>No</v>
      </c>
      <c r="M773" s="30" t="str">
        <f ca="1">IFERROR(__xludf.DUMMYFUNCTION("""COMPUTED_VALUE"""),"14126090000")</f>
        <v>14126090000</v>
      </c>
      <c r="N773" s="30" t="str">
        <f ca="1">IFERROR(__xludf.DUMMYFUNCTION("""COMPUTED_VALUE"""),"MINA CLAVERO")</f>
        <v>MINA CLAVERO</v>
      </c>
      <c r="O773" s="30" t="str">
        <f ca="1">IFERROR(__xludf.DUMMYFUNCTION("""COMPUTED_VALUE"""),"14126")</f>
        <v>14126</v>
      </c>
      <c r="P773" s="30" t="str">
        <f ca="1">IFERROR(__xludf.DUMMYFUNCTION("""COMPUTED_VALUE"""),"SAN ALBERTO")</f>
        <v>SAN ALBERTO</v>
      </c>
      <c r="Q773" s="30" t="str">
        <f ca="1">IFERROR(__xludf.DUMMYFUNCTION("""COMPUTED_VALUE"""),"-31.724122")</f>
        <v>-31.724122</v>
      </c>
      <c r="R773" s="30" t="str">
        <f ca="1">IFERROR(__xludf.DUMMYFUNCTION("""COMPUTED_VALUE"""),"-65.0065")</f>
        <v>-65.0065</v>
      </c>
      <c r="S773" s="30" t="str">
        <f ca="1">IFERROR(__xludf.DUMMYFUNCTION("""COMPUTED_VALUE"""),"Municipal")</f>
        <v>Municipal</v>
      </c>
      <c r="T773" s="29"/>
    </row>
    <row r="774" spans="1:20" ht="15.75" customHeight="1" x14ac:dyDescent="0.25">
      <c r="A774" s="30" t="str">
        <f ca="1">IFERROR(__xludf.DUMMYFUNCTION("""COMPUTED_VALUE"""),"50141402231801")</f>
        <v>50141402231801</v>
      </c>
      <c r="B774" s="30" t="str">
        <f ca="1">IFERROR(__xludf.DUMMYFUNCTION("""COMPUTED_VALUE"""),"ASISTENCIA PUBLICA MUNICIPAL DE SAN FRANCISCO")</f>
        <v>ASISTENCIA PUBLICA MUNICIPAL DE SAN FRANCISCO</v>
      </c>
      <c r="C774" s="30" t="str">
        <f ca="1">IFERROR(__xludf.DUMMYFUNCTION("""COMPUTED_VALUE"""),"Córdoba")</f>
        <v>Córdoba</v>
      </c>
      <c r="D774" s="30" t="str">
        <f ca="1">IFERROR(__xludf.DUMMYFUNCTION("""COMPUTED_VALUE"""),"14")</f>
        <v>14</v>
      </c>
      <c r="E774" s="30" t="str">
        <f ca="1">IFERROR(__xludf.DUMMYFUNCTION("""COMPUTED_VALUE"""),"")</f>
        <v/>
      </c>
      <c r="F774" s="29"/>
      <c r="G774" s="29"/>
      <c r="H774" s="30" t="str">
        <f ca="1">IFERROR(__xludf.DUMMYFUNCTION("""COMPUTED_VALUE"""),"activo")</f>
        <v>activo</v>
      </c>
      <c r="I774" s="30" t="str">
        <f ca="1">IFERROR(__xludf.DUMMYFUNCTION("""COMPUTED_VALUE"""),"incluido en la circular nro 2")</f>
        <v>incluido en la circular nro 2</v>
      </c>
      <c r="J774" s="29"/>
      <c r="K774" s="29"/>
      <c r="L774" s="30" t="str">
        <f ca="1">IFERROR(__xludf.DUMMYFUNCTION("""COMPUTED_VALUE"""),"No")</f>
        <v>No</v>
      </c>
      <c r="M774" s="30" t="str">
        <f ca="1">IFERROR(__xludf.DUMMYFUNCTION("""COMPUTED_VALUE"""),"14140360000")</f>
        <v>14140360000</v>
      </c>
      <c r="N774" s="30" t="str">
        <f ca="1">IFERROR(__xludf.DUMMYFUNCTION("""COMPUTED_VALUE"""),"SAN FRANCISCO")</f>
        <v>SAN FRANCISCO</v>
      </c>
      <c r="O774" s="30" t="str">
        <f ca="1">IFERROR(__xludf.DUMMYFUNCTION("""COMPUTED_VALUE"""),"14140")</f>
        <v>14140</v>
      </c>
      <c r="P774" s="30" t="str">
        <f ca="1">IFERROR(__xludf.DUMMYFUNCTION("""COMPUTED_VALUE"""),"SAN JUSTO")</f>
        <v>SAN JUSTO</v>
      </c>
      <c r="Q774" s="30" t="str">
        <f ca="1">IFERROR(__xludf.DUMMYFUNCTION("""COMPUTED_VALUE"""),"-31.4275045")</f>
        <v>-31.4275045</v>
      </c>
      <c r="R774" s="30" t="str">
        <f ca="1">IFERROR(__xludf.DUMMYFUNCTION("""COMPUTED_VALUE"""),"-62.0879109")</f>
        <v>-62.0879109</v>
      </c>
      <c r="S774" s="30" t="str">
        <f ca="1">IFERROR(__xludf.DUMMYFUNCTION("""COMPUTED_VALUE"""),"Municipal")</f>
        <v>Municipal</v>
      </c>
      <c r="T774" s="29"/>
    </row>
    <row r="775" spans="1:20" ht="15.75" customHeight="1" x14ac:dyDescent="0.25">
      <c r="A775" s="30" t="str">
        <f ca="1">IFERROR(__xludf.DUMMYFUNCTION("""COMPUTED_VALUE"""),"50140072233220")</f>
        <v>50140072233220</v>
      </c>
      <c r="B775" s="30" t="str">
        <f ca="1">IFERROR(__xludf.DUMMYFUNCTION("""COMPUTED_VALUE"""),"CAPS VILLA CIUDAD PARQUE")</f>
        <v>CAPS VILLA CIUDAD PARQUE</v>
      </c>
      <c r="C775" s="30" t="str">
        <f ca="1">IFERROR(__xludf.DUMMYFUNCTION("""COMPUTED_VALUE"""),"Córdoba")</f>
        <v>Córdoba</v>
      </c>
      <c r="D775" s="30" t="str">
        <f ca="1">IFERROR(__xludf.DUMMYFUNCTION("""COMPUTED_VALUE"""),"14")</f>
        <v>14</v>
      </c>
      <c r="E775" s="30" t="str">
        <f ca="1">IFERROR(__xludf.DUMMYFUNCTION("""COMPUTED_VALUE"""),"")</f>
        <v/>
      </c>
      <c r="F775" s="29"/>
      <c r="G775" s="29"/>
      <c r="H775" s="30" t="str">
        <f ca="1">IFERROR(__xludf.DUMMYFUNCTION("""COMPUTED_VALUE"""),"activo")</f>
        <v>activo</v>
      </c>
      <c r="I775" s="30" t="str">
        <f ca="1">IFERROR(__xludf.DUMMYFUNCTION("""COMPUTED_VALUE"""),"incluido en la circular nro 2")</f>
        <v>incluido en la circular nro 2</v>
      </c>
      <c r="J775" s="29"/>
      <c r="K775" s="29"/>
      <c r="L775" s="30" t="str">
        <f ca="1">IFERROR(__xludf.DUMMYFUNCTION("""COMPUTED_VALUE"""),"No")</f>
        <v>No</v>
      </c>
      <c r="M775" s="30" t="str">
        <f ca="1">IFERROR(__xludf.DUMMYFUNCTION("""COMPUTED_VALUE"""),"14007270000")</f>
        <v>14007270000</v>
      </c>
      <c r="N775" s="30" t="str">
        <f ca="1">IFERROR(__xludf.DUMMYFUNCTION("""COMPUTED_VALUE"""),"VILLA CIUDAD PARQUE LOS REARTES (1A.SECC")</f>
        <v>VILLA CIUDAD PARQUE LOS REARTES (1A.SECC</v>
      </c>
      <c r="O775" s="30" t="str">
        <f ca="1">IFERROR(__xludf.DUMMYFUNCTION("""COMPUTED_VALUE"""),"147")</f>
        <v>147</v>
      </c>
      <c r="P775" s="30" t="str">
        <f ca="1">IFERROR(__xludf.DUMMYFUNCTION("""COMPUTED_VALUE"""),"CALAMUCHITA")</f>
        <v>CALAMUCHITA</v>
      </c>
      <c r="Q775" s="30" t="str">
        <f ca="1">IFERROR(__xludf.DUMMYFUNCTION("""COMPUTED_VALUE"""),"-31.86006344")</f>
        <v>-31.86006344</v>
      </c>
      <c r="R775" s="30" t="str">
        <f ca="1">IFERROR(__xludf.DUMMYFUNCTION("""COMPUTED_VALUE"""),"-64.46228027")</f>
        <v>-64.46228027</v>
      </c>
      <c r="S775" s="30" t="str">
        <f ca="1">IFERROR(__xludf.DUMMYFUNCTION("""COMPUTED_VALUE"""),"Municipal")</f>
        <v>Municipal</v>
      </c>
      <c r="T775" s="29"/>
    </row>
    <row r="776" spans="1:20" ht="15.75" customHeight="1" x14ac:dyDescent="0.25">
      <c r="A776" s="30" t="str">
        <f ca="1">IFERROR(__xludf.DUMMYFUNCTION("""COMPUTED_VALUE"""),"50141402231550")</f>
        <v>50141402231550</v>
      </c>
      <c r="B776" s="30" t="str">
        <f ca="1">IFERROR(__xludf.DUMMYFUNCTION("""COMPUTED_VALUE"""),"DISPENSARIO MUNICIPALIDAD DE ALTOS DE CHIPION")</f>
        <v>DISPENSARIO MUNICIPALIDAD DE ALTOS DE CHIPION</v>
      </c>
      <c r="C776" s="30" t="str">
        <f ca="1">IFERROR(__xludf.DUMMYFUNCTION("""COMPUTED_VALUE"""),"Córdoba")</f>
        <v>Córdoba</v>
      </c>
      <c r="D776" s="30" t="str">
        <f ca="1">IFERROR(__xludf.DUMMYFUNCTION("""COMPUTED_VALUE"""),"14")</f>
        <v>14</v>
      </c>
      <c r="E776" s="30" t="str">
        <f ca="1">IFERROR(__xludf.DUMMYFUNCTION("""COMPUTED_VALUE"""),"")</f>
        <v/>
      </c>
      <c r="F776" s="29"/>
      <c r="G776" s="29"/>
      <c r="H776" s="30" t="str">
        <f ca="1">IFERROR(__xludf.DUMMYFUNCTION("""COMPUTED_VALUE"""),"activo")</f>
        <v>activo</v>
      </c>
      <c r="I776" s="30" t="str">
        <f ca="1">IFERROR(__xludf.DUMMYFUNCTION("""COMPUTED_VALUE"""),"incluido en la circular nro 2")</f>
        <v>incluido en la circular nro 2</v>
      </c>
      <c r="J776" s="29"/>
      <c r="K776" s="29"/>
      <c r="L776" s="30" t="str">
        <f ca="1">IFERROR(__xludf.DUMMYFUNCTION("""COMPUTED_VALUE"""),"No")</f>
        <v>No</v>
      </c>
      <c r="M776" s="30" t="str">
        <f ca="1">IFERROR(__xludf.DUMMYFUNCTION("""COMPUTED_VALUE"""),"14140020000")</f>
        <v>14140020000</v>
      </c>
      <c r="N776" s="30" t="str">
        <f ca="1">IFERROR(__xludf.DUMMYFUNCTION("""COMPUTED_VALUE"""),"ALTOS DE CHIPION")</f>
        <v>ALTOS DE CHIPION</v>
      </c>
      <c r="O776" s="30" t="str">
        <f ca="1">IFERROR(__xludf.DUMMYFUNCTION("""COMPUTED_VALUE"""),"14140")</f>
        <v>14140</v>
      </c>
      <c r="P776" s="30" t="str">
        <f ca="1">IFERROR(__xludf.DUMMYFUNCTION("""COMPUTED_VALUE"""),"SAN JUSTO")</f>
        <v>SAN JUSTO</v>
      </c>
      <c r="Q776" s="30" t="str">
        <f ca="1">IFERROR(__xludf.DUMMYFUNCTION("""COMPUTED_VALUE"""),"-31.1281993")</f>
        <v>-31.1281993</v>
      </c>
      <c r="R776" s="30" t="str">
        <f ca="1">IFERROR(__xludf.DUMMYFUNCTION("""COMPUTED_VALUE"""),"-62.49023438")</f>
        <v>-62.49023438</v>
      </c>
      <c r="S776" s="30" t="str">
        <f ca="1">IFERROR(__xludf.DUMMYFUNCTION("""COMPUTED_VALUE"""),"Municipal")</f>
        <v>Municipal</v>
      </c>
      <c r="T776" s="29"/>
    </row>
    <row r="777" spans="1:20" ht="15.75" customHeight="1" x14ac:dyDescent="0.25">
      <c r="A777" s="30" t="str">
        <f ca="1">IFERROR(__xludf.DUMMYFUNCTION("""COMPUTED_VALUE"""),"50141472231561")</f>
        <v>50141472231561</v>
      </c>
      <c r="B777" s="30" t="str">
        <f ca="1">IFERROR(__xludf.DUMMYFUNCTION("""COMPUTED_VALUE"""),"DISPENSARIO VILLA LOS AROMOS")</f>
        <v>DISPENSARIO VILLA LOS AROMOS</v>
      </c>
      <c r="C777" s="30" t="str">
        <f ca="1">IFERROR(__xludf.DUMMYFUNCTION("""COMPUTED_VALUE"""),"Córdoba")</f>
        <v>Córdoba</v>
      </c>
      <c r="D777" s="30" t="str">
        <f ca="1">IFERROR(__xludf.DUMMYFUNCTION("""COMPUTED_VALUE"""),"14")</f>
        <v>14</v>
      </c>
      <c r="E777" s="30" t="str">
        <f ca="1">IFERROR(__xludf.DUMMYFUNCTION("""COMPUTED_VALUE"""),"")</f>
        <v/>
      </c>
      <c r="F777" s="29"/>
      <c r="G777" s="29"/>
      <c r="H777" s="30" t="str">
        <f ca="1">IFERROR(__xludf.DUMMYFUNCTION("""COMPUTED_VALUE"""),"activo")</f>
        <v>activo</v>
      </c>
      <c r="I777" s="30" t="str">
        <f ca="1">IFERROR(__xludf.DUMMYFUNCTION("""COMPUTED_VALUE"""),"incluido en la circular nro 2")</f>
        <v>incluido en la circular nro 2</v>
      </c>
      <c r="J777" s="29"/>
      <c r="K777" s="29"/>
      <c r="L777" s="30" t="str">
        <f ca="1">IFERROR(__xludf.DUMMYFUNCTION("""COMPUTED_VALUE"""),"No")</f>
        <v>No</v>
      </c>
      <c r="M777" s="30" t="str">
        <f ca="1">IFERROR(__xludf.DUMMYFUNCTION("""COMPUTED_VALUE"""),"14147340000")</f>
        <v>14147340000</v>
      </c>
      <c r="N777" s="30" t="str">
        <f ca="1">IFERROR(__xludf.DUMMYFUNCTION("""COMPUTED_VALUE"""),"VILLA LOS AROMOS")</f>
        <v>VILLA LOS AROMOS</v>
      </c>
      <c r="O777" s="30" t="str">
        <f ca="1">IFERROR(__xludf.DUMMYFUNCTION("""COMPUTED_VALUE"""),"14147")</f>
        <v>14147</v>
      </c>
      <c r="P777" s="30" t="str">
        <f ca="1">IFERROR(__xludf.DUMMYFUNCTION("""COMPUTED_VALUE"""),"SANTA MARÍA")</f>
        <v>SANTA MARÍA</v>
      </c>
      <c r="Q777" s="30" t="str">
        <f ca="1">IFERROR(__xludf.DUMMYFUNCTION("""COMPUTED_VALUE"""),"-31.92481409")</f>
        <v>-31.92481409</v>
      </c>
      <c r="R777" s="30" t="str">
        <f ca="1">IFERROR(__xludf.DUMMYFUNCTION("""COMPUTED_VALUE"""),"-64.53222692")</f>
        <v>-64.53222692</v>
      </c>
      <c r="S777" s="30" t="str">
        <f ca="1">IFERROR(__xludf.DUMMYFUNCTION("""COMPUTED_VALUE"""),"Municipal")</f>
        <v>Municipal</v>
      </c>
      <c r="T777" s="29"/>
    </row>
    <row r="778" spans="1:20" ht="15.75" customHeight="1" x14ac:dyDescent="0.25">
      <c r="A778" s="30" t="str">
        <f ca="1">IFERROR(__xludf.DUMMYFUNCTION("""COMPUTED_VALUE"""),"50141752231915")</f>
        <v>50141752231915</v>
      </c>
      <c r="B778" s="30" t="str">
        <f ca="1">IFERROR(__xludf.DUMMYFUNCTION("""COMPUTED_VALUE"""),"PUESTO SANITARIO Nº 3 LA TOMA")</f>
        <v>PUESTO SANITARIO Nº 3 LA TOMA</v>
      </c>
      <c r="C778" s="30" t="str">
        <f ca="1">IFERROR(__xludf.DUMMYFUNCTION("""COMPUTED_VALUE"""),"Córdoba")</f>
        <v>Córdoba</v>
      </c>
      <c r="D778" s="30" t="str">
        <f ca="1">IFERROR(__xludf.DUMMYFUNCTION("""COMPUTED_VALUE"""),"14")</f>
        <v>14</v>
      </c>
      <c r="E778" s="30" t="str">
        <f ca="1">IFERROR(__xludf.DUMMYFUNCTION("""COMPUTED_VALUE"""),"")</f>
        <v/>
      </c>
      <c r="F778" s="29"/>
      <c r="G778" s="29"/>
      <c r="H778" s="30" t="str">
        <f ca="1">IFERROR(__xludf.DUMMYFUNCTION("""COMPUTED_VALUE"""),"activo")</f>
        <v>activo</v>
      </c>
      <c r="I778" s="30" t="str">
        <f ca="1">IFERROR(__xludf.DUMMYFUNCTION("""COMPUTED_VALUE"""),"incluido en la circular nro 2")</f>
        <v>incluido en la circular nro 2</v>
      </c>
      <c r="J778" s="29"/>
      <c r="K778" s="29"/>
      <c r="L778" s="30" t="str">
        <f ca="1">IFERROR(__xludf.DUMMYFUNCTION("""COMPUTED_VALUE"""),"No")</f>
        <v>No</v>
      </c>
      <c r="M778" s="30" t="str">
        <f ca="1">IFERROR(__xludf.DUMMYFUNCTION("""COMPUTED_VALUE"""),"14175080000")</f>
        <v>14175080000</v>
      </c>
      <c r="N778" s="30" t="str">
        <f ca="1">IFERROR(__xludf.DUMMYFUNCTION("""COMPUTED_VALUE"""),"SAN JOSE DE LA DORMIDA")</f>
        <v>SAN JOSE DE LA DORMIDA</v>
      </c>
      <c r="O778" s="30" t="str">
        <f ca="1">IFERROR(__xludf.DUMMYFUNCTION("""COMPUTED_VALUE"""),"14175")</f>
        <v>14175</v>
      </c>
      <c r="P778" s="30" t="str">
        <f ca="1">IFERROR(__xludf.DUMMYFUNCTION("""COMPUTED_VALUE"""),"TULUMBA")</f>
        <v>TULUMBA</v>
      </c>
      <c r="Q778" s="30" t="str">
        <f ca="1">IFERROR(__xludf.DUMMYFUNCTION("""COMPUTED_VALUE"""),"-30.35569392")</f>
        <v>-30.35569392</v>
      </c>
      <c r="R778" s="30" t="str">
        <f ca="1">IFERROR(__xludf.DUMMYFUNCTION("""COMPUTED_VALUE"""),"-63.94386292")</f>
        <v>-63.94386292</v>
      </c>
      <c r="S778" s="30" t="str">
        <f ca="1">IFERROR(__xludf.DUMMYFUNCTION("""COMPUTED_VALUE"""),"Municipal")</f>
        <v>Municipal</v>
      </c>
      <c r="T778" s="29"/>
    </row>
    <row r="779" spans="1:20" ht="15.75" customHeight="1" x14ac:dyDescent="0.25">
      <c r="A779" s="30" t="str">
        <f ca="1">IFERROR(__xludf.DUMMYFUNCTION("""COMPUTED_VALUE"""),"50140072231532")</f>
        <v>50140072231532</v>
      </c>
      <c r="B779" s="30" t="str">
        <f ca="1">IFERROR(__xludf.DUMMYFUNCTION("""COMPUTED_VALUE"""),"CENTRO DE ATENCION PRIMARIA DE LA SALUD VILLA RIO SANTA ROSA")</f>
        <v>CENTRO DE ATENCION PRIMARIA DE LA SALUD VILLA RIO SANTA ROSA</v>
      </c>
      <c r="C779" s="30" t="str">
        <f ca="1">IFERROR(__xludf.DUMMYFUNCTION("""COMPUTED_VALUE"""),"Córdoba")</f>
        <v>Córdoba</v>
      </c>
      <c r="D779" s="30" t="str">
        <f ca="1">IFERROR(__xludf.DUMMYFUNCTION("""COMPUTED_VALUE"""),"14")</f>
        <v>14</v>
      </c>
      <c r="E779" s="30" t="str">
        <f ca="1">IFERROR(__xludf.DUMMYFUNCTION("""COMPUTED_VALUE"""),"")</f>
        <v/>
      </c>
      <c r="F779" s="29"/>
      <c r="G779" s="29"/>
      <c r="H779" s="30" t="str">
        <f ca="1">IFERROR(__xludf.DUMMYFUNCTION("""COMPUTED_VALUE"""),"activo")</f>
        <v>activo</v>
      </c>
      <c r="I779" s="30" t="str">
        <f ca="1">IFERROR(__xludf.DUMMYFUNCTION("""COMPUTED_VALUE"""),"incluido en la circular nro 2")</f>
        <v>incluido en la circular nro 2</v>
      </c>
      <c r="J779" s="29"/>
      <c r="K779" s="29"/>
      <c r="L779" s="30" t="str">
        <f ca="1">IFERROR(__xludf.DUMMYFUNCTION("""COMPUTED_VALUE"""),"No")</f>
        <v>No</v>
      </c>
      <c r="M779" s="30" t="str">
        <f ca="1">IFERROR(__xludf.DUMMYFUNCTION("""COMPUTED_VALUE"""),"14007210000")</f>
        <v>14007210000</v>
      </c>
      <c r="N779" s="30" t="str">
        <f ca="1">IFERROR(__xludf.DUMMYFUNCTION("""COMPUTED_VALUE"""),"SANTA ROSA DE CALAMUCHITA")</f>
        <v>SANTA ROSA DE CALAMUCHITA</v>
      </c>
      <c r="O779" s="30" t="str">
        <f ca="1">IFERROR(__xludf.DUMMYFUNCTION("""COMPUTED_VALUE"""),"147")</f>
        <v>147</v>
      </c>
      <c r="P779" s="30" t="str">
        <f ca="1">IFERROR(__xludf.DUMMYFUNCTION("""COMPUTED_VALUE"""),"CALAMUCHITA")</f>
        <v>CALAMUCHITA</v>
      </c>
      <c r="Q779" s="30" t="str">
        <f ca="1">IFERROR(__xludf.DUMMYFUNCTION("""COMPUTED_VALUE"""),"-32.06744694")</f>
        <v>-32.06744694</v>
      </c>
      <c r="R779" s="30" t="str">
        <f ca="1">IFERROR(__xludf.DUMMYFUNCTION("""COMPUTED_VALUE"""),"-64.5501709")</f>
        <v>-64.5501709</v>
      </c>
      <c r="S779" s="30" t="str">
        <f ca="1">IFERROR(__xludf.DUMMYFUNCTION("""COMPUTED_VALUE"""),"Municipal")</f>
        <v>Municipal</v>
      </c>
      <c r="T779" s="29"/>
    </row>
    <row r="780" spans="1:20" ht="15.75" customHeight="1" x14ac:dyDescent="0.25">
      <c r="A780" s="30" t="str">
        <f ca="1">IFERROR(__xludf.DUMMYFUNCTION("""COMPUTED_VALUE"""),"50140072231534")</f>
        <v>50140072231534</v>
      </c>
      <c r="B780" s="30" t="str">
        <f ca="1">IFERROR(__xludf.DUMMYFUNCTION("""COMPUTED_VALUE"""),"DISPENSARIO MUNICIPAL DE VILLA STRADA")</f>
        <v>DISPENSARIO MUNICIPAL DE VILLA STRADA</v>
      </c>
      <c r="C780" s="30" t="str">
        <f ca="1">IFERROR(__xludf.DUMMYFUNCTION("""COMPUTED_VALUE"""),"Córdoba")</f>
        <v>Córdoba</v>
      </c>
      <c r="D780" s="30" t="str">
        <f ca="1">IFERROR(__xludf.DUMMYFUNCTION("""COMPUTED_VALUE"""),"14")</f>
        <v>14</v>
      </c>
      <c r="E780" s="30" t="str">
        <f ca="1">IFERROR(__xludf.DUMMYFUNCTION("""COMPUTED_VALUE"""),"")</f>
        <v/>
      </c>
      <c r="F780" s="29"/>
      <c r="G780" s="29"/>
      <c r="H780" s="30" t="str">
        <f ca="1">IFERROR(__xludf.DUMMYFUNCTION("""COMPUTED_VALUE"""),"activo")</f>
        <v>activo</v>
      </c>
      <c r="I780" s="30" t="str">
        <f ca="1">IFERROR(__xludf.DUMMYFUNCTION("""COMPUTED_VALUE"""),"incluido en la circular nro 2")</f>
        <v>incluido en la circular nro 2</v>
      </c>
      <c r="J780" s="29"/>
      <c r="K780" s="29"/>
      <c r="L780" s="30" t="str">
        <f ca="1">IFERROR(__xludf.DUMMYFUNCTION("""COMPUTED_VALUE"""),"No")</f>
        <v>No</v>
      </c>
      <c r="M780" s="30" t="str">
        <f ca="1">IFERROR(__xludf.DUMMYFUNCTION("""COMPUTED_VALUE"""),"14007210000")</f>
        <v>14007210000</v>
      </c>
      <c r="N780" s="30" t="str">
        <f ca="1">IFERROR(__xludf.DUMMYFUNCTION("""COMPUTED_VALUE"""),"SANTA ROSA DE CALAMUCHITA")</f>
        <v>SANTA ROSA DE CALAMUCHITA</v>
      </c>
      <c r="O780" s="30" t="str">
        <f ca="1">IFERROR(__xludf.DUMMYFUNCTION("""COMPUTED_VALUE"""),"147")</f>
        <v>147</v>
      </c>
      <c r="P780" s="30" t="str">
        <f ca="1">IFERROR(__xludf.DUMMYFUNCTION("""COMPUTED_VALUE"""),"CALAMUCHITA")</f>
        <v>CALAMUCHITA</v>
      </c>
      <c r="Q780" s="30" t="str">
        <f ca="1">IFERROR(__xludf.DUMMYFUNCTION("""COMPUTED_VALUE"""),"-32.34284136")</f>
        <v>-32.34284136</v>
      </c>
      <c r="R780" s="30" t="str">
        <f ca="1">IFERROR(__xludf.DUMMYFUNCTION("""COMPUTED_VALUE"""),"-64.6420902")</f>
        <v>-64.6420902</v>
      </c>
      <c r="S780" s="30" t="str">
        <f ca="1">IFERROR(__xludf.DUMMYFUNCTION("""COMPUTED_VALUE"""),"Municipal")</f>
        <v>Municipal</v>
      </c>
      <c r="T780" s="29"/>
    </row>
    <row r="781" spans="1:20" ht="15.75" customHeight="1" x14ac:dyDescent="0.25">
      <c r="A781" s="30" t="str">
        <f ca="1">IFERROR(__xludf.DUMMYFUNCTION("""COMPUTED_VALUE"""),"10140072231180")</f>
        <v>10140072231180</v>
      </c>
      <c r="B781" s="30" t="str">
        <f ca="1">IFERROR(__xludf.DUMMYFUNCTION("""COMPUTED_VALUE"""),"HOSPITAL MUNICIPAL DE SAN AGUSTIN")</f>
        <v>HOSPITAL MUNICIPAL DE SAN AGUSTIN</v>
      </c>
      <c r="C781" s="30" t="str">
        <f ca="1">IFERROR(__xludf.DUMMYFUNCTION("""COMPUTED_VALUE"""),"Córdoba")</f>
        <v>Córdoba</v>
      </c>
      <c r="D781" s="30" t="str">
        <f ca="1">IFERROR(__xludf.DUMMYFUNCTION("""COMPUTED_VALUE"""),"14")</f>
        <v>14</v>
      </c>
      <c r="E781" s="30" t="str">
        <f ca="1">IFERROR(__xludf.DUMMYFUNCTION("""COMPUTED_VALUE"""),"")</f>
        <v/>
      </c>
      <c r="F781" s="29"/>
      <c r="G781" s="29"/>
      <c r="H781" s="30" t="str">
        <f ca="1">IFERROR(__xludf.DUMMYFUNCTION("""COMPUTED_VALUE"""),"activo")</f>
        <v>activo</v>
      </c>
      <c r="I781" s="30" t="str">
        <f ca="1">IFERROR(__xludf.DUMMYFUNCTION("""COMPUTED_VALUE"""),"incluido en la circular nro 2")</f>
        <v>incluido en la circular nro 2</v>
      </c>
      <c r="J781" s="29"/>
      <c r="K781" s="29"/>
      <c r="L781" s="30" t="str">
        <f ca="1">IFERROR(__xludf.DUMMYFUNCTION("""COMPUTED_VALUE"""),"No")</f>
        <v>No</v>
      </c>
      <c r="M781" s="30" t="str">
        <f ca="1">IFERROR(__xludf.DUMMYFUNCTION("""COMPUTED_VALUE"""),"14007180000")</f>
        <v>14007180000</v>
      </c>
      <c r="N781" s="30" t="str">
        <f ca="1">IFERROR(__xludf.DUMMYFUNCTION("""COMPUTED_VALUE"""),"SAN AGUSTIN")</f>
        <v>SAN AGUSTIN</v>
      </c>
      <c r="O781" s="30" t="str">
        <f ca="1">IFERROR(__xludf.DUMMYFUNCTION("""COMPUTED_VALUE"""),"147")</f>
        <v>147</v>
      </c>
      <c r="P781" s="30" t="str">
        <f ca="1">IFERROR(__xludf.DUMMYFUNCTION("""COMPUTED_VALUE"""),"CALAMUCHITA")</f>
        <v>CALAMUCHITA</v>
      </c>
      <c r="Q781" s="30" t="str">
        <f ca="1">IFERROR(__xludf.DUMMYFUNCTION("""COMPUTED_VALUE"""),"-31.973567")</f>
        <v>-31.973567</v>
      </c>
      <c r="R781" s="30" t="str">
        <f ca="1">IFERROR(__xludf.DUMMYFUNCTION("""COMPUTED_VALUE"""),"-64.375935")</f>
        <v>-64.375935</v>
      </c>
      <c r="S781" s="30" t="str">
        <f ca="1">IFERROR(__xludf.DUMMYFUNCTION("""COMPUTED_VALUE"""),"Municipal")</f>
        <v>Municipal</v>
      </c>
      <c r="T781" s="29"/>
    </row>
    <row r="782" spans="1:20" ht="15.75" customHeight="1" x14ac:dyDescent="0.25">
      <c r="A782" s="30" t="str">
        <f ca="1">IFERROR(__xludf.DUMMYFUNCTION("""COMPUTED_VALUE"""),"50140072231558")</f>
        <v>50140072231558</v>
      </c>
      <c r="B782" s="30" t="str">
        <f ca="1">IFERROR(__xludf.DUMMYFUNCTION("""COMPUTED_VALUE"""),"DISPENSARIO BARRIO SANTA ISABEL")</f>
        <v>DISPENSARIO BARRIO SANTA ISABEL</v>
      </c>
      <c r="C782" s="30" t="str">
        <f ca="1">IFERROR(__xludf.DUMMYFUNCTION("""COMPUTED_VALUE"""),"Córdoba")</f>
        <v>Córdoba</v>
      </c>
      <c r="D782" s="30" t="str">
        <f ca="1">IFERROR(__xludf.DUMMYFUNCTION("""COMPUTED_VALUE"""),"14")</f>
        <v>14</v>
      </c>
      <c r="E782" s="30" t="str">
        <f ca="1">IFERROR(__xludf.DUMMYFUNCTION("""COMPUTED_VALUE"""),"")</f>
        <v/>
      </c>
      <c r="F782" s="29"/>
      <c r="G782" s="29"/>
      <c r="H782" s="30" t="str">
        <f ca="1">IFERROR(__xludf.DUMMYFUNCTION("""COMPUTED_VALUE"""),"activo")</f>
        <v>activo</v>
      </c>
      <c r="I782" s="30" t="str">
        <f ca="1">IFERROR(__xludf.DUMMYFUNCTION("""COMPUTED_VALUE"""),"incluido en la circular nro 2")</f>
        <v>incluido en la circular nro 2</v>
      </c>
      <c r="J782" s="29"/>
      <c r="K782" s="29"/>
      <c r="L782" s="30" t="str">
        <f ca="1">IFERROR(__xludf.DUMMYFUNCTION("""COMPUTED_VALUE"""),"No")</f>
        <v>No</v>
      </c>
      <c r="M782" s="30" t="str">
        <f ca="1">IFERROR(__xludf.DUMMYFUNCTION("""COMPUTED_VALUE"""),"14007060000")</f>
        <v>14007060000</v>
      </c>
      <c r="N782" s="30" t="str">
        <f ca="1">IFERROR(__xludf.DUMMYFUNCTION("""COMPUTED_VALUE"""),"EMBALSE")</f>
        <v>EMBALSE</v>
      </c>
      <c r="O782" s="30" t="str">
        <f ca="1">IFERROR(__xludf.DUMMYFUNCTION("""COMPUTED_VALUE"""),"147")</f>
        <v>147</v>
      </c>
      <c r="P782" s="30" t="str">
        <f ca="1">IFERROR(__xludf.DUMMYFUNCTION("""COMPUTED_VALUE"""),"CALAMUCHITA")</f>
        <v>CALAMUCHITA</v>
      </c>
      <c r="Q782" s="30" t="str">
        <f ca="1">IFERROR(__xludf.DUMMYFUNCTION("""COMPUTED_VALUE"""),"-32.215304")</f>
        <v>-32.215304</v>
      </c>
      <c r="R782" s="30" t="str">
        <f ca="1">IFERROR(__xludf.DUMMYFUNCTION("""COMPUTED_VALUE"""),"-64.393452")</f>
        <v>-64.393452</v>
      </c>
      <c r="S782" s="30" t="str">
        <f ca="1">IFERROR(__xludf.DUMMYFUNCTION("""COMPUTED_VALUE"""),"Municipal")</f>
        <v>Municipal</v>
      </c>
      <c r="T782" s="29"/>
    </row>
    <row r="783" spans="1:20" ht="15.75" customHeight="1" x14ac:dyDescent="0.25">
      <c r="A783" s="30" t="str">
        <f ca="1">IFERROR(__xludf.DUMMYFUNCTION("""COMPUTED_VALUE"""),"50140142133202")</f>
        <v>50140142133202</v>
      </c>
      <c r="B783" s="30" t="str">
        <f ca="1">IFERROR(__xludf.DUMMYFUNCTION("""COMPUTED_VALUE"""),"CENTRO DE SALUD N° 62 - VILLA CORNU")</f>
        <v>CENTRO DE SALUD N° 62 - VILLA CORNU</v>
      </c>
      <c r="C783" s="30" t="str">
        <f ca="1">IFERROR(__xludf.DUMMYFUNCTION("""COMPUTED_VALUE"""),"Córdoba")</f>
        <v>Córdoba</v>
      </c>
      <c r="D783" s="30" t="str">
        <f ca="1">IFERROR(__xludf.DUMMYFUNCTION("""COMPUTED_VALUE"""),"14")</f>
        <v>14</v>
      </c>
      <c r="E783" s="30" t="str">
        <f ca="1">IFERROR(__xludf.DUMMYFUNCTION("""COMPUTED_VALUE"""),"")</f>
        <v/>
      </c>
      <c r="F783" s="29"/>
      <c r="G783" s="29"/>
      <c r="H783" s="30" t="str">
        <f ca="1">IFERROR(__xludf.DUMMYFUNCTION("""COMPUTED_VALUE"""),"activo")</f>
        <v>activo</v>
      </c>
      <c r="I783" s="30" t="str">
        <f ca="1">IFERROR(__xludf.DUMMYFUNCTION("""COMPUTED_VALUE"""),"incluido en la circular nro 2")</f>
        <v>incluido en la circular nro 2</v>
      </c>
      <c r="J783" s="29"/>
      <c r="K783" s="29"/>
      <c r="L783" s="30" t="str">
        <f ca="1">IFERROR(__xludf.DUMMYFUNCTION("""COMPUTED_VALUE"""),"No")</f>
        <v>No</v>
      </c>
      <c r="M783" s="30" t="str">
        <f ca="1">IFERROR(__xludf.DUMMYFUNCTION("""COMPUTED_VALUE"""),"14014010000")</f>
        <v>14014010000</v>
      </c>
      <c r="N783" s="30" t="str">
        <f ca="1">IFERROR(__xludf.DUMMYFUNCTION("""COMPUTED_VALUE"""),"CORDOBA")</f>
        <v>CORDOBA</v>
      </c>
      <c r="O783" s="30" t="str">
        <f ca="1">IFERROR(__xludf.DUMMYFUNCTION("""COMPUTED_VALUE"""),"1414")</f>
        <v>1414</v>
      </c>
      <c r="P783" s="30" t="str">
        <f ca="1">IFERROR(__xludf.DUMMYFUNCTION("""COMPUTED_VALUE"""),"CAPITAL")</f>
        <v>CAPITAL</v>
      </c>
      <c r="Q783" s="30" t="str">
        <f ca="1">IFERROR(__xludf.DUMMYFUNCTION("""COMPUTED_VALUE"""),"-31.314208")</f>
        <v>-31.314208</v>
      </c>
      <c r="R783" s="30" t="str">
        <f ca="1">IFERROR(__xludf.DUMMYFUNCTION("""COMPUTED_VALUE"""),"-64.269524")</f>
        <v>-64.269524</v>
      </c>
      <c r="S783" s="30" t="str">
        <f ca="1">IFERROR(__xludf.DUMMYFUNCTION("""COMPUTED_VALUE"""),"Municipal")</f>
        <v>Municipal</v>
      </c>
      <c r="T783" s="29"/>
    </row>
    <row r="784" spans="1:20" ht="15.75" customHeight="1" x14ac:dyDescent="0.25">
      <c r="A784" s="30" t="str">
        <f ca="1">IFERROR(__xludf.DUMMYFUNCTION("""COMPUTED_VALUE"""),"50140142233672")</f>
        <v>50140142233672</v>
      </c>
      <c r="B784" s="30" t="str">
        <f ca="1">IFERROR(__xludf.DUMMYFUNCTION("""COMPUTED_VALUE"""),"UPAS N° 9 - BARRIO PARQUE FUTURA")</f>
        <v>UPAS N° 9 - BARRIO PARQUE FUTURA</v>
      </c>
      <c r="C784" s="30" t="str">
        <f ca="1">IFERROR(__xludf.DUMMYFUNCTION("""COMPUTED_VALUE"""),"Córdoba")</f>
        <v>Córdoba</v>
      </c>
      <c r="D784" s="30" t="str">
        <f ca="1">IFERROR(__xludf.DUMMYFUNCTION("""COMPUTED_VALUE"""),"14")</f>
        <v>14</v>
      </c>
      <c r="E784" s="30" t="str">
        <f ca="1">IFERROR(__xludf.DUMMYFUNCTION("""COMPUTED_VALUE"""),"")</f>
        <v/>
      </c>
      <c r="F784" s="29"/>
      <c r="G784" s="29"/>
      <c r="H784" s="30" t="str">
        <f ca="1">IFERROR(__xludf.DUMMYFUNCTION("""COMPUTED_VALUE"""),"activo")</f>
        <v>activo</v>
      </c>
      <c r="I784" s="30" t="str">
        <f ca="1">IFERROR(__xludf.DUMMYFUNCTION("""COMPUTED_VALUE"""),"incluido en la circular nro 2")</f>
        <v>incluido en la circular nro 2</v>
      </c>
      <c r="J784" s="29"/>
      <c r="K784" s="29"/>
      <c r="L784" s="30" t="str">
        <f ca="1">IFERROR(__xludf.DUMMYFUNCTION("""COMPUTED_VALUE"""),"No")</f>
        <v>No</v>
      </c>
      <c r="M784" s="30" t="str">
        <f ca="1">IFERROR(__xludf.DUMMYFUNCTION("""COMPUTED_VALUE"""),"14014010000")</f>
        <v>14014010000</v>
      </c>
      <c r="N784" s="30" t="str">
        <f ca="1">IFERROR(__xludf.DUMMYFUNCTION("""COMPUTED_VALUE"""),"CORDOBA")</f>
        <v>CORDOBA</v>
      </c>
      <c r="O784" s="30" t="str">
        <f ca="1">IFERROR(__xludf.DUMMYFUNCTION("""COMPUTED_VALUE"""),"1414")</f>
        <v>1414</v>
      </c>
      <c r="P784" s="30" t="str">
        <f ca="1">IFERROR(__xludf.DUMMYFUNCTION("""COMPUTED_VALUE"""),"CAPITAL")</f>
        <v>CAPITAL</v>
      </c>
      <c r="Q784" s="30" t="str">
        <f ca="1">IFERROR(__xludf.DUMMYFUNCTION("""COMPUTED_VALUE"""),"-31.3989296")</f>
        <v>-31.3989296</v>
      </c>
      <c r="R784" s="30" t="str">
        <f ca="1">IFERROR(__xludf.DUMMYFUNCTION("""COMPUTED_VALUE"""),"-64.1821289")</f>
        <v>-64.1821289</v>
      </c>
      <c r="S784" s="30" t="str">
        <f ca="1">IFERROR(__xludf.DUMMYFUNCTION("""COMPUTED_VALUE"""),"Municipal")</f>
        <v>Municipal</v>
      </c>
      <c r="T784" s="29"/>
    </row>
    <row r="785" spans="1:20" ht="15.75" customHeight="1" x14ac:dyDescent="0.25">
      <c r="A785" s="30" t="str">
        <f ca="1">IFERROR(__xludf.DUMMYFUNCTION("""COMPUTED_VALUE"""),"50140142133190")</f>
        <v>50140142133190</v>
      </c>
      <c r="B785" s="30" t="str">
        <f ca="1">IFERROR(__xludf.DUMMYFUNCTION("""COMPUTED_VALUE"""),"CENTRO DE SALUD N° 15 - BARRIO REMEDIOS DE ESCALADA")</f>
        <v>CENTRO DE SALUD N° 15 - BARRIO REMEDIOS DE ESCALADA</v>
      </c>
      <c r="C785" s="30" t="str">
        <f ca="1">IFERROR(__xludf.DUMMYFUNCTION("""COMPUTED_VALUE"""),"Córdoba")</f>
        <v>Córdoba</v>
      </c>
      <c r="D785" s="30" t="str">
        <f ca="1">IFERROR(__xludf.DUMMYFUNCTION("""COMPUTED_VALUE"""),"14")</f>
        <v>14</v>
      </c>
      <c r="E785" s="30" t="str">
        <f ca="1">IFERROR(__xludf.DUMMYFUNCTION("""COMPUTED_VALUE"""),"")</f>
        <v/>
      </c>
      <c r="F785" s="29"/>
      <c r="G785" s="29"/>
      <c r="H785" s="30" t="str">
        <f ca="1">IFERROR(__xludf.DUMMYFUNCTION("""COMPUTED_VALUE"""),"activo")</f>
        <v>activo</v>
      </c>
      <c r="I785" s="30" t="str">
        <f ca="1">IFERROR(__xludf.DUMMYFUNCTION("""COMPUTED_VALUE"""),"incluido en la circular nro 2")</f>
        <v>incluido en la circular nro 2</v>
      </c>
      <c r="J785" s="29"/>
      <c r="K785" s="29"/>
      <c r="L785" s="30" t="str">
        <f ca="1">IFERROR(__xludf.DUMMYFUNCTION("""COMPUTED_VALUE"""),"No")</f>
        <v>No</v>
      </c>
      <c r="M785" s="30" t="str">
        <f ca="1">IFERROR(__xludf.DUMMYFUNCTION("""COMPUTED_VALUE"""),"14014010000")</f>
        <v>14014010000</v>
      </c>
      <c r="N785" s="30" t="str">
        <f ca="1">IFERROR(__xludf.DUMMYFUNCTION("""COMPUTED_VALUE"""),"CORDOBA")</f>
        <v>CORDOBA</v>
      </c>
      <c r="O785" s="30" t="str">
        <f ca="1">IFERROR(__xludf.DUMMYFUNCTION("""COMPUTED_VALUE"""),"1414")</f>
        <v>1414</v>
      </c>
      <c r="P785" s="30" t="str">
        <f ca="1">IFERROR(__xludf.DUMMYFUNCTION("""COMPUTED_VALUE"""),"CAPITAL")</f>
        <v>CAPITAL</v>
      </c>
      <c r="Q785" s="30" t="str">
        <f ca="1">IFERROR(__xludf.DUMMYFUNCTION("""COMPUTED_VALUE"""),"-31.33957019")</f>
        <v>-31.33957019</v>
      </c>
      <c r="R785" s="30" t="str">
        <f ca="1">IFERROR(__xludf.DUMMYFUNCTION("""COMPUTED_VALUE"""),"-64.17929649")</f>
        <v>-64.17929649</v>
      </c>
      <c r="S785" s="30" t="str">
        <f ca="1">IFERROR(__xludf.DUMMYFUNCTION("""COMPUTED_VALUE"""),"Municipal")</f>
        <v>Municipal</v>
      </c>
      <c r="T785" s="29"/>
    </row>
    <row r="786" spans="1:20" ht="15.75" customHeight="1" x14ac:dyDescent="0.25">
      <c r="A786" s="30" t="str">
        <f ca="1">IFERROR(__xludf.DUMMYFUNCTION("""COMPUTED_VALUE"""),"50140142233206")</f>
        <v>50140142233206</v>
      </c>
      <c r="B786" s="30" t="str">
        <f ca="1">IFERROR(__xludf.DUMMYFUNCTION("""COMPUTED_VALUE"""),"CENTRO DE SALUD N° 8 - BARRIO ACOSTA")</f>
        <v>CENTRO DE SALUD N° 8 - BARRIO ACOSTA</v>
      </c>
      <c r="C786" s="30" t="str">
        <f ca="1">IFERROR(__xludf.DUMMYFUNCTION("""COMPUTED_VALUE"""),"Córdoba")</f>
        <v>Córdoba</v>
      </c>
      <c r="D786" s="30" t="str">
        <f ca="1">IFERROR(__xludf.DUMMYFUNCTION("""COMPUTED_VALUE"""),"14")</f>
        <v>14</v>
      </c>
      <c r="E786" s="30" t="str">
        <f ca="1">IFERROR(__xludf.DUMMYFUNCTION("""COMPUTED_VALUE"""),"")</f>
        <v/>
      </c>
      <c r="F786" s="29"/>
      <c r="G786" s="29"/>
      <c r="H786" s="30" t="str">
        <f ca="1">IFERROR(__xludf.DUMMYFUNCTION("""COMPUTED_VALUE"""),"activo")</f>
        <v>activo</v>
      </c>
      <c r="I786" s="30" t="str">
        <f ca="1">IFERROR(__xludf.DUMMYFUNCTION("""COMPUTED_VALUE"""),"incluido en la circular nro 2")</f>
        <v>incluido en la circular nro 2</v>
      </c>
      <c r="J786" s="29"/>
      <c r="K786" s="29"/>
      <c r="L786" s="30" t="str">
        <f ca="1">IFERROR(__xludf.DUMMYFUNCTION("""COMPUTED_VALUE"""),"No")</f>
        <v>No</v>
      </c>
      <c r="M786" s="30" t="str">
        <f ca="1">IFERROR(__xludf.DUMMYFUNCTION("""COMPUTED_VALUE"""),"14014010000")</f>
        <v>14014010000</v>
      </c>
      <c r="N786" s="30" t="str">
        <f ca="1">IFERROR(__xludf.DUMMYFUNCTION("""COMPUTED_VALUE"""),"CORDOBA")</f>
        <v>CORDOBA</v>
      </c>
      <c r="O786" s="30" t="str">
        <f ca="1">IFERROR(__xludf.DUMMYFUNCTION("""COMPUTED_VALUE"""),"1414")</f>
        <v>1414</v>
      </c>
      <c r="P786" s="30" t="str">
        <f ca="1">IFERROR(__xludf.DUMMYFUNCTION("""COMPUTED_VALUE"""),"CAPITAL")</f>
        <v>CAPITAL</v>
      </c>
      <c r="Q786" s="30" t="str">
        <f ca="1">IFERROR(__xludf.DUMMYFUNCTION("""COMPUTED_VALUE"""),"-31.4224701")</f>
        <v>-31.4224701</v>
      </c>
      <c r="R786" s="30" t="str">
        <f ca="1">IFERROR(__xludf.DUMMYFUNCTION("""COMPUTED_VALUE"""),"-64.1301651")</f>
        <v>-64.1301651</v>
      </c>
      <c r="S786" s="30" t="str">
        <f ca="1">IFERROR(__xludf.DUMMYFUNCTION("""COMPUTED_VALUE"""),"Municipal")</f>
        <v>Municipal</v>
      </c>
      <c r="T786" s="29"/>
    </row>
    <row r="787" spans="1:20" ht="15.75" customHeight="1" x14ac:dyDescent="0.25">
      <c r="A787" s="30" t="str">
        <f ca="1">IFERROR(__xludf.DUMMYFUNCTION("""COMPUTED_VALUE"""),"50140142233253")</f>
        <v>50140142233253</v>
      </c>
      <c r="B787" s="30" t="str">
        <f ca="1">IFERROR(__xludf.DUMMYFUNCTION("""COMPUTED_VALUE"""),"UPAS N° 27 - BARRIO VILLA RIVADAVIA")</f>
        <v>UPAS N° 27 - BARRIO VILLA RIVADAVIA</v>
      </c>
      <c r="C787" s="30" t="str">
        <f ca="1">IFERROR(__xludf.DUMMYFUNCTION("""COMPUTED_VALUE"""),"Córdoba")</f>
        <v>Córdoba</v>
      </c>
      <c r="D787" s="30" t="str">
        <f ca="1">IFERROR(__xludf.DUMMYFUNCTION("""COMPUTED_VALUE"""),"14")</f>
        <v>14</v>
      </c>
      <c r="E787" s="30" t="str">
        <f ca="1">IFERROR(__xludf.DUMMYFUNCTION("""COMPUTED_VALUE"""),"si")</f>
        <v>si</v>
      </c>
      <c r="F787" s="29"/>
      <c r="G787" s="29"/>
      <c r="H787" s="30" t="str">
        <f ca="1">IFERROR(__xludf.DUMMYFUNCTION("""COMPUTED_VALUE"""),"activo")</f>
        <v>activo</v>
      </c>
      <c r="I787" s="30" t="str">
        <f ca="1">IFERROR(__xludf.DUMMYFUNCTION("""COMPUTED_VALUE"""),"incluido en la circular nro 2")</f>
        <v>incluido en la circular nro 2</v>
      </c>
      <c r="J787" s="29"/>
      <c r="K787" s="29"/>
      <c r="L787" s="30" t="str">
        <f ca="1">IFERROR(__xludf.DUMMYFUNCTION("""COMPUTED_VALUE"""),"No")</f>
        <v>No</v>
      </c>
      <c r="M787" s="30" t="str">
        <f ca="1">IFERROR(__xludf.DUMMYFUNCTION("""COMPUTED_VALUE"""),"14014010000")</f>
        <v>14014010000</v>
      </c>
      <c r="N787" s="30" t="str">
        <f ca="1">IFERROR(__xludf.DUMMYFUNCTION("""COMPUTED_VALUE"""),"CORDOBA")</f>
        <v>CORDOBA</v>
      </c>
      <c r="O787" s="30" t="str">
        <f ca="1">IFERROR(__xludf.DUMMYFUNCTION("""COMPUTED_VALUE"""),"1414")</f>
        <v>1414</v>
      </c>
      <c r="P787" s="30" t="str">
        <f ca="1">IFERROR(__xludf.DUMMYFUNCTION("""COMPUTED_VALUE"""),"CAPITAL")</f>
        <v>CAPITAL</v>
      </c>
      <c r="Q787" s="30" t="str">
        <f ca="1">IFERROR(__xludf.DUMMYFUNCTION("""COMPUTED_VALUE"""),"-31.446014")</f>
        <v>-31.446014</v>
      </c>
      <c r="R787" s="30" t="str">
        <f ca="1">IFERROR(__xludf.DUMMYFUNCTION("""COMPUTED_VALUE"""),"-64.213504")</f>
        <v>-64.213504</v>
      </c>
      <c r="S787" s="30" t="str">
        <f ca="1">IFERROR(__xludf.DUMMYFUNCTION("""COMPUTED_VALUE"""),"Municipal")</f>
        <v>Municipal</v>
      </c>
      <c r="T787" s="29"/>
    </row>
    <row r="788" spans="1:20" ht="15.75" customHeight="1" x14ac:dyDescent="0.25">
      <c r="A788" s="30" t="str">
        <f ca="1">IFERROR(__xludf.DUMMYFUNCTION("""COMPUTED_VALUE"""),"50140142233204")</f>
        <v>50140142233204</v>
      </c>
      <c r="B788" s="30" t="str">
        <f ca="1">IFERROR(__xludf.DUMMYFUNCTION("""COMPUTED_VALUE"""),"CENTRO DE SALUD N° 5 - BARRIO YOFRE NORTE")</f>
        <v>CENTRO DE SALUD N° 5 - BARRIO YOFRE NORTE</v>
      </c>
      <c r="C788" s="30" t="str">
        <f ca="1">IFERROR(__xludf.DUMMYFUNCTION("""COMPUTED_VALUE"""),"Córdoba")</f>
        <v>Córdoba</v>
      </c>
      <c r="D788" s="30" t="str">
        <f ca="1">IFERROR(__xludf.DUMMYFUNCTION("""COMPUTED_VALUE"""),"14")</f>
        <v>14</v>
      </c>
      <c r="E788" s="30" t="str">
        <f ca="1">IFERROR(__xludf.DUMMYFUNCTION("""COMPUTED_VALUE"""),"")</f>
        <v/>
      </c>
      <c r="F788" s="29"/>
      <c r="G788" s="29"/>
      <c r="H788" s="30" t="str">
        <f ca="1">IFERROR(__xludf.DUMMYFUNCTION("""COMPUTED_VALUE"""),"activo")</f>
        <v>activo</v>
      </c>
      <c r="I788" s="30" t="str">
        <f ca="1">IFERROR(__xludf.DUMMYFUNCTION("""COMPUTED_VALUE"""),"incluido en la circular nro 2")</f>
        <v>incluido en la circular nro 2</v>
      </c>
      <c r="J788" s="29"/>
      <c r="K788" s="29"/>
      <c r="L788" s="30" t="str">
        <f ca="1">IFERROR(__xludf.DUMMYFUNCTION("""COMPUTED_VALUE"""),"No")</f>
        <v>No</v>
      </c>
      <c r="M788" s="30" t="str">
        <f ca="1">IFERROR(__xludf.DUMMYFUNCTION("""COMPUTED_VALUE"""),"14014010000")</f>
        <v>14014010000</v>
      </c>
      <c r="N788" s="30" t="str">
        <f ca="1">IFERROR(__xludf.DUMMYFUNCTION("""COMPUTED_VALUE"""),"CORDOBA")</f>
        <v>CORDOBA</v>
      </c>
      <c r="O788" s="30" t="str">
        <f ca="1">IFERROR(__xludf.DUMMYFUNCTION("""COMPUTED_VALUE"""),"1414")</f>
        <v>1414</v>
      </c>
      <c r="P788" s="30" t="str">
        <f ca="1">IFERROR(__xludf.DUMMYFUNCTION("""COMPUTED_VALUE"""),"CAPITAL")</f>
        <v>CAPITAL</v>
      </c>
      <c r="Q788" s="30" t="str">
        <f ca="1">IFERROR(__xludf.DUMMYFUNCTION("""COMPUTED_VALUE"""),"-31.386711")</f>
        <v>-31.386711</v>
      </c>
      <c r="R788" s="30" t="str">
        <f ca="1">IFERROR(__xludf.DUMMYFUNCTION("""COMPUTED_VALUE"""),"-64.130406")</f>
        <v>-64.130406</v>
      </c>
      <c r="S788" s="30" t="str">
        <f ca="1">IFERROR(__xludf.DUMMYFUNCTION("""COMPUTED_VALUE"""),"Municipal")</f>
        <v>Municipal</v>
      </c>
      <c r="T788" s="29"/>
    </row>
    <row r="789" spans="1:20" ht="15.75" customHeight="1" x14ac:dyDescent="0.25">
      <c r="A789" s="30" t="str">
        <f ca="1">IFERROR(__xludf.DUMMYFUNCTION("""COMPUTED_VALUE"""),"50140142131416")</f>
        <v>50140142131416</v>
      </c>
      <c r="B789" s="30" t="str">
        <f ca="1">IFERROR(__xludf.DUMMYFUNCTION("""COMPUTED_VALUE"""),"CAPS YOFRE SUR")</f>
        <v>CAPS YOFRE SUR</v>
      </c>
      <c r="C789" s="30" t="str">
        <f ca="1">IFERROR(__xludf.DUMMYFUNCTION("""COMPUTED_VALUE"""),"Córdoba")</f>
        <v>Córdoba</v>
      </c>
      <c r="D789" s="30" t="str">
        <f ca="1">IFERROR(__xludf.DUMMYFUNCTION("""COMPUTED_VALUE"""),"14")</f>
        <v>14</v>
      </c>
      <c r="E789" s="30" t="str">
        <f ca="1">IFERROR(__xludf.DUMMYFUNCTION("""COMPUTED_VALUE"""),"")</f>
        <v/>
      </c>
      <c r="F789" s="29"/>
      <c r="G789" s="30" t="str">
        <f ca="1">IFERROR(__xludf.DUMMYFUNCTION("""COMPUTED_VALUE"""),"50140492232337")</f>
        <v>50140492232337</v>
      </c>
      <c r="H789" s="30" t="str">
        <f ca="1">IFERROR(__xludf.DUMMYFUNCTION("""COMPUTED_VALUE"""),"inactivo")</f>
        <v>inactivo</v>
      </c>
      <c r="I789" s="30" t="str">
        <f ca="1">IFERROR(__xludf.DUMMYFUNCTION("""COMPUTED_VALUE"""),"incluido en la circular nro 2")</f>
        <v>incluido en la circular nro 2</v>
      </c>
      <c r="J789" s="29"/>
      <c r="K789" s="29"/>
      <c r="L789" s="30" t="str">
        <f ca="1">IFERROR(__xludf.DUMMYFUNCTION("""COMPUTED_VALUE"""),"No")</f>
        <v>No</v>
      </c>
      <c r="M789" s="30" t="str">
        <f ca="1">IFERROR(__xludf.DUMMYFUNCTION("""COMPUTED_VALUE"""),"14014010000")</f>
        <v>14014010000</v>
      </c>
      <c r="N789" s="30" t="str">
        <f ca="1">IFERROR(__xludf.DUMMYFUNCTION("""COMPUTED_VALUE"""),"CORDOBA")</f>
        <v>CORDOBA</v>
      </c>
      <c r="O789" s="30" t="str">
        <f ca="1">IFERROR(__xludf.DUMMYFUNCTION("""COMPUTED_VALUE"""),"1414")</f>
        <v>1414</v>
      </c>
      <c r="P789" s="30" t="str">
        <f ca="1">IFERROR(__xludf.DUMMYFUNCTION("""COMPUTED_VALUE"""),"CAPITAL")</f>
        <v>CAPITAL</v>
      </c>
      <c r="Q789" s="30" t="str">
        <f ca="1">IFERROR(__xludf.DUMMYFUNCTION("""COMPUTED_VALUE"""),"-31.392993")</f>
        <v>-31.392993</v>
      </c>
      <c r="R789" s="30" t="str">
        <f ca="1">IFERROR(__xludf.DUMMYFUNCTION("""COMPUTED_VALUE"""),"-64.142329")</f>
        <v>-64.142329</v>
      </c>
      <c r="S789" s="30" t="str">
        <f ca="1">IFERROR(__xludf.DUMMYFUNCTION("""COMPUTED_VALUE"""),"Provincial")</f>
        <v>Provincial</v>
      </c>
      <c r="T789" s="30" t="str">
        <f ca="1">IFERROR(__xludf.DUMMYFUNCTION("""COMPUTED_VALUE"""),"-")</f>
        <v>-</v>
      </c>
    </row>
    <row r="790" spans="1:20" ht="15.75" customHeight="1" x14ac:dyDescent="0.25">
      <c r="A790" s="30" t="str">
        <f ca="1">IFERROR(__xludf.DUMMYFUNCTION("""COMPUTED_VALUE"""),"50140492232337")</f>
        <v>50140492232337</v>
      </c>
      <c r="B790" s="30" t="str">
        <f ca="1">IFERROR(__xludf.DUMMYFUNCTION("""COMPUTED_VALUE"""),"CENTRO DE INTEGRACION COMUNAL")</f>
        <v>CENTRO DE INTEGRACION COMUNAL</v>
      </c>
      <c r="C790" s="30" t="str">
        <f ca="1">IFERROR(__xludf.DUMMYFUNCTION("""COMPUTED_VALUE"""),"Córdoba")</f>
        <v>Córdoba</v>
      </c>
      <c r="D790" s="30" t="str">
        <f ca="1">IFERROR(__xludf.DUMMYFUNCTION("""COMPUTED_VALUE"""),"14")</f>
        <v>14</v>
      </c>
      <c r="E790" s="30" t="str">
        <f ca="1">IFERROR(__xludf.DUMMYFUNCTION("""COMPUTED_VALUE"""),"")</f>
        <v/>
      </c>
      <c r="F790" s="30" t="str">
        <f ca="1">IFERROR(__xludf.DUMMYFUNCTION("""COMPUTED_VALUE"""),"50140142131416")</f>
        <v>50140142131416</v>
      </c>
      <c r="G790" s="29"/>
      <c r="H790" s="30" t="str">
        <f ca="1">IFERROR(__xludf.DUMMYFUNCTION("""COMPUTED_VALUE"""),"activo")</f>
        <v>activo</v>
      </c>
      <c r="I790" s="30" t="str">
        <f ca="1">IFERROR(__xludf.DUMMYFUNCTION("""COMPUTED_VALUE"""),"2020")</f>
        <v>2020</v>
      </c>
      <c r="J790" s="29"/>
      <c r="K790" s="29"/>
      <c r="L790" s="30" t="str">
        <f ca="1">IFERROR(__xludf.DUMMYFUNCTION("""COMPUTED_VALUE"""),"No")</f>
        <v>No</v>
      </c>
      <c r="M790" s="30" t="str">
        <f ca="1">IFERROR(__xludf.DUMMYFUNCTION("""COMPUTED_VALUE"""),"14049050000")</f>
        <v>14049050000</v>
      </c>
      <c r="N790" s="30" t="str">
        <f ca="1">IFERROR(__xludf.DUMMYFUNCTION("""COMPUTED_VALUE"""),"DEAN FUNES")</f>
        <v>DEAN FUNES</v>
      </c>
      <c r="O790" s="30" t="str">
        <f ca="1">IFERROR(__xludf.DUMMYFUNCTION("""COMPUTED_VALUE"""),"1449")</f>
        <v>1449</v>
      </c>
      <c r="P790" s="30" t="str">
        <f ca="1">IFERROR(__xludf.DUMMYFUNCTION("""COMPUTED_VALUE"""),"ISCHILÍN")</f>
        <v>ISCHILÍN</v>
      </c>
      <c r="Q790" s="30" t="str">
        <f ca="1">IFERROR(__xludf.DUMMYFUNCTION("""COMPUTED_VALUE"""),"-30.58023")</f>
        <v>-30.58023</v>
      </c>
      <c r="R790" s="30" t="str">
        <f ca="1">IFERROR(__xludf.DUMMYFUNCTION("""COMPUTED_VALUE"""),"-64.36405")</f>
        <v>-64.36405</v>
      </c>
      <c r="S790" s="30" t="str">
        <f ca="1">IFERROR(__xludf.DUMMYFUNCTION("""COMPUTED_VALUE"""),"Municipal")</f>
        <v>Municipal</v>
      </c>
      <c r="T790" s="29"/>
    </row>
    <row r="791" spans="1:20" ht="15.75" customHeight="1" x14ac:dyDescent="0.25">
      <c r="A791" s="30" t="str">
        <f ca="1">IFERROR(__xludf.DUMMYFUNCTION("""COMPUTED_VALUE"""),"50140212232529")</f>
        <v>50140212232529</v>
      </c>
      <c r="B791" s="30" t="str">
        <f ca="1">IFERROR(__xludf.DUMMYFUNCTION("""COMPUTED_VALUE"""),"PUESTO SANITARIO TINOCO")</f>
        <v>PUESTO SANITARIO TINOCO</v>
      </c>
      <c r="C791" s="30" t="str">
        <f ca="1">IFERROR(__xludf.DUMMYFUNCTION("""COMPUTED_VALUE"""),"Córdoba")</f>
        <v>Córdoba</v>
      </c>
      <c r="D791" s="30" t="str">
        <f ca="1">IFERROR(__xludf.DUMMYFUNCTION("""COMPUTED_VALUE"""),"14")</f>
        <v>14</v>
      </c>
      <c r="E791" s="30" t="str">
        <f ca="1">IFERROR(__xludf.DUMMYFUNCTION("""COMPUTED_VALUE"""),"")</f>
        <v/>
      </c>
      <c r="F791" s="29"/>
      <c r="G791" s="29"/>
      <c r="H791" s="30" t="str">
        <f ca="1">IFERROR(__xludf.DUMMYFUNCTION("""COMPUTED_VALUE"""),"activo")</f>
        <v>activo</v>
      </c>
      <c r="I791" s="30" t="str">
        <f ca="1">IFERROR(__xludf.DUMMYFUNCTION("""COMPUTED_VALUE"""),"incluido en la circular nro 2")</f>
        <v>incluido en la circular nro 2</v>
      </c>
      <c r="J791" s="29"/>
      <c r="K791" s="29"/>
      <c r="L791" s="30" t="str">
        <f ca="1">IFERROR(__xludf.DUMMYFUNCTION("""COMPUTED_VALUE"""),"No")</f>
        <v>No</v>
      </c>
      <c r="M791" s="30" t="str">
        <f ca="1">IFERROR(__xludf.DUMMYFUNCTION("""COMPUTED_VALUE"""),"14021270000")</f>
        <v>14021270000</v>
      </c>
      <c r="N791" s="30" t="str">
        <f ca="1">IFERROR(__xludf.DUMMYFUNCTION("""COMPUTED_VALUE"""),"TINOCO")</f>
        <v>TINOCO</v>
      </c>
      <c r="O791" s="30" t="str">
        <f ca="1">IFERROR(__xludf.DUMMYFUNCTION("""COMPUTED_VALUE"""),"1421")</f>
        <v>1421</v>
      </c>
      <c r="P791" s="30" t="str">
        <f ca="1">IFERROR(__xludf.DUMMYFUNCTION("""COMPUTED_VALUE"""),"COLÓN")</f>
        <v>COLÓN</v>
      </c>
      <c r="Q791" s="30" t="str">
        <f ca="1">IFERROR(__xludf.DUMMYFUNCTION("""COMPUTED_VALUE"""),"-31.13319527")</f>
        <v>-31.13319527</v>
      </c>
      <c r="R791" s="30" t="str">
        <f ca="1">IFERROR(__xludf.DUMMYFUNCTION("""COMPUTED_VALUE"""),"-63.8999176")</f>
        <v>-63.8999176</v>
      </c>
      <c r="S791" s="30" t="str">
        <f ca="1">IFERROR(__xludf.DUMMYFUNCTION("""COMPUTED_VALUE"""),"Municipal")</f>
        <v>Municipal</v>
      </c>
      <c r="T791" s="29"/>
    </row>
    <row r="792" spans="1:20" ht="15.75" customHeight="1" x14ac:dyDescent="0.25">
      <c r="A792" s="30" t="str">
        <f ca="1">IFERROR(__xludf.DUMMYFUNCTION("""COMPUTED_VALUE"""),"50140212232108")</f>
        <v>50140212232108</v>
      </c>
      <c r="B792" s="30" t="str">
        <f ca="1">IFERROR(__xludf.DUMMYFUNCTION("""COMPUTED_VALUE"""),"DISPENSARIO MUNICIPAL BARRIO PORTON DE PIEDRA")</f>
        <v>DISPENSARIO MUNICIPAL BARRIO PORTON DE PIEDRA</v>
      </c>
      <c r="C792" s="30" t="str">
        <f ca="1">IFERROR(__xludf.DUMMYFUNCTION("""COMPUTED_VALUE"""),"Córdoba")</f>
        <v>Córdoba</v>
      </c>
      <c r="D792" s="30" t="str">
        <f ca="1">IFERROR(__xludf.DUMMYFUNCTION("""COMPUTED_VALUE"""),"14")</f>
        <v>14</v>
      </c>
      <c r="E792" s="30" t="str">
        <f ca="1">IFERROR(__xludf.DUMMYFUNCTION("""COMPUTED_VALUE"""),"")</f>
        <v/>
      </c>
      <c r="F792" s="29"/>
      <c r="G792" s="29"/>
      <c r="H792" s="30" t="str">
        <f ca="1">IFERROR(__xludf.DUMMYFUNCTION("""COMPUTED_VALUE"""),"activo")</f>
        <v>activo</v>
      </c>
      <c r="I792" s="30" t="str">
        <f ca="1">IFERROR(__xludf.DUMMYFUNCTION("""COMPUTED_VALUE"""),"incluido en la circular nro 2")</f>
        <v>incluido en la circular nro 2</v>
      </c>
      <c r="J792" s="29"/>
      <c r="K792" s="29"/>
      <c r="L792" s="30" t="str">
        <f ca="1">IFERROR(__xludf.DUMMYFUNCTION("""COMPUTED_VALUE"""),"No")</f>
        <v>No</v>
      </c>
      <c r="M792" s="30" t="str">
        <f ca="1">IFERROR(__xludf.DUMMYFUNCTION("""COMPUTED_VALUE"""),"14021240000")</f>
        <v>14021240000</v>
      </c>
      <c r="N792" s="30" t="str">
        <f ca="1">IFERROR(__xludf.DUMMYFUNCTION("""COMPUTED_VALUE"""),"SALDAN")</f>
        <v>SALDAN</v>
      </c>
      <c r="O792" s="30" t="str">
        <f ca="1">IFERROR(__xludf.DUMMYFUNCTION("""COMPUTED_VALUE"""),"1421")</f>
        <v>1421</v>
      </c>
      <c r="P792" s="30" t="str">
        <f ca="1">IFERROR(__xludf.DUMMYFUNCTION("""COMPUTED_VALUE"""),"COLÓN")</f>
        <v>COLÓN</v>
      </c>
      <c r="Q792" s="30" t="str">
        <f ca="1">IFERROR(__xludf.DUMMYFUNCTION("""COMPUTED_VALUE"""),"-30.71940712")</f>
        <v>-30.71940712</v>
      </c>
      <c r="R792" s="30" t="str">
        <f ca="1">IFERROR(__xludf.DUMMYFUNCTION("""COMPUTED_VALUE"""),"-64.73865509")</f>
        <v>-64.73865509</v>
      </c>
      <c r="S792" s="30" t="str">
        <f ca="1">IFERROR(__xludf.DUMMYFUNCTION("""COMPUTED_VALUE"""),"Municipal")</f>
        <v>Municipal</v>
      </c>
      <c r="T792" s="29"/>
    </row>
    <row r="793" spans="1:20" ht="15.75" customHeight="1" x14ac:dyDescent="0.25">
      <c r="A793" s="30" t="str">
        <f ca="1">IFERROR(__xludf.DUMMYFUNCTION("""COMPUTED_VALUE"""),"50140212231391")</f>
        <v>50140212231391</v>
      </c>
      <c r="B793" s="30" t="str">
        <f ca="1">IFERROR(__xludf.DUMMYFUNCTION("""COMPUTED_VALUE"""),"CAPS DR. JOSE BREGANTE")</f>
        <v>CAPS DR. JOSE BREGANTE</v>
      </c>
      <c r="C793" s="30" t="str">
        <f ca="1">IFERROR(__xludf.DUMMYFUNCTION("""COMPUTED_VALUE"""),"Córdoba")</f>
        <v>Córdoba</v>
      </c>
      <c r="D793" s="30" t="str">
        <f ca="1">IFERROR(__xludf.DUMMYFUNCTION("""COMPUTED_VALUE"""),"14")</f>
        <v>14</v>
      </c>
      <c r="E793" s="30" t="str">
        <f ca="1">IFERROR(__xludf.DUMMYFUNCTION("""COMPUTED_VALUE"""),"si")</f>
        <v>si</v>
      </c>
      <c r="F793" s="29"/>
      <c r="G793" s="29"/>
      <c r="H793" s="30" t="str">
        <f ca="1">IFERROR(__xludf.DUMMYFUNCTION("""COMPUTED_VALUE"""),"activo")</f>
        <v>activo</v>
      </c>
      <c r="I793" s="30" t="str">
        <f ca="1">IFERROR(__xludf.DUMMYFUNCTION("""COMPUTED_VALUE"""),"incluido en la circular nro 2")</f>
        <v>incluido en la circular nro 2</v>
      </c>
      <c r="J793" s="29"/>
      <c r="K793" s="29"/>
      <c r="L793" s="30" t="str">
        <f ca="1">IFERROR(__xludf.DUMMYFUNCTION("""COMPUTED_VALUE"""),"No")</f>
        <v>No</v>
      </c>
      <c r="M793" s="30" t="str">
        <f ca="1">IFERROR(__xludf.DUMMYFUNCTION("""COMPUTED_VALUE"""),"14021110000")</f>
        <v>14021110000</v>
      </c>
      <c r="N793" s="30" t="str">
        <f ca="1">IFERROR(__xludf.DUMMYFUNCTION("""COMPUTED_VALUE"""),"EL MANZANO")</f>
        <v>EL MANZANO</v>
      </c>
      <c r="O793" s="30" t="str">
        <f ca="1">IFERROR(__xludf.DUMMYFUNCTION("""COMPUTED_VALUE"""),"1421")</f>
        <v>1421</v>
      </c>
      <c r="P793" s="30" t="str">
        <f ca="1">IFERROR(__xludf.DUMMYFUNCTION("""COMPUTED_VALUE"""),"COLÓN")</f>
        <v>COLÓN</v>
      </c>
      <c r="Q793" s="30" t="str">
        <f ca="1">IFERROR(__xludf.DUMMYFUNCTION("""COMPUTED_VALUE"""),"-31.09810079")</f>
        <v>-31.09810079</v>
      </c>
      <c r="R793" s="30" t="str">
        <f ca="1">IFERROR(__xludf.DUMMYFUNCTION("""COMPUTED_VALUE"""),"-64.3447271")</f>
        <v>-64.3447271</v>
      </c>
      <c r="S793" s="30" t="str">
        <f ca="1">IFERROR(__xludf.DUMMYFUNCTION("""COMPUTED_VALUE"""),"Municipal")</f>
        <v>Municipal</v>
      </c>
      <c r="T793" s="29"/>
    </row>
    <row r="794" spans="1:20" ht="15.75" customHeight="1" x14ac:dyDescent="0.25">
      <c r="A794" s="30" t="str">
        <f ca="1">IFERROR(__xludf.DUMMYFUNCTION("""COMPUTED_VALUE"""),"50140212231450")</f>
        <v>50140212231450</v>
      </c>
      <c r="B794" s="30" t="str">
        <f ca="1">IFERROR(__xludf.DUMMYFUNCTION("""COMPUTED_VALUE"""),"CENTRO DE SALUD MUNICIPAL COLONIA TIROLESA - DR. ARTURO ILLIA")</f>
        <v>CENTRO DE SALUD MUNICIPAL COLONIA TIROLESA - DR. ARTURO ILLIA</v>
      </c>
      <c r="C794" s="30" t="str">
        <f ca="1">IFERROR(__xludf.DUMMYFUNCTION("""COMPUTED_VALUE"""),"Córdoba")</f>
        <v>Córdoba</v>
      </c>
      <c r="D794" s="30" t="str">
        <f ca="1">IFERROR(__xludf.DUMMYFUNCTION("""COMPUTED_VALUE"""),"14")</f>
        <v>14</v>
      </c>
      <c r="E794" s="30" t="str">
        <f ca="1">IFERROR(__xludf.DUMMYFUNCTION("""COMPUTED_VALUE"""),"")</f>
        <v/>
      </c>
      <c r="F794" s="29"/>
      <c r="G794" s="29"/>
      <c r="H794" s="30" t="str">
        <f ca="1">IFERROR(__xludf.DUMMYFUNCTION("""COMPUTED_VALUE"""),"activo")</f>
        <v>activo</v>
      </c>
      <c r="I794" s="30" t="str">
        <f ca="1">IFERROR(__xludf.DUMMYFUNCTION("""COMPUTED_VALUE"""),"incluido en la circular nro 2")</f>
        <v>incluido en la circular nro 2</v>
      </c>
      <c r="J794" s="29"/>
      <c r="K794" s="29"/>
      <c r="L794" s="30" t="str">
        <f ca="1">IFERROR(__xludf.DUMMYFUNCTION("""COMPUTED_VALUE"""),"No")</f>
        <v>No</v>
      </c>
      <c r="M794" s="30" t="str">
        <f ca="1">IFERROR(__xludf.DUMMYFUNCTION("""COMPUTED_VALUE"""),"14021060000")</f>
        <v>14021060000</v>
      </c>
      <c r="N794" s="30" t="str">
        <f ca="1">IFERROR(__xludf.DUMMYFUNCTION("""COMPUTED_VALUE"""),"COLONIA TIROLESA")</f>
        <v>COLONIA TIROLESA</v>
      </c>
      <c r="O794" s="30" t="str">
        <f ca="1">IFERROR(__xludf.DUMMYFUNCTION("""COMPUTED_VALUE"""),"1421")</f>
        <v>1421</v>
      </c>
      <c r="P794" s="30" t="str">
        <f ca="1">IFERROR(__xludf.DUMMYFUNCTION("""COMPUTED_VALUE"""),"COLÓN")</f>
        <v>COLÓN</v>
      </c>
      <c r="Q794" s="30" t="str">
        <f ca="1">IFERROR(__xludf.DUMMYFUNCTION("""COMPUTED_VALUE"""),"-31.236929")</f>
        <v>-31.236929</v>
      </c>
      <c r="R794" s="30" t="str">
        <f ca="1">IFERROR(__xludf.DUMMYFUNCTION("""COMPUTED_VALUE"""),"-64.066832")</f>
        <v>-64.066832</v>
      </c>
      <c r="S794" s="30" t="str">
        <f ca="1">IFERROR(__xludf.DUMMYFUNCTION("""COMPUTED_VALUE"""),"Municipal")</f>
        <v>Municipal</v>
      </c>
      <c r="T794" s="29"/>
    </row>
    <row r="795" spans="1:20" ht="15.75" customHeight="1" x14ac:dyDescent="0.25">
      <c r="A795" s="30" t="str">
        <f ca="1">IFERROR(__xludf.DUMMYFUNCTION("""COMPUTED_VALUE"""),"50140212232513")</f>
        <v>50140212232513</v>
      </c>
      <c r="B795" s="30" t="str">
        <f ca="1">IFERROR(__xludf.DUMMYFUNCTION("""COMPUTED_VALUE"""),"DISPENSARIO LOTE 11")</f>
        <v>DISPENSARIO LOTE 11</v>
      </c>
      <c r="C795" s="30" t="str">
        <f ca="1">IFERROR(__xludf.DUMMYFUNCTION("""COMPUTED_VALUE"""),"Córdoba")</f>
        <v>Córdoba</v>
      </c>
      <c r="D795" s="30" t="str">
        <f ca="1">IFERROR(__xludf.DUMMYFUNCTION("""COMPUTED_VALUE"""),"14")</f>
        <v>14</v>
      </c>
      <c r="E795" s="30" t="str">
        <f ca="1">IFERROR(__xludf.DUMMYFUNCTION("""COMPUTED_VALUE"""),"")</f>
        <v/>
      </c>
      <c r="F795" s="29"/>
      <c r="G795" s="29"/>
      <c r="H795" s="30" t="str">
        <f ca="1">IFERROR(__xludf.DUMMYFUNCTION("""COMPUTED_VALUE"""),"activo")</f>
        <v>activo</v>
      </c>
      <c r="I795" s="30" t="str">
        <f ca="1">IFERROR(__xludf.DUMMYFUNCTION("""COMPUTED_VALUE"""),"incluido en la circular nro 2")</f>
        <v>incluido en la circular nro 2</v>
      </c>
      <c r="J795" s="29"/>
      <c r="K795" s="29"/>
      <c r="L795" s="30" t="str">
        <f ca="1">IFERROR(__xludf.DUMMYFUNCTION("""COMPUTED_VALUE"""),"No")</f>
        <v>No</v>
      </c>
      <c r="M795" s="30" t="str">
        <f ca="1">IFERROR(__xludf.DUMMYFUNCTION("""COMPUTED_VALUE"""),"14021050000")</f>
        <v>14021050000</v>
      </c>
      <c r="N795" s="30" t="str">
        <f ca="1">IFERROR(__xludf.DUMMYFUNCTION("""COMPUTED_VALUE"""),"COLONIA CAROYA")</f>
        <v>COLONIA CAROYA</v>
      </c>
      <c r="O795" s="30" t="str">
        <f ca="1">IFERROR(__xludf.DUMMYFUNCTION("""COMPUTED_VALUE"""),"1421")</f>
        <v>1421</v>
      </c>
      <c r="P795" s="30" t="str">
        <f ca="1">IFERROR(__xludf.DUMMYFUNCTION("""COMPUTED_VALUE"""),"COLÓN")</f>
        <v>COLÓN</v>
      </c>
      <c r="Q795" s="30" t="str">
        <f ca="1">IFERROR(__xludf.DUMMYFUNCTION("""COMPUTED_VALUE"""),"-31.003124")</f>
        <v>-31.003124</v>
      </c>
      <c r="R795" s="30" t="str">
        <f ca="1">IFERROR(__xludf.DUMMYFUNCTION("""COMPUTED_VALUE"""),"-64.082956")</f>
        <v>-64.082956</v>
      </c>
      <c r="S795" s="30" t="str">
        <f ca="1">IFERROR(__xludf.DUMMYFUNCTION("""COMPUTED_VALUE"""),"Municipal")</f>
        <v>Municipal</v>
      </c>
      <c r="T795" s="29"/>
    </row>
    <row r="796" spans="1:20" ht="15.75" customHeight="1" x14ac:dyDescent="0.25">
      <c r="A796" s="30" t="str">
        <f ca="1">IFERROR(__xludf.DUMMYFUNCTION("""COMPUTED_VALUE"""),"50140282232427")</f>
        <v>50140282232427</v>
      </c>
      <c r="B796" s="30" t="str">
        <f ca="1">IFERROR(__xludf.DUMMYFUNCTION("""COMPUTED_VALUE"""),"DISPENSARIO MUNICIPAL")</f>
        <v>DISPENSARIO MUNICIPAL</v>
      </c>
      <c r="C796" s="30" t="str">
        <f ca="1">IFERROR(__xludf.DUMMYFUNCTION("""COMPUTED_VALUE"""),"Córdoba")</f>
        <v>Córdoba</v>
      </c>
      <c r="D796" s="30" t="str">
        <f ca="1">IFERROR(__xludf.DUMMYFUNCTION("""COMPUTED_VALUE"""),"14")</f>
        <v>14</v>
      </c>
      <c r="E796" s="30" t="str">
        <f ca="1">IFERROR(__xludf.DUMMYFUNCTION("""COMPUTED_VALUE"""),"si")</f>
        <v>si</v>
      </c>
      <c r="F796" s="29"/>
      <c r="G796" s="29"/>
      <c r="H796" s="30" t="str">
        <f ca="1">IFERROR(__xludf.DUMMYFUNCTION("""COMPUTED_VALUE"""),"activo")</f>
        <v>activo</v>
      </c>
      <c r="I796" s="30" t="str">
        <f ca="1">IFERROR(__xludf.DUMMYFUNCTION("""COMPUTED_VALUE"""),"incluido en la circular nro 2")</f>
        <v>incluido en la circular nro 2</v>
      </c>
      <c r="J796" s="29"/>
      <c r="K796" s="29"/>
      <c r="L796" s="30" t="str">
        <f ca="1">IFERROR(__xludf.DUMMYFUNCTION("""COMPUTED_VALUE"""),"No")</f>
        <v>No</v>
      </c>
      <c r="M796" s="30" t="str">
        <f ca="1">IFERROR(__xludf.DUMMYFUNCTION("""COMPUTED_VALUE"""),"14028170000")</f>
        <v>14028170000</v>
      </c>
      <c r="N796" s="30" t="str">
        <f ca="1">IFERROR(__xludf.DUMMYFUNCTION("""COMPUTED_VALUE"""),"SAN MARCOS SIERRA")</f>
        <v>SAN MARCOS SIERRA</v>
      </c>
      <c r="O796" s="30" t="str">
        <f ca="1">IFERROR(__xludf.DUMMYFUNCTION("""COMPUTED_VALUE"""),"1428")</f>
        <v>1428</v>
      </c>
      <c r="P796" s="30" t="str">
        <f ca="1">IFERROR(__xludf.DUMMYFUNCTION("""COMPUTED_VALUE"""),"CRUZ DEL EJE")</f>
        <v>CRUZ DEL EJE</v>
      </c>
      <c r="Q796" s="30" t="str">
        <f ca="1">IFERROR(__xludf.DUMMYFUNCTION("""COMPUTED_VALUE"""),"-30.7420875")</f>
        <v>-30.7420875</v>
      </c>
      <c r="R796" s="30" t="str">
        <f ca="1">IFERROR(__xludf.DUMMYFUNCTION("""COMPUTED_VALUE"""),"-64.7874175")</f>
        <v>-64.7874175</v>
      </c>
      <c r="S796" s="30" t="str">
        <f ca="1">IFERROR(__xludf.DUMMYFUNCTION("""COMPUTED_VALUE"""),"Municipal")</f>
        <v>Municipal</v>
      </c>
      <c r="T796" s="29"/>
    </row>
    <row r="797" spans="1:20" ht="15.75" customHeight="1" x14ac:dyDescent="0.25">
      <c r="A797" s="30" t="str">
        <f ca="1">IFERROR(__xludf.DUMMYFUNCTION("""COMPUTED_VALUE"""),"10140352231206")</f>
        <v>10140352231206</v>
      </c>
      <c r="B797" s="30" t="str">
        <f ca="1">IFERROR(__xludf.DUMMYFUNCTION("""COMPUTED_VALUE"""),"HOSPITAL MUNICIPAL DR. VICENTE ISAURO GONZALEZ")</f>
        <v>HOSPITAL MUNICIPAL DR. VICENTE ISAURO GONZALEZ</v>
      </c>
      <c r="C797" s="30" t="str">
        <f ca="1">IFERROR(__xludf.DUMMYFUNCTION("""COMPUTED_VALUE"""),"Córdoba")</f>
        <v>Córdoba</v>
      </c>
      <c r="D797" s="30" t="str">
        <f ca="1">IFERROR(__xludf.DUMMYFUNCTION("""COMPUTED_VALUE"""),"14")</f>
        <v>14</v>
      </c>
      <c r="E797" s="30" t="str">
        <f ca="1">IFERROR(__xludf.DUMMYFUNCTION("""COMPUTED_VALUE"""),"si")</f>
        <v>si</v>
      </c>
      <c r="F797" s="29"/>
      <c r="G797" s="29"/>
      <c r="H797" s="30" t="str">
        <f ca="1">IFERROR(__xludf.DUMMYFUNCTION("""COMPUTED_VALUE"""),"activo")</f>
        <v>activo</v>
      </c>
      <c r="I797" s="30" t="str">
        <f ca="1">IFERROR(__xludf.DUMMYFUNCTION("""COMPUTED_VALUE"""),"incluido en la circular nro 2")</f>
        <v>incluido en la circular nro 2</v>
      </c>
      <c r="J797" s="29"/>
      <c r="K797" s="29"/>
      <c r="L797" s="30" t="str">
        <f ca="1">IFERROR(__xludf.DUMMYFUNCTION("""COMPUTED_VALUE"""),"No")</f>
        <v>No</v>
      </c>
      <c r="M797" s="30" t="str">
        <f ca="1">IFERROR(__xludf.DUMMYFUNCTION("""COMPUTED_VALUE"""),"14035010000")</f>
        <v>14035010000</v>
      </c>
      <c r="N797" s="30" t="str">
        <f ca="1">IFERROR(__xludf.DUMMYFUNCTION("""COMPUTED_VALUE"""),"DEL CAMPILLO")</f>
        <v>DEL CAMPILLO</v>
      </c>
      <c r="O797" s="30" t="str">
        <f ca="1">IFERROR(__xludf.DUMMYFUNCTION("""COMPUTED_VALUE"""),"1435")</f>
        <v>1435</v>
      </c>
      <c r="P797" s="30" t="str">
        <f ca="1">IFERROR(__xludf.DUMMYFUNCTION("""COMPUTED_VALUE"""),"GENERAL ROCA")</f>
        <v>GENERAL ROCA</v>
      </c>
      <c r="Q797" s="30" t="str">
        <f ca="1">IFERROR(__xludf.DUMMYFUNCTION("""COMPUTED_VALUE"""),"-34.3783606")</f>
        <v>-34.3783606</v>
      </c>
      <c r="R797" s="30" t="str">
        <f ca="1">IFERROR(__xludf.DUMMYFUNCTION("""COMPUTED_VALUE"""),"-64.4964277")</f>
        <v>-64.4964277</v>
      </c>
      <c r="S797" s="30" t="str">
        <f ca="1">IFERROR(__xludf.DUMMYFUNCTION("""COMPUTED_VALUE"""),"Municipal")</f>
        <v>Municipal</v>
      </c>
      <c r="T797" s="29"/>
    </row>
    <row r="798" spans="1:20" ht="15.75" customHeight="1" x14ac:dyDescent="0.25">
      <c r="A798" s="30" t="str">
        <f ca="1">IFERROR(__xludf.DUMMYFUNCTION("""COMPUTED_VALUE"""),"50140912231992")</f>
        <v>50140912231992</v>
      </c>
      <c r="B798" s="30" t="str">
        <f ca="1">IFERROR(__xludf.DUMMYFUNCTION("""COMPUTED_VALUE"""),"DISPENSARIO SAN NICOLAS")</f>
        <v>DISPENSARIO SAN NICOLAS</v>
      </c>
      <c r="C798" s="30" t="str">
        <f ca="1">IFERROR(__xludf.DUMMYFUNCTION("""COMPUTED_VALUE"""),"Córdoba")</f>
        <v>Córdoba</v>
      </c>
      <c r="D798" s="30" t="str">
        <f ca="1">IFERROR(__xludf.DUMMYFUNCTION("""COMPUTED_VALUE"""),"14")</f>
        <v>14</v>
      </c>
      <c r="E798" s="30" t="str">
        <f ca="1">IFERROR(__xludf.DUMMYFUNCTION("""COMPUTED_VALUE"""),"")</f>
        <v/>
      </c>
      <c r="F798" s="29"/>
      <c r="G798" s="29"/>
      <c r="H798" s="30" t="str">
        <f ca="1">IFERROR(__xludf.DUMMYFUNCTION("""COMPUTED_VALUE"""),"activo")</f>
        <v>activo</v>
      </c>
      <c r="I798" s="30" t="str">
        <f ca="1">IFERROR(__xludf.DUMMYFUNCTION("""COMPUTED_VALUE"""),"incluido en la circular nro 2")</f>
        <v>incluido en la circular nro 2</v>
      </c>
      <c r="J798" s="29"/>
      <c r="K798" s="29"/>
      <c r="L798" s="30" t="str">
        <f ca="1">IFERROR(__xludf.DUMMYFUNCTION("""COMPUTED_VALUE"""),"No")</f>
        <v>No</v>
      </c>
      <c r="M798" s="30" t="str">
        <f ca="1">IFERROR(__xludf.DUMMYFUNCTION("""COMPUTED_VALUE"""),"14091160000")</f>
        <v>14091160000</v>
      </c>
      <c r="N798" s="30" t="str">
        <f ca="1">IFERROR(__xludf.DUMMYFUNCTION("""COMPUTED_VALUE"""),"MAYU SUMAJ")</f>
        <v>MAYU SUMAJ</v>
      </c>
      <c r="O798" s="30" t="str">
        <f ca="1">IFERROR(__xludf.DUMMYFUNCTION("""COMPUTED_VALUE"""),"1491")</f>
        <v>1491</v>
      </c>
      <c r="P798" s="30" t="str">
        <f ca="1">IFERROR(__xludf.DUMMYFUNCTION("""COMPUTED_VALUE"""),"PUNILLA")</f>
        <v>PUNILLA</v>
      </c>
      <c r="Q798" s="30" t="str">
        <f ca="1">IFERROR(__xludf.DUMMYFUNCTION("""COMPUTED_VALUE"""),"-31.43627961")</f>
        <v>-31.43627961</v>
      </c>
      <c r="R798" s="30" t="str">
        <f ca="1">IFERROR(__xludf.DUMMYFUNCTION("""COMPUTED_VALUE"""),"-64.56802368")</f>
        <v>-64.56802368</v>
      </c>
      <c r="S798" s="30" t="str">
        <f ca="1">IFERROR(__xludf.DUMMYFUNCTION("""COMPUTED_VALUE"""),"Municipal")</f>
        <v>Municipal</v>
      </c>
      <c r="T798" s="29"/>
    </row>
    <row r="799" spans="1:20" ht="15.75" customHeight="1" x14ac:dyDescent="0.25">
      <c r="A799" s="30" t="str">
        <f ca="1">IFERROR(__xludf.DUMMYFUNCTION("""COMPUTED_VALUE"""),"10140912231171")</f>
        <v>10140912231171</v>
      </c>
      <c r="B799" s="30" t="str">
        <f ca="1">IFERROR(__xludf.DUMMYFUNCTION("""COMPUTED_VALUE"""),"HOSPITAL MUNICIPAL LA CUMBRE DR. OSCAR VIGNAROLI")</f>
        <v>HOSPITAL MUNICIPAL LA CUMBRE DR. OSCAR VIGNAROLI</v>
      </c>
      <c r="C799" s="30" t="str">
        <f ca="1">IFERROR(__xludf.DUMMYFUNCTION("""COMPUTED_VALUE"""),"Córdoba")</f>
        <v>Córdoba</v>
      </c>
      <c r="D799" s="30" t="str">
        <f ca="1">IFERROR(__xludf.DUMMYFUNCTION("""COMPUTED_VALUE"""),"14")</f>
        <v>14</v>
      </c>
      <c r="E799" s="30" t="str">
        <f ca="1">IFERROR(__xludf.DUMMYFUNCTION("""COMPUTED_VALUE"""),"si")</f>
        <v>si</v>
      </c>
      <c r="F799" s="29"/>
      <c r="G799" s="29"/>
      <c r="H799" s="30" t="str">
        <f ca="1">IFERROR(__xludf.DUMMYFUNCTION("""COMPUTED_VALUE"""),"activo")</f>
        <v>activo</v>
      </c>
      <c r="I799" s="30" t="str">
        <f ca="1">IFERROR(__xludf.DUMMYFUNCTION("""COMPUTED_VALUE"""),"incluido en la circular nro 2")</f>
        <v>incluido en la circular nro 2</v>
      </c>
      <c r="J799" s="29"/>
      <c r="K799" s="29"/>
      <c r="L799" s="30" t="str">
        <f ca="1">IFERROR(__xludf.DUMMYFUNCTION("""COMPUTED_VALUE"""),"No")</f>
        <v>No</v>
      </c>
      <c r="M799" s="30" t="str">
        <f ca="1">IFERROR(__xludf.DUMMYFUNCTION("""COMPUTED_VALUE"""),"14091110000")</f>
        <v>14091110000</v>
      </c>
      <c r="N799" s="30" t="str">
        <f ca="1">IFERROR(__xludf.DUMMYFUNCTION("""COMPUTED_VALUE"""),"LA CUMBRE")</f>
        <v>LA CUMBRE</v>
      </c>
      <c r="O799" s="30" t="str">
        <f ca="1">IFERROR(__xludf.DUMMYFUNCTION("""COMPUTED_VALUE"""),"1491")</f>
        <v>1491</v>
      </c>
      <c r="P799" s="30" t="str">
        <f ca="1">IFERROR(__xludf.DUMMYFUNCTION("""COMPUTED_VALUE"""),"PUNILLA")</f>
        <v>PUNILLA</v>
      </c>
      <c r="Q799" s="30" t="str">
        <f ca="1">IFERROR(__xludf.DUMMYFUNCTION("""COMPUTED_VALUE"""),"-30.9799087")</f>
        <v>-30.9799087</v>
      </c>
      <c r="R799" s="30" t="str">
        <f ca="1">IFERROR(__xludf.DUMMYFUNCTION("""COMPUTED_VALUE"""),"-64.4924664")</f>
        <v>-64.4924664</v>
      </c>
      <c r="S799" s="30" t="str">
        <f ca="1">IFERROR(__xludf.DUMMYFUNCTION("""COMPUTED_VALUE"""),"Municipal")</f>
        <v>Municipal</v>
      </c>
      <c r="T799" s="29"/>
    </row>
    <row r="800" spans="1:20" ht="15.75" customHeight="1" x14ac:dyDescent="0.25">
      <c r="A800" s="30" t="str">
        <f ca="1">IFERROR(__xludf.DUMMYFUNCTION("""COMPUTED_VALUE"""),"50140912231512")</f>
        <v>50140912231512</v>
      </c>
      <c r="B800" s="30" t="str">
        <f ca="1">IFERROR(__xludf.DUMMYFUNCTION("""COMPUTED_VALUE"""),"DISPENSARIO IGNACIO MINOLDO")</f>
        <v>DISPENSARIO IGNACIO MINOLDO</v>
      </c>
      <c r="C800" s="30" t="str">
        <f ca="1">IFERROR(__xludf.DUMMYFUNCTION("""COMPUTED_VALUE"""),"Córdoba")</f>
        <v>Córdoba</v>
      </c>
      <c r="D800" s="30" t="str">
        <f ca="1">IFERROR(__xludf.DUMMYFUNCTION("""COMPUTED_VALUE"""),"14")</f>
        <v>14</v>
      </c>
      <c r="E800" s="30" t="str">
        <f ca="1">IFERROR(__xludf.DUMMYFUNCTION("""COMPUTED_VALUE"""),"")</f>
        <v/>
      </c>
      <c r="F800" s="29"/>
      <c r="G800" s="30" t="str">
        <f ca="1">IFERROR(__xludf.DUMMYFUNCTION("""COMPUTED_VALUE"""),"50140142131399")</f>
        <v>50140142131399</v>
      </c>
      <c r="H800" s="30" t="str">
        <f ca="1">IFERROR(__xludf.DUMMYFUNCTION("""COMPUTED_VALUE"""),"inactivo")</f>
        <v>inactivo</v>
      </c>
      <c r="I800" s="30" t="str">
        <f ca="1">IFERROR(__xludf.DUMMYFUNCTION("""COMPUTED_VALUE"""),"29/12/2021")</f>
        <v>29/12/2021</v>
      </c>
      <c r="J800" s="29"/>
      <c r="K800" s="29"/>
      <c r="L800" s="30" t="str">
        <f ca="1">IFERROR(__xludf.DUMMYFUNCTION("""COMPUTED_VALUE"""),"No")</f>
        <v>No</v>
      </c>
      <c r="M800" s="30" t="str">
        <f ca="1">IFERROR(__xludf.DUMMYFUNCTION("""COMPUTED_VALUE"""),"14091030000")</f>
        <v>14091030000</v>
      </c>
      <c r="N800" s="30" t="str">
        <f ca="1">IFERROR(__xludf.DUMMYFUNCTION("""COMPUTED_VALUE"""),"CABALANGO")</f>
        <v>CABALANGO</v>
      </c>
      <c r="O800" s="30" t="str">
        <f ca="1">IFERROR(__xludf.DUMMYFUNCTION("""COMPUTED_VALUE"""),"1491")</f>
        <v>1491</v>
      </c>
      <c r="P800" s="30" t="str">
        <f ca="1">IFERROR(__xludf.DUMMYFUNCTION("""COMPUTED_VALUE"""),"PUNILLA")</f>
        <v>PUNILLA</v>
      </c>
      <c r="Q800" s="30" t="str">
        <f ca="1">IFERROR(__xludf.DUMMYFUNCTION("""COMPUTED_VALUE"""),"-31.3906442")</f>
        <v>-31.3906442</v>
      </c>
      <c r="R800" s="30" t="str">
        <f ca="1">IFERROR(__xludf.DUMMYFUNCTION("""COMPUTED_VALUE"""),"-64.5596056")</f>
        <v>-64.5596056</v>
      </c>
      <c r="S800" s="30" t="str">
        <f ca="1">IFERROR(__xludf.DUMMYFUNCTION("""COMPUTED_VALUE"""),"Municipal")</f>
        <v>Municipal</v>
      </c>
      <c r="T800" s="29"/>
    </row>
    <row r="801" spans="1:20" ht="15.75" customHeight="1" x14ac:dyDescent="0.25">
      <c r="A801" s="30" t="str">
        <f ca="1">IFERROR(__xludf.DUMMYFUNCTION("""COMPUTED_VALUE"""),"10140982231176")</f>
        <v>10140982231176</v>
      </c>
      <c r="B801" s="30" t="str">
        <f ca="1">IFERROR(__xludf.DUMMYFUNCTION("""COMPUTED_VALUE"""),"HOSPITAL MUNICIPAL DE ALCIRA")</f>
        <v>HOSPITAL MUNICIPAL DE ALCIRA</v>
      </c>
      <c r="C801" s="30" t="str">
        <f ca="1">IFERROR(__xludf.DUMMYFUNCTION("""COMPUTED_VALUE"""),"Córdoba")</f>
        <v>Córdoba</v>
      </c>
      <c r="D801" s="30" t="str">
        <f ca="1">IFERROR(__xludf.DUMMYFUNCTION("""COMPUTED_VALUE"""),"14")</f>
        <v>14</v>
      </c>
      <c r="E801" s="30" t="str">
        <f ca="1">IFERROR(__xludf.DUMMYFUNCTION("""COMPUTED_VALUE"""),"")</f>
        <v/>
      </c>
      <c r="F801" s="29"/>
      <c r="G801" s="29"/>
      <c r="H801" s="30" t="str">
        <f ca="1">IFERROR(__xludf.DUMMYFUNCTION("""COMPUTED_VALUE"""),"activo")</f>
        <v>activo</v>
      </c>
      <c r="I801" s="30" t="str">
        <f ca="1">IFERROR(__xludf.DUMMYFUNCTION("""COMPUTED_VALUE"""),"incluido en la circular nro 2")</f>
        <v>incluido en la circular nro 2</v>
      </c>
      <c r="J801" s="29"/>
      <c r="K801" s="29"/>
      <c r="L801" s="30" t="str">
        <f ca="1">IFERROR(__xludf.DUMMYFUNCTION("""COMPUTED_VALUE"""),"No")</f>
        <v>No</v>
      </c>
      <c r="M801" s="30" t="str">
        <f ca="1">IFERROR(__xludf.DUMMYFUNCTION("""COMPUTED_VALUE"""),"14098030000")</f>
        <v>14098030000</v>
      </c>
      <c r="N801" s="30" t="str">
        <f ca="1">IFERROR(__xludf.DUMMYFUNCTION("""COMPUTED_VALUE"""),"ALCIRA")</f>
        <v>ALCIRA</v>
      </c>
      <c r="O801" s="30" t="str">
        <f ca="1">IFERROR(__xludf.DUMMYFUNCTION("""COMPUTED_VALUE"""),"1498")</f>
        <v>1498</v>
      </c>
      <c r="P801" s="30" t="str">
        <f ca="1">IFERROR(__xludf.DUMMYFUNCTION("""COMPUTED_VALUE"""),"RÍO CUARTO")</f>
        <v>RÍO CUARTO</v>
      </c>
      <c r="Q801" s="30" t="str">
        <f ca="1">IFERROR(__xludf.DUMMYFUNCTION("""COMPUTED_VALUE"""),"-32.758316")</f>
        <v>-32.758316</v>
      </c>
      <c r="R801" s="30" t="str">
        <f ca="1">IFERROR(__xludf.DUMMYFUNCTION("""COMPUTED_VALUE"""),"-64.333218")</f>
        <v>-64.333218</v>
      </c>
      <c r="S801" s="30" t="str">
        <f ca="1">IFERROR(__xludf.DUMMYFUNCTION("""COMPUTED_VALUE"""),"Municipal")</f>
        <v>Municipal</v>
      </c>
      <c r="T801" s="29"/>
    </row>
    <row r="802" spans="1:20" ht="15.75" customHeight="1" x14ac:dyDescent="0.25">
      <c r="A802" s="30" t="str">
        <f ca="1">IFERROR(__xludf.DUMMYFUNCTION("""COMPUTED_VALUE"""),"10140982231153")</f>
        <v>10140982231153</v>
      </c>
      <c r="B802" s="30" t="str">
        <f ca="1">IFERROR(__xludf.DUMMYFUNCTION("""COMPUTED_VALUE"""),"HOSPITAL MUNICIPAL DE AUTOGESTION ADELIA MARIA")</f>
        <v>HOSPITAL MUNICIPAL DE AUTOGESTION ADELIA MARIA</v>
      </c>
      <c r="C802" s="30" t="str">
        <f ca="1">IFERROR(__xludf.DUMMYFUNCTION("""COMPUTED_VALUE"""),"Córdoba")</f>
        <v>Córdoba</v>
      </c>
      <c r="D802" s="30" t="str">
        <f ca="1">IFERROR(__xludf.DUMMYFUNCTION("""COMPUTED_VALUE"""),"14")</f>
        <v>14</v>
      </c>
      <c r="E802" s="30" t="str">
        <f ca="1">IFERROR(__xludf.DUMMYFUNCTION("""COMPUTED_VALUE"""),"")</f>
        <v/>
      </c>
      <c r="F802" s="29"/>
      <c r="G802" s="29"/>
      <c r="H802" s="30" t="str">
        <f ca="1">IFERROR(__xludf.DUMMYFUNCTION("""COMPUTED_VALUE"""),"activo")</f>
        <v>activo</v>
      </c>
      <c r="I802" s="30" t="str">
        <f ca="1">IFERROR(__xludf.DUMMYFUNCTION("""COMPUTED_VALUE"""),"incluido en la circular nro 2")</f>
        <v>incluido en la circular nro 2</v>
      </c>
      <c r="J802" s="29"/>
      <c r="K802" s="29"/>
      <c r="L802" s="30" t="str">
        <f ca="1">IFERROR(__xludf.DUMMYFUNCTION("""COMPUTED_VALUE"""),"No")</f>
        <v>No</v>
      </c>
      <c r="M802" s="30" t="str">
        <f ca="1">IFERROR(__xludf.DUMMYFUNCTION("""COMPUTED_VALUE"""),"14098020000")</f>
        <v>14098020000</v>
      </c>
      <c r="N802" s="30" t="str">
        <f ca="1">IFERROR(__xludf.DUMMYFUNCTION("""COMPUTED_VALUE"""),"ADELIA MARIA")</f>
        <v>ADELIA MARIA</v>
      </c>
      <c r="O802" s="30" t="str">
        <f ca="1">IFERROR(__xludf.DUMMYFUNCTION("""COMPUTED_VALUE"""),"1498")</f>
        <v>1498</v>
      </c>
      <c r="P802" s="30" t="str">
        <f ca="1">IFERROR(__xludf.DUMMYFUNCTION("""COMPUTED_VALUE"""),"RÍO CUARTO")</f>
        <v>RÍO CUARTO</v>
      </c>
      <c r="Q802" s="30" t="str">
        <f ca="1">IFERROR(__xludf.DUMMYFUNCTION("""COMPUTED_VALUE"""),"-33.631915")</f>
        <v>-33.631915</v>
      </c>
      <c r="R802" s="30" t="str">
        <f ca="1">IFERROR(__xludf.DUMMYFUNCTION("""COMPUTED_VALUE"""),"-64.019049")</f>
        <v>-64.019049</v>
      </c>
      <c r="S802" s="30" t="str">
        <f ca="1">IFERROR(__xludf.DUMMYFUNCTION("""COMPUTED_VALUE"""),"Municipal")</f>
        <v>Municipal</v>
      </c>
      <c r="T802" s="29"/>
    </row>
    <row r="803" spans="1:20" ht="15.75" customHeight="1" x14ac:dyDescent="0.25">
      <c r="A803" s="30" t="str">
        <f ca="1">IFERROR(__xludf.DUMMYFUNCTION("""COMPUTED_VALUE"""),"50141052232118")</f>
        <v>50141052232118</v>
      </c>
      <c r="B803" s="30" t="str">
        <f ca="1">IFERROR(__xludf.DUMMYFUNCTION("""COMPUTED_VALUE"""),"CENTRO DE SALUD MUNICIPAL DE RIO PRIMERO")</f>
        <v>CENTRO DE SALUD MUNICIPAL DE RIO PRIMERO</v>
      </c>
      <c r="C803" s="30" t="str">
        <f ca="1">IFERROR(__xludf.DUMMYFUNCTION("""COMPUTED_VALUE"""),"Córdoba")</f>
        <v>Córdoba</v>
      </c>
      <c r="D803" s="30" t="str">
        <f ca="1">IFERROR(__xludf.DUMMYFUNCTION("""COMPUTED_VALUE"""),"14")</f>
        <v>14</v>
      </c>
      <c r="E803" s="30" t="str">
        <f ca="1">IFERROR(__xludf.DUMMYFUNCTION("""COMPUTED_VALUE"""),"")</f>
        <v/>
      </c>
      <c r="F803" s="29"/>
      <c r="G803" s="29"/>
      <c r="H803" s="30" t="str">
        <f ca="1">IFERROR(__xludf.DUMMYFUNCTION("""COMPUTED_VALUE"""),"activo")</f>
        <v>activo</v>
      </c>
      <c r="I803" s="30" t="str">
        <f ca="1">IFERROR(__xludf.DUMMYFUNCTION("""COMPUTED_VALUE"""),"incluido en la circular nro 2")</f>
        <v>incluido en la circular nro 2</v>
      </c>
      <c r="J803" s="29"/>
      <c r="K803" s="29"/>
      <c r="L803" s="30" t="str">
        <f ca="1">IFERROR(__xludf.DUMMYFUNCTION("""COMPUTED_VALUE"""),"No")</f>
        <v>No</v>
      </c>
      <c r="M803" s="30" t="str">
        <f ca="1">IFERROR(__xludf.DUMMYFUNCTION("""COMPUTED_VALUE"""),"14105240000")</f>
        <v>14105240000</v>
      </c>
      <c r="N803" s="30" t="str">
        <f ca="1">IFERROR(__xludf.DUMMYFUNCTION("""COMPUTED_VALUE"""),"RIO PRIMERO")</f>
        <v>RIO PRIMERO</v>
      </c>
      <c r="O803" s="30" t="str">
        <f ca="1">IFERROR(__xludf.DUMMYFUNCTION("""COMPUTED_VALUE"""),"14105")</f>
        <v>14105</v>
      </c>
      <c r="P803" s="30" t="str">
        <f ca="1">IFERROR(__xludf.DUMMYFUNCTION("""COMPUTED_VALUE"""),"RÍO PRIMERO")</f>
        <v>RÍO PRIMERO</v>
      </c>
      <c r="Q803" s="30" t="str">
        <f ca="1">IFERROR(__xludf.DUMMYFUNCTION("""COMPUTED_VALUE"""),"-31.328623")</f>
        <v>-31.328623</v>
      </c>
      <c r="R803" s="30" t="str">
        <f ca="1">IFERROR(__xludf.DUMMYFUNCTION("""COMPUTED_VALUE"""),"-63.628828")</f>
        <v>-63.628828</v>
      </c>
      <c r="S803" s="30" t="str">
        <f ca="1">IFERROR(__xludf.DUMMYFUNCTION("""COMPUTED_VALUE"""),"Municipal")</f>
        <v>Municipal</v>
      </c>
      <c r="T803" s="29"/>
    </row>
    <row r="804" spans="1:20" ht="15.75" customHeight="1" x14ac:dyDescent="0.25">
      <c r="A804" s="30" t="str">
        <f ca="1">IFERROR(__xludf.DUMMYFUNCTION("""COMPUTED_VALUE"""),"10141052231219")</f>
        <v>10141052231219</v>
      </c>
      <c r="B804" s="30" t="str">
        <f ca="1">IFERROR(__xludf.DUMMYFUNCTION("""COMPUTED_VALUE"""),"HOSPITAL MUNICIPAL OBISPO TREJO")</f>
        <v>HOSPITAL MUNICIPAL OBISPO TREJO</v>
      </c>
      <c r="C804" s="30" t="str">
        <f ca="1">IFERROR(__xludf.DUMMYFUNCTION("""COMPUTED_VALUE"""),"Córdoba")</f>
        <v>Córdoba</v>
      </c>
      <c r="D804" s="30" t="str">
        <f ca="1">IFERROR(__xludf.DUMMYFUNCTION("""COMPUTED_VALUE"""),"14")</f>
        <v>14</v>
      </c>
      <c r="E804" s="30" t="str">
        <f ca="1">IFERROR(__xludf.DUMMYFUNCTION("""COMPUTED_VALUE"""),"")</f>
        <v/>
      </c>
      <c r="F804" s="29"/>
      <c r="G804" s="29"/>
      <c r="H804" s="30" t="str">
        <f ca="1">IFERROR(__xludf.DUMMYFUNCTION("""COMPUTED_VALUE"""),"activo")</f>
        <v>activo</v>
      </c>
      <c r="I804" s="30" t="str">
        <f ca="1">IFERROR(__xludf.DUMMYFUNCTION("""COMPUTED_VALUE"""),"incluido en la circular nro 2")</f>
        <v>incluido en la circular nro 2</v>
      </c>
      <c r="J804" s="29"/>
      <c r="K804" s="29"/>
      <c r="L804" s="30" t="str">
        <f ca="1">IFERROR(__xludf.DUMMYFUNCTION("""COMPUTED_VALUE"""),"No")</f>
        <v>No</v>
      </c>
      <c r="M804" s="30" t="str">
        <f ca="1">IFERROR(__xludf.DUMMYFUNCTION("""COMPUTED_VALUE"""),"14105200000")</f>
        <v>14105200000</v>
      </c>
      <c r="N804" s="30" t="str">
        <f ca="1">IFERROR(__xludf.DUMMYFUNCTION("""COMPUTED_VALUE"""),"OBISPO TREJO")</f>
        <v>OBISPO TREJO</v>
      </c>
      <c r="O804" s="30" t="str">
        <f ca="1">IFERROR(__xludf.DUMMYFUNCTION("""COMPUTED_VALUE"""),"14105")</f>
        <v>14105</v>
      </c>
      <c r="P804" s="30" t="str">
        <f ca="1">IFERROR(__xludf.DUMMYFUNCTION("""COMPUTED_VALUE"""),"RÍO PRIMERO")</f>
        <v>RÍO PRIMERO</v>
      </c>
      <c r="Q804" s="30" t="str">
        <f ca="1">IFERROR(__xludf.DUMMYFUNCTION("""COMPUTED_VALUE"""),"-30.783231")</f>
        <v>-30.783231</v>
      </c>
      <c r="R804" s="30" t="str">
        <f ca="1">IFERROR(__xludf.DUMMYFUNCTION("""COMPUTED_VALUE"""),"-63.407521")</f>
        <v>-63.407521</v>
      </c>
      <c r="S804" s="30" t="str">
        <f ca="1">IFERROR(__xludf.DUMMYFUNCTION("""COMPUTED_VALUE"""),"Municipal")</f>
        <v>Municipal</v>
      </c>
      <c r="T804" s="29"/>
    </row>
    <row r="805" spans="1:20" ht="15.75" customHeight="1" x14ac:dyDescent="0.25">
      <c r="A805" s="30" t="str">
        <f ca="1">IFERROR(__xludf.DUMMYFUNCTION("""COMPUTED_VALUE"""),"50141052231446")</f>
        <v>50141052231446</v>
      </c>
      <c r="B805" s="30" t="str">
        <f ca="1">IFERROR(__xludf.DUMMYFUNCTION("""COMPUTED_VALUE"""),"CENTRO DE SALUD MUNICIPAL MONTE CRISTO")</f>
        <v>CENTRO DE SALUD MUNICIPAL MONTE CRISTO</v>
      </c>
      <c r="C805" s="30" t="str">
        <f ca="1">IFERROR(__xludf.DUMMYFUNCTION("""COMPUTED_VALUE"""),"Córdoba")</f>
        <v>Córdoba</v>
      </c>
      <c r="D805" s="30" t="str">
        <f ca="1">IFERROR(__xludf.DUMMYFUNCTION("""COMPUTED_VALUE"""),"14")</f>
        <v>14</v>
      </c>
      <c r="E805" s="30" t="str">
        <f ca="1">IFERROR(__xludf.DUMMYFUNCTION("""COMPUTED_VALUE"""),"")</f>
        <v/>
      </c>
      <c r="F805" s="29"/>
      <c r="G805" s="29"/>
      <c r="H805" s="30" t="str">
        <f ca="1">IFERROR(__xludf.DUMMYFUNCTION("""COMPUTED_VALUE"""),"activo")</f>
        <v>activo</v>
      </c>
      <c r="I805" s="30" t="str">
        <f ca="1">IFERROR(__xludf.DUMMYFUNCTION("""COMPUTED_VALUE"""),"incluido en la circular nro 2")</f>
        <v>incluido en la circular nro 2</v>
      </c>
      <c r="J805" s="29"/>
      <c r="K805" s="29"/>
      <c r="L805" s="30" t="str">
        <f ca="1">IFERROR(__xludf.DUMMYFUNCTION("""COMPUTED_VALUE"""),"No")</f>
        <v>No</v>
      </c>
      <c r="M805" s="30" t="str">
        <f ca="1">IFERROR(__xludf.DUMMYFUNCTION("""COMPUTED_VALUE"""),"14105190000")</f>
        <v>14105190000</v>
      </c>
      <c r="N805" s="30" t="str">
        <f ca="1">IFERROR(__xludf.DUMMYFUNCTION("""COMPUTED_VALUE"""),"MONTECRISTO")</f>
        <v>MONTECRISTO</v>
      </c>
      <c r="O805" s="30" t="str">
        <f ca="1">IFERROR(__xludf.DUMMYFUNCTION("""COMPUTED_VALUE"""),"14105")</f>
        <v>14105</v>
      </c>
      <c r="P805" s="30" t="str">
        <f ca="1">IFERROR(__xludf.DUMMYFUNCTION("""COMPUTED_VALUE"""),"RÍO PRIMERO")</f>
        <v>RÍO PRIMERO</v>
      </c>
      <c r="Q805" s="30" t="str">
        <f ca="1">IFERROR(__xludf.DUMMYFUNCTION("""COMPUTED_VALUE"""),"-31.3427015")</f>
        <v>-31.3427015</v>
      </c>
      <c r="R805" s="30" t="str">
        <f ca="1">IFERROR(__xludf.DUMMYFUNCTION("""COMPUTED_VALUE"""),"-63.9489864")</f>
        <v>-63.9489864</v>
      </c>
      <c r="S805" s="30" t="str">
        <f ca="1">IFERROR(__xludf.DUMMYFUNCTION("""COMPUTED_VALUE"""),"Municipal")</f>
        <v>Municipal</v>
      </c>
      <c r="T805" s="29"/>
    </row>
    <row r="806" spans="1:20" ht="15.75" customHeight="1" x14ac:dyDescent="0.25">
      <c r="A806" s="30" t="str">
        <f ca="1">IFERROR(__xludf.DUMMYFUNCTION("""COMPUTED_VALUE"""),"10141122231183")</f>
        <v>10141122231183</v>
      </c>
      <c r="B806" s="30" t="str">
        <f ca="1">IFERROR(__xludf.DUMMYFUNCTION("""COMPUTED_VALUE"""),"HOSPITAL MUNICIPAL DEL NORTE")</f>
        <v>HOSPITAL MUNICIPAL DEL NORTE</v>
      </c>
      <c r="C806" s="30" t="str">
        <f ca="1">IFERROR(__xludf.DUMMYFUNCTION("""COMPUTED_VALUE"""),"Córdoba")</f>
        <v>Córdoba</v>
      </c>
      <c r="D806" s="30" t="str">
        <f ca="1">IFERROR(__xludf.DUMMYFUNCTION("""COMPUTED_VALUE"""),"14")</f>
        <v>14</v>
      </c>
      <c r="E806" s="30" t="str">
        <f ca="1">IFERROR(__xludf.DUMMYFUNCTION("""COMPUTED_VALUE"""),"")</f>
        <v/>
      </c>
      <c r="F806" s="29"/>
      <c r="G806" s="29"/>
      <c r="H806" s="30" t="str">
        <f ca="1">IFERROR(__xludf.DUMMYFUNCTION("""COMPUTED_VALUE"""),"activo")</f>
        <v>activo</v>
      </c>
      <c r="I806" s="30" t="str">
        <f ca="1">IFERROR(__xludf.DUMMYFUNCTION("""COMPUTED_VALUE"""),"incluido en la circular nro 2")</f>
        <v>incluido en la circular nro 2</v>
      </c>
      <c r="J806" s="29"/>
      <c r="K806" s="29"/>
      <c r="L806" s="30" t="str">
        <f ca="1">IFERROR(__xludf.DUMMYFUNCTION("""COMPUTED_VALUE"""),"No")</f>
        <v>No</v>
      </c>
      <c r="M806" s="30" t="str">
        <f ca="1">IFERROR(__xludf.DUMMYFUNCTION("""COMPUTED_VALUE"""),"14112130000")</f>
        <v>14112130000</v>
      </c>
      <c r="N806" s="30" t="str">
        <f ca="1">IFERROR(__xludf.DUMMYFUNCTION("""COMPUTED_VALUE"""),"VILLA DE MARIA")</f>
        <v>VILLA DE MARIA</v>
      </c>
      <c r="O806" s="30" t="str">
        <f ca="1">IFERROR(__xludf.DUMMYFUNCTION("""COMPUTED_VALUE"""),"14112")</f>
        <v>14112</v>
      </c>
      <c r="P806" s="30" t="str">
        <f ca="1">IFERROR(__xludf.DUMMYFUNCTION("""COMPUTED_VALUE"""),"RÍO SECO")</f>
        <v>RÍO SECO</v>
      </c>
      <c r="Q806" s="30" t="str">
        <f ca="1">IFERROR(__xludf.DUMMYFUNCTION("""COMPUTED_VALUE"""),"-29.9002441")</f>
        <v>-29.9002441</v>
      </c>
      <c r="R806" s="30" t="str">
        <f ca="1">IFERROR(__xludf.DUMMYFUNCTION("""COMPUTED_VALUE"""),"-63.720815")</f>
        <v>-63.720815</v>
      </c>
      <c r="S806" s="30" t="str">
        <f ca="1">IFERROR(__xludf.DUMMYFUNCTION("""COMPUTED_VALUE"""),"Municipal")</f>
        <v>Municipal</v>
      </c>
      <c r="T806" s="29"/>
    </row>
    <row r="807" spans="1:20" ht="15.75" customHeight="1" x14ac:dyDescent="0.25">
      <c r="A807" s="30" t="str">
        <f ca="1">IFERROR(__xludf.DUMMYFUNCTION("""COMPUTED_VALUE"""),"50141192231404")</f>
        <v>50141192231404</v>
      </c>
      <c r="B807" s="30" t="str">
        <f ca="1">IFERROR(__xludf.DUMMYFUNCTION("""COMPUTED_VALUE"""),"CENTRO DE SALUD MADRE TERESA DE CALCUTA DE PILAR")</f>
        <v>CENTRO DE SALUD MADRE TERESA DE CALCUTA DE PILAR</v>
      </c>
      <c r="C807" s="30" t="str">
        <f ca="1">IFERROR(__xludf.DUMMYFUNCTION("""COMPUTED_VALUE"""),"Córdoba")</f>
        <v>Córdoba</v>
      </c>
      <c r="D807" s="30" t="str">
        <f ca="1">IFERROR(__xludf.DUMMYFUNCTION("""COMPUTED_VALUE"""),"14")</f>
        <v>14</v>
      </c>
      <c r="E807" s="30" t="str">
        <f ca="1">IFERROR(__xludf.DUMMYFUNCTION("""COMPUTED_VALUE"""),"")</f>
        <v/>
      </c>
      <c r="F807" s="29"/>
      <c r="G807" s="29"/>
      <c r="H807" s="30" t="str">
        <f ca="1">IFERROR(__xludf.DUMMYFUNCTION("""COMPUTED_VALUE"""),"activo")</f>
        <v>activo</v>
      </c>
      <c r="I807" s="30" t="str">
        <f ca="1">IFERROR(__xludf.DUMMYFUNCTION("""COMPUTED_VALUE"""),"incluido en la circular nro 2")</f>
        <v>incluido en la circular nro 2</v>
      </c>
      <c r="J807" s="29"/>
      <c r="K807" s="29"/>
      <c r="L807" s="30" t="str">
        <f ca="1">IFERROR(__xludf.DUMMYFUNCTION("""COMPUTED_VALUE"""),"No")</f>
        <v>No</v>
      </c>
      <c r="M807" s="30" t="str">
        <f ca="1">IFERROR(__xludf.DUMMYFUNCTION("""COMPUTED_VALUE"""),"14119160000")</f>
        <v>14119160000</v>
      </c>
      <c r="N807" s="30" t="str">
        <f ca="1">IFERROR(__xludf.DUMMYFUNCTION("""COMPUTED_VALUE"""),"PILAR")</f>
        <v>PILAR</v>
      </c>
      <c r="O807" s="30" t="str">
        <f ca="1">IFERROR(__xludf.DUMMYFUNCTION("""COMPUTED_VALUE"""),"14119")</f>
        <v>14119</v>
      </c>
      <c r="P807" s="30" t="str">
        <f ca="1">IFERROR(__xludf.DUMMYFUNCTION("""COMPUTED_VALUE"""),"RÍO SEGUNDO")</f>
        <v>RÍO SEGUNDO</v>
      </c>
      <c r="Q807" s="30" t="str">
        <f ca="1">IFERROR(__xludf.DUMMYFUNCTION("""COMPUTED_VALUE"""),"-31.68265")</f>
        <v>-31.68265</v>
      </c>
      <c r="R807" s="30" t="str">
        <f ca="1">IFERROR(__xludf.DUMMYFUNCTION("""COMPUTED_VALUE"""),"-63.880737")</f>
        <v>-63.880737</v>
      </c>
      <c r="S807" s="30" t="str">
        <f ca="1">IFERROR(__xludf.DUMMYFUNCTION("""COMPUTED_VALUE"""),"Municipal")</f>
        <v>Municipal</v>
      </c>
      <c r="T807" s="29"/>
    </row>
    <row r="808" spans="1:20" ht="15.75" customHeight="1" x14ac:dyDescent="0.25">
      <c r="A808" s="30" t="str">
        <f ca="1">IFERROR(__xludf.DUMMYFUNCTION("""COMPUTED_VALUE"""),"10141192231216")</f>
        <v>10141192231216</v>
      </c>
      <c r="B808" s="30" t="str">
        <f ca="1">IFERROR(__xludf.DUMMYFUNCTION("""COMPUTED_VALUE"""),"HOSPITAL MUNICIPAL DR. ROBERTO BOLDU")</f>
        <v>HOSPITAL MUNICIPAL DR. ROBERTO BOLDU</v>
      </c>
      <c r="C808" s="30" t="str">
        <f ca="1">IFERROR(__xludf.DUMMYFUNCTION("""COMPUTED_VALUE"""),"Córdoba")</f>
        <v>Córdoba</v>
      </c>
      <c r="D808" s="30" t="str">
        <f ca="1">IFERROR(__xludf.DUMMYFUNCTION("""COMPUTED_VALUE"""),"14")</f>
        <v>14</v>
      </c>
      <c r="E808" s="30" t="str">
        <f ca="1">IFERROR(__xludf.DUMMYFUNCTION("""COMPUTED_VALUE"""),"")</f>
        <v/>
      </c>
      <c r="F808" s="29"/>
      <c r="G808" s="29"/>
      <c r="H808" s="30" t="str">
        <f ca="1">IFERROR(__xludf.DUMMYFUNCTION("""COMPUTED_VALUE"""),"activo")</f>
        <v>activo</v>
      </c>
      <c r="I808" s="30" t="str">
        <f ca="1">IFERROR(__xludf.DUMMYFUNCTION("""COMPUTED_VALUE"""),"incluido en la circular nro 2")</f>
        <v>incluido en la circular nro 2</v>
      </c>
      <c r="J808" s="29"/>
      <c r="K808" s="29"/>
      <c r="L808" s="30" t="str">
        <f ca="1">IFERROR(__xludf.DUMMYFUNCTION("""COMPUTED_VALUE"""),"No")</f>
        <v>No</v>
      </c>
      <c r="M808" s="30" t="str">
        <f ca="1">IFERROR(__xludf.DUMMYFUNCTION("""COMPUTED_VALUE"""),"14119090000")</f>
        <v>14119090000</v>
      </c>
      <c r="N808" s="30" t="str">
        <f ca="1">IFERROR(__xludf.DUMMYFUNCTION("""COMPUTED_VALUE"""),"LAGUNA LARGA")</f>
        <v>LAGUNA LARGA</v>
      </c>
      <c r="O808" s="30" t="str">
        <f ca="1">IFERROR(__xludf.DUMMYFUNCTION("""COMPUTED_VALUE"""),"14119")</f>
        <v>14119</v>
      </c>
      <c r="P808" s="30" t="str">
        <f ca="1">IFERROR(__xludf.DUMMYFUNCTION("""COMPUTED_VALUE"""),"RÍO SEGUNDO")</f>
        <v>RÍO SEGUNDO</v>
      </c>
      <c r="Q808" s="30" t="str">
        <f ca="1">IFERROR(__xludf.DUMMYFUNCTION("""COMPUTED_VALUE"""),"-31.781711")</f>
        <v>-31.781711</v>
      </c>
      <c r="R808" s="30" t="str">
        <f ca="1">IFERROR(__xludf.DUMMYFUNCTION("""COMPUTED_VALUE"""),"-63.797571")</f>
        <v>-63.797571</v>
      </c>
      <c r="S808" s="30" t="str">
        <f ca="1">IFERROR(__xludf.DUMMYFUNCTION("""COMPUTED_VALUE"""),"Municipal")</f>
        <v>Municipal</v>
      </c>
      <c r="T808" s="29"/>
    </row>
    <row r="809" spans="1:20" ht="15.75" customHeight="1" x14ac:dyDescent="0.25">
      <c r="A809" s="30" t="str">
        <f ca="1">IFERROR(__xludf.DUMMYFUNCTION("""COMPUTED_VALUE"""),"50141262232277")</f>
        <v>50141262232277</v>
      </c>
      <c r="B809" s="30" t="str">
        <f ca="1">IFERROR(__xludf.DUMMYFUNCTION("""COMPUTED_VALUE"""),"DISPENSARIO MUNICIPAL  LOS CALLEJONES")</f>
        <v>DISPENSARIO MUNICIPAL  LOS CALLEJONES</v>
      </c>
      <c r="C809" s="30" t="str">
        <f ca="1">IFERROR(__xludf.DUMMYFUNCTION("""COMPUTED_VALUE"""),"Córdoba")</f>
        <v>Córdoba</v>
      </c>
      <c r="D809" s="30" t="str">
        <f ca="1">IFERROR(__xludf.DUMMYFUNCTION("""COMPUTED_VALUE"""),"14")</f>
        <v>14</v>
      </c>
      <c r="E809" s="30" t="str">
        <f ca="1">IFERROR(__xludf.DUMMYFUNCTION("""COMPUTED_VALUE"""),"")</f>
        <v/>
      </c>
      <c r="F809" s="29"/>
      <c r="G809" s="29"/>
      <c r="H809" s="30" t="str">
        <f ca="1">IFERROR(__xludf.DUMMYFUNCTION("""COMPUTED_VALUE"""),"activo")</f>
        <v>activo</v>
      </c>
      <c r="I809" s="30" t="str">
        <f ca="1">IFERROR(__xludf.DUMMYFUNCTION("""COMPUTED_VALUE"""),"incluido en la circular nro 2")</f>
        <v>incluido en la circular nro 2</v>
      </c>
      <c r="J809" s="29"/>
      <c r="K809" s="29"/>
      <c r="L809" s="30" t="str">
        <f ca="1">IFERROR(__xludf.DUMMYFUNCTION("""COMPUTED_VALUE"""),"No")</f>
        <v>No</v>
      </c>
      <c r="M809" s="30" t="str">
        <f ca="1">IFERROR(__xludf.DUMMYFUNCTION("""COMPUTED_VALUE"""),"14126160000")</f>
        <v>14126160000</v>
      </c>
      <c r="N809" s="30" t="str">
        <f ca="1">IFERROR(__xludf.DUMMYFUNCTION("""COMPUTED_VALUE"""),"SAN PEDRO")</f>
        <v>SAN PEDRO</v>
      </c>
      <c r="O809" s="30" t="str">
        <f ca="1">IFERROR(__xludf.DUMMYFUNCTION("""COMPUTED_VALUE"""),"14126")</f>
        <v>14126</v>
      </c>
      <c r="P809" s="30" t="str">
        <f ca="1">IFERROR(__xludf.DUMMYFUNCTION("""COMPUTED_VALUE"""),"SAN ALBERTO")</f>
        <v>SAN ALBERTO</v>
      </c>
      <c r="Q809" s="30" t="str">
        <f ca="1">IFERROR(__xludf.DUMMYFUNCTION("""COMPUTED_VALUE"""),"-31.76801849")</f>
        <v>-31.76801849</v>
      </c>
      <c r="R809" s="30" t="str">
        <f ca="1">IFERROR(__xludf.DUMMYFUNCTION("""COMPUTED_VALUE"""),"-64.63428497")</f>
        <v>-64.63428497</v>
      </c>
      <c r="S809" s="30" t="str">
        <f ca="1">IFERROR(__xludf.DUMMYFUNCTION("""COMPUTED_VALUE"""),"Municipal")</f>
        <v>Municipal</v>
      </c>
      <c r="T809" s="29"/>
    </row>
    <row r="810" spans="1:20" ht="15.75" customHeight="1" x14ac:dyDescent="0.25">
      <c r="A810" s="30" t="str">
        <f ca="1">IFERROR(__xludf.DUMMYFUNCTION("""COMPUTED_VALUE"""),"10141402231193")</f>
        <v>10141402231193</v>
      </c>
      <c r="B810" s="30" t="str">
        <f ca="1">IFERROR(__xludf.DUMMYFUNCTION("""COMPUTED_VALUE"""),"HOSPITAL MUNICIPAL DR. JOSE SAURET MORTEROS")</f>
        <v>HOSPITAL MUNICIPAL DR. JOSE SAURET MORTEROS</v>
      </c>
      <c r="C810" s="30" t="str">
        <f ca="1">IFERROR(__xludf.DUMMYFUNCTION("""COMPUTED_VALUE"""),"Córdoba")</f>
        <v>Córdoba</v>
      </c>
      <c r="D810" s="30" t="str">
        <f ca="1">IFERROR(__xludf.DUMMYFUNCTION("""COMPUTED_VALUE"""),"14")</f>
        <v>14</v>
      </c>
      <c r="E810" s="30" t="str">
        <f ca="1">IFERROR(__xludf.DUMMYFUNCTION("""COMPUTED_VALUE"""),"")</f>
        <v/>
      </c>
      <c r="F810" s="29"/>
      <c r="G810" s="29"/>
      <c r="H810" s="30" t="str">
        <f ca="1">IFERROR(__xludf.DUMMYFUNCTION("""COMPUTED_VALUE"""),"activo")</f>
        <v>activo</v>
      </c>
      <c r="I810" s="30" t="str">
        <f ca="1">IFERROR(__xludf.DUMMYFUNCTION("""COMPUTED_VALUE"""),"incluido en la circular nro 2")</f>
        <v>incluido en la circular nro 2</v>
      </c>
      <c r="J810" s="29"/>
      <c r="K810" s="29"/>
      <c r="L810" s="30" t="str">
        <f ca="1">IFERROR(__xludf.DUMMYFUNCTION("""COMPUTED_VALUE"""),"No")</f>
        <v>No</v>
      </c>
      <c r="M810" s="30" t="str">
        <f ca="1">IFERROR(__xludf.DUMMYFUNCTION("""COMPUTED_VALUE"""),"14140300000")</f>
        <v>14140300000</v>
      </c>
      <c r="N810" s="30" t="str">
        <f ca="1">IFERROR(__xludf.DUMMYFUNCTION("""COMPUTED_VALUE"""),"MORTEROS")</f>
        <v>MORTEROS</v>
      </c>
      <c r="O810" s="30" t="str">
        <f ca="1">IFERROR(__xludf.DUMMYFUNCTION("""COMPUTED_VALUE"""),"14140")</f>
        <v>14140</v>
      </c>
      <c r="P810" s="30" t="str">
        <f ca="1">IFERROR(__xludf.DUMMYFUNCTION("""COMPUTED_VALUE"""),"SAN JUSTO")</f>
        <v>SAN JUSTO</v>
      </c>
      <c r="Q810" s="30" t="str">
        <f ca="1">IFERROR(__xludf.DUMMYFUNCTION("""COMPUTED_VALUE"""),"-30.708133")</f>
        <v>-30.708133</v>
      </c>
      <c r="R810" s="30" t="str">
        <f ca="1">IFERROR(__xludf.DUMMYFUNCTION("""COMPUTED_VALUE"""),"-62.019213")</f>
        <v>-62.019213</v>
      </c>
      <c r="S810" s="30" t="str">
        <f ca="1">IFERROR(__xludf.DUMMYFUNCTION("""COMPUTED_VALUE"""),"Municipal")</f>
        <v>Municipal</v>
      </c>
      <c r="T810" s="29"/>
    </row>
    <row r="811" spans="1:20" ht="15.75" customHeight="1" x14ac:dyDescent="0.25">
      <c r="A811" s="30" t="str">
        <f ca="1">IFERROR(__xludf.DUMMYFUNCTION("""COMPUTED_VALUE"""),"10141402231187")</f>
        <v>10141402231187</v>
      </c>
      <c r="B811" s="30" t="str">
        <f ca="1">IFERROR(__xludf.DUMMYFUNCTION("""COMPUTED_VALUE"""),"HOSPITAL MUNICIPAL DR. AMANCIO RODRIGUEZ ALVAREZ")</f>
        <v>HOSPITAL MUNICIPAL DR. AMANCIO RODRIGUEZ ALVAREZ</v>
      </c>
      <c r="C811" s="30" t="str">
        <f ca="1">IFERROR(__xludf.DUMMYFUNCTION("""COMPUTED_VALUE"""),"Córdoba")</f>
        <v>Córdoba</v>
      </c>
      <c r="D811" s="30" t="str">
        <f ca="1">IFERROR(__xludf.DUMMYFUNCTION("""COMPUTED_VALUE"""),"14")</f>
        <v>14</v>
      </c>
      <c r="E811" s="30" t="str">
        <f ca="1">IFERROR(__xludf.DUMMYFUNCTION("""COMPUTED_VALUE"""),"")</f>
        <v/>
      </c>
      <c r="F811" s="29"/>
      <c r="G811" s="29"/>
      <c r="H811" s="30" t="str">
        <f ca="1">IFERROR(__xludf.DUMMYFUNCTION("""COMPUTED_VALUE"""),"activo")</f>
        <v>activo</v>
      </c>
      <c r="I811" s="30" t="str">
        <f ca="1">IFERROR(__xludf.DUMMYFUNCTION("""COMPUTED_VALUE"""),"incluido en la circular nro 2")</f>
        <v>incluido en la circular nro 2</v>
      </c>
      <c r="J811" s="29"/>
      <c r="K811" s="29"/>
      <c r="L811" s="30" t="str">
        <f ca="1">IFERROR(__xludf.DUMMYFUNCTION("""COMPUTED_VALUE"""),"No")</f>
        <v>No</v>
      </c>
      <c r="M811" s="30" t="str">
        <f ca="1">IFERROR(__xludf.DUMMYFUNCTION("""COMPUTED_VALUE"""),"14140230000")</f>
        <v>14140230000</v>
      </c>
      <c r="N811" s="30" t="str">
        <f ca="1">IFERROR(__xludf.DUMMYFUNCTION("""COMPUTED_VALUE"""),"LA FRANCIA")</f>
        <v>LA FRANCIA</v>
      </c>
      <c r="O811" s="30" t="str">
        <f ca="1">IFERROR(__xludf.DUMMYFUNCTION("""COMPUTED_VALUE"""),"14140")</f>
        <v>14140</v>
      </c>
      <c r="P811" s="30" t="str">
        <f ca="1">IFERROR(__xludf.DUMMYFUNCTION("""COMPUTED_VALUE"""),"SAN JUSTO")</f>
        <v>SAN JUSTO</v>
      </c>
      <c r="Q811" s="30" t="str">
        <f ca="1">IFERROR(__xludf.DUMMYFUNCTION("""COMPUTED_VALUE"""),"-31.6533814")</f>
        <v>-31.6533814</v>
      </c>
      <c r="R811" s="30" t="str">
        <f ca="1">IFERROR(__xludf.DUMMYFUNCTION("""COMPUTED_VALUE"""),"-64.3359375")</f>
        <v>-64.3359375</v>
      </c>
      <c r="S811" s="30" t="str">
        <f ca="1">IFERROR(__xludf.DUMMYFUNCTION("""COMPUTED_VALUE"""),"Municipal")</f>
        <v>Municipal</v>
      </c>
      <c r="T811" s="29"/>
    </row>
    <row r="812" spans="1:20" ht="15.75" customHeight="1" x14ac:dyDescent="0.25">
      <c r="A812" s="30" t="str">
        <f ca="1">IFERROR(__xludf.DUMMYFUNCTION("""COMPUTED_VALUE"""),"10141402231175")</f>
        <v>10141402231175</v>
      </c>
      <c r="B812" s="30" t="str">
        <f ca="1">IFERROR(__xludf.DUMMYFUNCTION("""COMPUTED_VALUE"""),"HOSPITAL MUNICIPAL CARLOS JULIO RODRIGUEZ DE ARROYITO")</f>
        <v>HOSPITAL MUNICIPAL CARLOS JULIO RODRIGUEZ DE ARROYITO</v>
      </c>
      <c r="C812" s="30" t="str">
        <f ca="1">IFERROR(__xludf.DUMMYFUNCTION("""COMPUTED_VALUE"""),"Córdoba")</f>
        <v>Córdoba</v>
      </c>
      <c r="D812" s="30" t="str">
        <f ca="1">IFERROR(__xludf.DUMMYFUNCTION("""COMPUTED_VALUE"""),"14")</f>
        <v>14</v>
      </c>
      <c r="E812" s="30" t="str">
        <f ca="1">IFERROR(__xludf.DUMMYFUNCTION("""COMPUTED_VALUE"""),"")</f>
        <v/>
      </c>
      <c r="F812" s="29"/>
      <c r="G812" s="29"/>
      <c r="H812" s="30" t="str">
        <f ca="1">IFERROR(__xludf.DUMMYFUNCTION("""COMPUTED_VALUE"""),"activo")</f>
        <v>activo</v>
      </c>
      <c r="I812" s="30" t="str">
        <f ca="1">IFERROR(__xludf.DUMMYFUNCTION("""COMPUTED_VALUE"""),"incluido en la circular nro 2")</f>
        <v>incluido en la circular nro 2</v>
      </c>
      <c r="J812" s="29"/>
      <c r="K812" s="29"/>
      <c r="L812" s="30" t="str">
        <f ca="1">IFERROR(__xludf.DUMMYFUNCTION("""COMPUTED_VALUE"""),"No")</f>
        <v>No</v>
      </c>
      <c r="M812" s="30" t="str">
        <f ca="1">IFERROR(__xludf.DUMMYFUNCTION("""COMPUTED_VALUE"""),"14140030000")</f>
        <v>14140030000</v>
      </c>
      <c r="N812" s="30" t="str">
        <f ca="1">IFERROR(__xludf.DUMMYFUNCTION("""COMPUTED_VALUE"""),"ARROYITO")</f>
        <v>ARROYITO</v>
      </c>
      <c r="O812" s="30" t="str">
        <f ca="1">IFERROR(__xludf.DUMMYFUNCTION("""COMPUTED_VALUE"""),"14140")</f>
        <v>14140</v>
      </c>
      <c r="P812" s="30" t="str">
        <f ca="1">IFERROR(__xludf.DUMMYFUNCTION("""COMPUTED_VALUE"""),"SAN JUSTO")</f>
        <v>SAN JUSTO</v>
      </c>
      <c r="Q812" s="30" t="str">
        <f ca="1">IFERROR(__xludf.DUMMYFUNCTION("""COMPUTED_VALUE"""),"-31.4207399")</f>
        <v>-31.4207399</v>
      </c>
      <c r="R812" s="30" t="str">
        <f ca="1">IFERROR(__xludf.DUMMYFUNCTION("""COMPUTED_VALUE"""),"-63.0573265")</f>
        <v>-63.0573265</v>
      </c>
      <c r="S812" s="30" t="str">
        <f ca="1">IFERROR(__xludf.DUMMYFUNCTION("""COMPUTED_VALUE"""),"Municipal")</f>
        <v>Municipal</v>
      </c>
      <c r="T812" s="29"/>
    </row>
    <row r="813" spans="1:20" ht="15.75" customHeight="1" x14ac:dyDescent="0.25">
      <c r="A813" s="30" t="str">
        <f ca="1">IFERROR(__xludf.DUMMYFUNCTION("""COMPUTED_VALUE"""),"50141402231929")</f>
        <v>50141402231929</v>
      </c>
      <c r="B813" s="30" t="str">
        <f ca="1">IFERROR(__xludf.DUMMYFUNCTION("""COMPUTED_VALUE"""),"CENTRO DE SALUD RUBEN MIRETTI")</f>
        <v>CENTRO DE SALUD RUBEN MIRETTI</v>
      </c>
      <c r="C813" s="30" t="str">
        <f ca="1">IFERROR(__xludf.DUMMYFUNCTION("""COMPUTED_VALUE"""),"Córdoba")</f>
        <v>Córdoba</v>
      </c>
      <c r="D813" s="30" t="str">
        <f ca="1">IFERROR(__xludf.DUMMYFUNCTION("""COMPUTED_VALUE"""),"14")</f>
        <v>14</v>
      </c>
      <c r="E813" s="30" t="str">
        <f ca="1">IFERROR(__xludf.DUMMYFUNCTION("""COMPUTED_VALUE"""),"")</f>
        <v/>
      </c>
      <c r="F813" s="29"/>
      <c r="G813" s="29"/>
      <c r="H813" s="30" t="str">
        <f ca="1">IFERROR(__xludf.DUMMYFUNCTION("""COMPUTED_VALUE"""),"activo")</f>
        <v>activo</v>
      </c>
      <c r="I813" s="30" t="str">
        <f ca="1">IFERROR(__xludf.DUMMYFUNCTION("""COMPUTED_VALUE"""),"incluido en la circular nro 2")</f>
        <v>incluido en la circular nro 2</v>
      </c>
      <c r="J813" s="29"/>
      <c r="K813" s="29"/>
      <c r="L813" s="30" t="str">
        <f ca="1">IFERROR(__xludf.DUMMYFUNCTION("""COMPUTED_VALUE"""),"No")</f>
        <v>No</v>
      </c>
      <c r="M813" s="30" t="str">
        <f ca="1">IFERROR(__xludf.DUMMYFUNCTION("""COMPUTED_VALUE"""),"14140030000")</f>
        <v>14140030000</v>
      </c>
      <c r="N813" s="30" t="str">
        <f ca="1">IFERROR(__xludf.DUMMYFUNCTION("""COMPUTED_VALUE"""),"ARROYITO")</f>
        <v>ARROYITO</v>
      </c>
      <c r="O813" s="30" t="str">
        <f ca="1">IFERROR(__xludf.DUMMYFUNCTION("""COMPUTED_VALUE"""),"14140")</f>
        <v>14140</v>
      </c>
      <c r="P813" s="30" t="str">
        <f ca="1">IFERROR(__xludf.DUMMYFUNCTION("""COMPUTED_VALUE"""),"SAN JUSTO")</f>
        <v>SAN JUSTO</v>
      </c>
      <c r="Q813" s="30" t="str">
        <f ca="1">IFERROR(__xludf.DUMMYFUNCTION("""COMPUTED_VALUE"""),"-31.4269481")</f>
        <v>-31.4269481</v>
      </c>
      <c r="R813" s="30" t="str">
        <f ca="1">IFERROR(__xludf.DUMMYFUNCTION("""COMPUTED_VALUE"""),"-63.0453556")</f>
        <v>-63.0453556</v>
      </c>
      <c r="S813" s="30" t="str">
        <f ca="1">IFERROR(__xludf.DUMMYFUNCTION("""COMPUTED_VALUE"""),"Municipal")</f>
        <v>Municipal</v>
      </c>
      <c r="T813" s="29"/>
    </row>
    <row r="814" spans="1:20" ht="15.75" customHeight="1" x14ac:dyDescent="0.25">
      <c r="A814" s="30" t="str">
        <f ca="1">IFERROR(__xludf.DUMMYFUNCTION("""COMPUTED_VALUE"""),"50141472231496")</f>
        <v>50141472231496</v>
      </c>
      <c r="B814" s="30" t="str">
        <f ca="1">IFERROR(__xludf.DUMMYFUNCTION("""COMPUTED_VALUE"""),"DISPENSARIO COMUNAL DE VILLA LA BOLSA")</f>
        <v>DISPENSARIO COMUNAL DE VILLA LA BOLSA</v>
      </c>
      <c r="C814" s="30" t="str">
        <f ca="1">IFERROR(__xludf.DUMMYFUNCTION("""COMPUTED_VALUE"""),"Córdoba")</f>
        <v>Córdoba</v>
      </c>
      <c r="D814" s="30" t="str">
        <f ca="1">IFERROR(__xludf.DUMMYFUNCTION("""COMPUTED_VALUE"""),"14")</f>
        <v>14</v>
      </c>
      <c r="E814" s="30" t="str">
        <f ca="1">IFERROR(__xludf.DUMMYFUNCTION("""COMPUTED_VALUE"""),"")</f>
        <v/>
      </c>
      <c r="F814" s="29"/>
      <c r="G814" s="29"/>
      <c r="H814" s="30" t="str">
        <f ca="1">IFERROR(__xludf.DUMMYFUNCTION("""COMPUTED_VALUE"""),"activo")</f>
        <v>activo</v>
      </c>
      <c r="I814" s="30" t="str">
        <f ca="1">IFERROR(__xludf.DUMMYFUNCTION("""COMPUTED_VALUE"""),"incluido en la circular nro 2")</f>
        <v>incluido en la circular nro 2</v>
      </c>
      <c r="J814" s="29"/>
      <c r="K814" s="29"/>
      <c r="L814" s="30" t="str">
        <f ca="1">IFERROR(__xludf.DUMMYFUNCTION("""COMPUTED_VALUE"""),"No")</f>
        <v>No</v>
      </c>
      <c r="M814" s="30" t="str">
        <f ca="1">IFERROR(__xludf.DUMMYFUNCTION("""COMPUTED_VALUE"""),"14147330")</f>
        <v>14147330</v>
      </c>
      <c r="N814" s="30" t="str">
        <f ca="1">IFERROR(__xludf.DUMMYFUNCTION("""COMPUTED_VALUE"""),"VILLA  LA BOLSA")</f>
        <v>VILLA  LA BOLSA</v>
      </c>
      <c r="O814" s="30" t="str">
        <f ca="1">IFERROR(__xludf.DUMMYFUNCTION("""COMPUTED_VALUE"""),"14147")</f>
        <v>14147</v>
      </c>
      <c r="P814" s="30" t="str">
        <f ca="1">IFERROR(__xludf.DUMMYFUNCTION("""COMPUTED_VALUE"""),"SANTA MARÍA")</f>
        <v>SANTA MARÍA</v>
      </c>
      <c r="Q814" s="30" t="str">
        <f ca="1">IFERROR(__xludf.DUMMYFUNCTION("""COMPUTED_VALUE"""),"-31.729472")</f>
        <v>-31.729472</v>
      </c>
      <c r="R814" s="30" t="str">
        <f ca="1">IFERROR(__xludf.DUMMYFUNCTION("""COMPUTED_VALUE"""),"-64.42689")</f>
        <v>-64.42689</v>
      </c>
      <c r="S814" s="30" t="str">
        <f ca="1">IFERROR(__xludf.DUMMYFUNCTION("""COMPUTED_VALUE"""),"Municipal")</f>
        <v>Municipal</v>
      </c>
      <c r="T814" s="29"/>
    </row>
    <row r="815" spans="1:20" ht="15.75" customHeight="1" x14ac:dyDescent="0.25">
      <c r="A815" s="30" t="str">
        <f ca="1">IFERROR(__xludf.DUMMYFUNCTION("""COMPUTED_VALUE"""),"50141472231559")</f>
        <v>50141472231559</v>
      </c>
      <c r="B815" s="30" t="str">
        <f ca="1">IFERROR(__xludf.DUMMYFUNCTION("""COMPUTED_VALUE"""),"DISPENSARIO VILLA DEL PRADO")</f>
        <v>DISPENSARIO VILLA DEL PRADO</v>
      </c>
      <c r="C815" s="30" t="str">
        <f ca="1">IFERROR(__xludf.DUMMYFUNCTION("""COMPUTED_VALUE"""),"Córdoba")</f>
        <v>Córdoba</v>
      </c>
      <c r="D815" s="30" t="str">
        <f ca="1">IFERROR(__xludf.DUMMYFUNCTION("""COMPUTED_VALUE"""),"14")</f>
        <v>14</v>
      </c>
      <c r="E815" s="30" t="str">
        <f ca="1">IFERROR(__xludf.DUMMYFUNCTION("""COMPUTED_VALUE"""),"")</f>
        <v/>
      </c>
      <c r="F815" s="29"/>
      <c r="G815" s="29"/>
      <c r="H815" s="30" t="str">
        <f ca="1">IFERROR(__xludf.DUMMYFUNCTION("""COMPUTED_VALUE"""),"activo")</f>
        <v>activo</v>
      </c>
      <c r="I815" s="30" t="str">
        <f ca="1">IFERROR(__xludf.DUMMYFUNCTION("""COMPUTED_VALUE"""),"incluido en la circular nro 2")</f>
        <v>incluido en la circular nro 2</v>
      </c>
      <c r="J815" s="29"/>
      <c r="K815" s="29"/>
      <c r="L815" s="30" t="str">
        <f ca="1">IFERROR(__xludf.DUMMYFUNCTION("""COMPUTED_VALUE"""),"No")</f>
        <v>No</v>
      </c>
      <c r="M815" s="30" t="str">
        <f ca="1">IFERROR(__xludf.DUMMYFUNCTION("""COMPUTED_VALUE"""),"14147320")</f>
        <v>14147320</v>
      </c>
      <c r="N815" s="30" t="str">
        <f ca="1">IFERROR(__xludf.DUMMYFUNCTION("""COMPUTED_VALUE"""),"VILLA DEL PRADO (VILLA DEL PRADO)")</f>
        <v>VILLA DEL PRADO (VILLA DEL PRADO)</v>
      </c>
      <c r="O815" s="30" t="str">
        <f ca="1">IFERROR(__xludf.DUMMYFUNCTION("""COMPUTED_VALUE"""),"14147")</f>
        <v>14147</v>
      </c>
      <c r="P815" s="30" t="str">
        <f ca="1">IFERROR(__xludf.DUMMYFUNCTION("""COMPUTED_VALUE"""),"SANTA MARÍA")</f>
        <v>SANTA MARÍA</v>
      </c>
      <c r="Q815" s="30" t="str">
        <f ca="1">IFERROR(__xludf.DUMMYFUNCTION("""COMPUTED_VALUE"""),"-31.623065")</f>
        <v>-31.623065</v>
      </c>
      <c r="R815" s="30" t="str">
        <f ca="1">IFERROR(__xludf.DUMMYFUNCTION("""COMPUTED_VALUE"""),"-64.391443")</f>
        <v>-64.391443</v>
      </c>
      <c r="S815" s="30" t="str">
        <f ca="1">IFERROR(__xludf.DUMMYFUNCTION("""COMPUTED_VALUE"""),"Municipal")</f>
        <v>Municipal</v>
      </c>
      <c r="T815" s="29"/>
    </row>
    <row r="816" spans="1:20" ht="15.75" customHeight="1" x14ac:dyDescent="0.25">
      <c r="A816" s="30" t="str">
        <f ca="1">IFERROR(__xludf.DUMMYFUNCTION("""COMPUTED_VALUE"""),"50141472232228")</f>
        <v>50141472232228</v>
      </c>
      <c r="B816" s="30" t="str">
        <f ca="1">IFERROR(__xludf.DUMMYFUNCTION("""COMPUTED_VALUE"""),"DISPENSARIO Nº 1 DE ANISACATE")</f>
        <v>DISPENSARIO Nº 1 DE ANISACATE</v>
      </c>
      <c r="C816" s="30" t="str">
        <f ca="1">IFERROR(__xludf.DUMMYFUNCTION("""COMPUTED_VALUE"""),"Córdoba")</f>
        <v>Córdoba</v>
      </c>
      <c r="D816" s="30" t="str">
        <f ca="1">IFERROR(__xludf.DUMMYFUNCTION("""COMPUTED_VALUE"""),"14")</f>
        <v>14</v>
      </c>
      <c r="E816" s="30" t="str">
        <f ca="1">IFERROR(__xludf.DUMMYFUNCTION("""COMPUTED_VALUE"""),"")</f>
        <v/>
      </c>
      <c r="F816" s="29"/>
      <c r="G816" s="29"/>
      <c r="H816" s="30" t="str">
        <f ca="1">IFERROR(__xludf.DUMMYFUNCTION("""COMPUTED_VALUE"""),"activo")</f>
        <v>activo</v>
      </c>
      <c r="I816" s="30" t="str">
        <f ca="1">IFERROR(__xludf.DUMMYFUNCTION("""COMPUTED_VALUE"""),"incluido en la circular nro 2")</f>
        <v>incluido en la circular nro 2</v>
      </c>
      <c r="J816" s="29"/>
      <c r="K816" s="29"/>
      <c r="L816" s="30" t="str">
        <f ca="1">IFERROR(__xludf.DUMMYFUNCTION("""COMPUTED_VALUE"""),"No")</f>
        <v>No</v>
      </c>
      <c r="M816" s="30" t="str">
        <f ca="1">IFERROR(__xludf.DUMMYFUNCTION("""COMPUTED_VALUE"""),"14147020000")</f>
        <v>14147020000</v>
      </c>
      <c r="N816" s="30" t="str">
        <f ca="1">IFERROR(__xludf.DUMMYFUNCTION("""COMPUTED_VALUE"""),"ANISACATE")</f>
        <v>ANISACATE</v>
      </c>
      <c r="O816" s="30" t="str">
        <f ca="1">IFERROR(__xludf.DUMMYFUNCTION("""COMPUTED_VALUE"""),"14147")</f>
        <v>14147</v>
      </c>
      <c r="P816" s="30" t="str">
        <f ca="1">IFERROR(__xludf.DUMMYFUNCTION("""COMPUTED_VALUE"""),"SANTA MARÍA")</f>
        <v>SANTA MARÍA</v>
      </c>
      <c r="Q816" s="30" t="str">
        <f ca="1">IFERROR(__xludf.DUMMYFUNCTION("""COMPUTED_VALUE"""),"-31.70261239")</f>
        <v>-31.70261239</v>
      </c>
      <c r="R816" s="30" t="str">
        <f ca="1">IFERROR(__xludf.DUMMYFUNCTION("""COMPUTED_VALUE"""),"-64.39842224")</f>
        <v>-64.39842224</v>
      </c>
      <c r="S816" s="30" t="str">
        <f ca="1">IFERROR(__xludf.DUMMYFUNCTION("""COMPUTED_VALUE"""),"Municipal")</f>
        <v>Municipal</v>
      </c>
      <c r="T816" s="29"/>
    </row>
    <row r="817" spans="1:20" ht="15.75" customHeight="1" x14ac:dyDescent="0.25">
      <c r="A817" s="30" t="str">
        <f ca="1">IFERROR(__xludf.DUMMYFUNCTION("""COMPUTED_VALUE"""),"50141612231755")</f>
        <v>50141612231755</v>
      </c>
      <c r="B817" s="30" t="str">
        <f ca="1">IFERROR(__xludf.DUMMYFUNCTION("""COMPUTED_VALUE"""),"CENTRO ASISTENCIAL Nº 8 BARRIO PARQUE MONTEGRANDE")</f>
        <v>CENTRO ASISTENCIAL Nº 8 BARRIO PARQUE MONTEGRANDE</v>
      </c>
      <c r="C817" s="30" t="str">
        <f ca="1">IFERROR(__xludf.DUMMYFUNCTION("""COMPUTED_VALUE"""),"Córdoba")</f>
        <v>Córdoba</v>
      </c>
      <c r="D817" s="30" t="str">
        <f ca="1">IFERROR(__xludf.DUMMYFUNCTION("""COMPUTED_VALUE"""),"14")</f>
        <v>14</v>
      </c>
      <c r="E817" s="30" t="str">
        <f ca="1">IFERROR(__xludf.DUMMYFUNCTION("""COMPUTED_VALUE"""),"")</f>
        <v/>
      </c>
      <c r="F817" s="29"/>
      <c r="G817" s="29"/>
      <c r="H817" s="30" t="str">
        <f ca="1">IFERROR(__xludf.DUMMYFUNCTION("""COMPUTED_VALUE"""),"activo")</f>
        <v>activo</v>
      </c>
      <c r="I817" s="30" t="str">
        <f ca="1">IFERROR(__xludf.DUMMYFUNCTION("""COMPUTED_VALUE"""),"incluido en la circular nro 2")</f>
        <v>incluido en la circular nro 2</v>
      </c>
      <c r="J817" s="29"/>
      <c r="K817" s="29"/>
      <c r="L817" s="30" t="str">
        <f ca="1">IFERROR(__xludf.DUMMYFUNCTION("""COMPUTED_VALUE"""),"No")</f>
        <v>No</v>
      </c>
      <c r="M817" s="30" t="str">
        <f ca="1">IFERROR(__xludf.DUMMYFUNCTION("""COMPUTED_VALUE"""),"14161150000")</f>
        <v>14161150000</v>
      </c>
      <c r="N817" s="30" t="str">
        <f ca="1">IFERROR(__xludf.DUMMYFUNCTION("""COMPUTED_VALUE"""),"RIO TERCERO")</f>
        <v>RIO TERCERO</v>
      </c>
      <c r="O817" s="30" t="str">
        <f ca="1">IFERROR(__xludf.DUMMYFUNCTION("""COMPUTED_VALUE"""),"14161")</f>
        <v>14161</v>
      </c>
      <c r="P817" s="30" t="str">
        <f ca="1">IFERROR(__xludf.DUMMYFUNCTION("""COMPUTED_VALUE"""),"TERCERO ARRIBA")</f>
        <v>TERCERO ARRIBA</v>
      </c>
      <c r="Q817" s="30" t="str">
        <f ca="1">IFERROR(__xludf.DUMMYFUNCTION("""COMPUTED_VALUE"""),"-32.1672937")</f>
        <v>-32.1672937</v>
      </c>
      <c r="R817" s="30" t="str">
        <f ca="1">IFERROR(__xludf.DUMMYFUNCTION("""COMPUTED_VALUE"""),"-64.1550134")</f>
        <v>-64.1550134</v>
      </c>
      <c r="S817" s="30" t="str">
        <f ca="1">IFERROR(__xludf.DUMMYFUNCTION("""COMPUTED_VALUE"""),"Municipal")</f>
        <v>Municipal</v>
      </c>
      <c r="T817" s="29"/>
    </row>
    <row r="818" spans="1:20" ht="15.75" customHeight="1" x14ac:dyDescent="0.25">
      <c r="A818" s="30" t="str">
        <f ca="1">IFERROR(__xludf.DUMMYFUNCTION("""COMPUTED_VALUE"""),"50141612231771")</f>
        <v>50141612231771</v>
      </c>
      <c r="B818" s="30" t="str">
        <f ca="1">IFERROR(__xludf.DUMMYFUNCTION("""COMPUTED_VALUE"""),"CENTRO ASISTENCIAL Nº 10 BARRIO INTENDENTE MAGNASCO")</f>
        <v>CENTRO ASISTENCIAL Nº 10 BARRIO INTENDENTE MAGNASCO</v>
      </c>
      <c r="C818" s="30" t="str">
        <f ca="1">IFERROR(__xludf.DUMMYFUNCTION("""COMPUTED_VALUE"""),"Córdoba")</f>
        <v>Córdoba</v>
      </c>
      <c r="D818" s="30" t="str">
        <f ca="1">IFERROR(__xludf.DUMMYFUNCTION("""COMPUTED_VALUE"""),"14")</f>
        <v>14</v>
      </c>
      <c r="E818" s="30" t="str">
        <f ca="1">IFERROR(__xludf.DUMMYFUNCTION("""COMPUTED_VALUE"""),"")</f>
        <v/>
      </c>
      <c r="F818" s="29"/>
      <c r="G818" s="29"/>
      <c r="H818" s="30" t="str">
        <f ca="1">IFERROR(__xludf.DUMMYFUNCTION("""COMPUTED_VALUE"""),"activo")</f>
        <v>activo</v>
      </c>
      <c r="I818" s="30" t="str">
        <f ca="1">IFERROR(__xludf.DUMMYFUNCTION("""COMPUTED_VALUE"""),"incluido en la circular nro 2")</f>
        <v>incluido en la circular nro 2</v>
      </c>
      <c r="J818" s="29"/>
      <c r="K818" s="29"/>
      <c r="L818" s="30" t="str">
        <f ca="1">IFERROR(__xludf.DUMMYFUNCTION("""COMPUTED_VALUE"""),"No")</f>
        <v>No</v>
      </c>
      <c r="M818" s="30" t="str">
        <f ca="1">IFERROR(__xludf.DUMMYFUNCTION("""COMPUTED_VALUE"""),"14161150000")</f>
        <v>14161150000</v>
      </c>
      <c r="N818" s="30" t="str">
        <f ca="1">IFERROR(__xludf.DUMMYFUNCTION("""COMPUTED_VALUE"""),"RIO TERCERO")</f>
        <v>RIO TERCERO</v>
      </c>
      <c r="O818" s="30" t="str">
        <f ca="1">IFERROR(__xludf.DUMMYFUNCTION("""COMPUTED_VALUE"""),"14161")</f>
        <v>14161</v>
      </c>
      <c r="P818" s="30" t="str">
        <f ca="1">IFERROR(__xludf.DUMMYFUNCTION("""COMPUTED_VALUE"""),"TERCERO ARRIBA")</f>
        <v>TERCERO ARRIBA</v>
      </c>
      <c r="Q818" s="30" t="str">
        <f ca="1">IFERROR(__xludf.DUMMYFUNCTION("""COMPUTED_VALUE"""),"-32.1648989")</f>
        <v>-32.1648989</v>
      </c>
      <c r="R818" s="30" t="str">
        <f ca="1">IFERROR(__xludf.DUMMYFUNCTION("""COMPUTED_VALUE"""),"-64.1025949")</f>
        <v>-64.1025949</v>
      </c>
      <c r="S818" s="30" t="str">
        <f ca="1">IFERROR(__xludf.DUMMYFUNCTION("""COMPUTED_VALUE"""),"Municipal")</f>
        <v>Municipal</v>
      </c>
      <c r="T818" s="29"/>
    </row>
    <row r="819" spans="1:20" ht="15.75" customHeight="1" x14ac:dyDescent="0.25">
      <c r="A819" s="30" t="str">
        <f ca="1">IFERROR(__xludf.DUMMYFUNCTION("""COMPUTED_VALUE"""),"50141612231769")</f>
        <v>50141612231769</v>
      </c>
      <c r="B819" s="30" t="str">
        <f ca="1">IFERROR(__xludf.DUMMYFUNCTION("""COMPUTED_VALUE"""),"CENTRO ASISTENCIAL Nº 2 BARRIO CASTAGNINO")</f>
        <v>CENTRO ASISTENCIAL Nº 2 BARRIO CASTAGNINO</v>
      </c>
      <c r="C819" s="30" t="str">
        <f ca="1">IFERROR(__xludf.DUMMYFUNCTION("""COMPUTED_VALUE"""),"Córdoba")</f>
        <v>Córdoba</v>
      </c>
      <c r="D819" s="30" t="str">
        <f ca="1">IFERROR(__xludf.DUMMYFUNCTION("""COMPUTED_VALUE"""),"14")</f>
        <v>14</v>
      </c>
      <c r="E819" s="30" t="str">
        <f ca="1">IFERROR(__xludf.DUMMYFUNCTION("""COMPUTED_VALUE"""),"")</f>
        <v/>
      </c>
      <c r="F819" s="29"/>
      <c r="G819" s="29"/>
      <c r="H819" s="30" t="str">
        <f ca="1">IFERROR(__xludf.DUMMYFUNCTION("""COMPUTED_VALUE"""),"activo")</f>
        <v>activo</v>
      </c>
      <c r="I819" s="30" t="str">
        <f ca="1">IFERROR(__xludf.DUMMYFUNCTION("""COMPUTED_VALUE"""),"incluido en la circular nro 2")</f>
        <v>incluido en la circular nro 2</v>
      </c>
      <c r="J819" s="29"/>
      <c r="K819" s="29"/>
      <c r="L819" s="30" t="str">
        <f ca="1">IFERROR(__xludf.DUMMYFUNCTION("""COMPUTED_VALUE"""),"No")</f>
        <v>No</v>
      </c>
      <c r="M819" s="30" t="str">
        <f ca="1">IFERROR(__xludf.DUMMYFUNCTION("""COMPUTED_VALUE"""),"14161150000")</f>
        <v>14161150000</v>
      </c>
      <c r="N819" s="30" t="str">
        <f ca="1">IFERROR(__xludf.DUMMYFUNCTION("""COMPUTED_VALUE"""),"RIO TERCERO")</f>
        <v>RIO TERCERO</v>
      </c>
      <c r="O819" s="30" t="str">
        <f ca="1">IFERROR(__xludf.DUMMYFUNCTION("""COMPUTED_VALUE"""),"14161")</f>
        <v>14161</v>
      </c>
      <c r="P819" s="30" t="str">
        <f ca="1">IFERROR(__xludf.DUMMYFUNCTION("""COMPUTED_VALUE"""),"TERCERO ARRIBA")</f>
        <v>TERCERO ARRIBA</v>
      </c>
      <c r="Q819" s="30" t="str">
        <f ca="1">IFERROR(__xludf.DUMMYFUNCTION("""COMPUTED_VALUE"""),"-32.163733")</f>
        <v>-32.163733</v>
      </c>
      <c r="R819" s="30" t="str">
        <f ca="1">IFERROR(__xludf.DUMMYFUNCTION("""COMPUTED_VALUE"""),"-64.128331")</f>
        <v>-64.128331</v>
      </c>
      <c r="S819" s="30" t="str">
        <f ca="1">IFERROR(__xludf.DUMMYFUNCTION("""COMPUTED_VALUE"""),"Municipal")</f>
        <v>Municipal</v>
      </c>
      <c r="T819" s="29"/>
    </row>
    <row r="820" spans="1:20" ht="15.75" customHeight="1" x14ac:dyDescent="0.25">
      <c r="A820" s="30" t="str">
        <f ca="1">IFERROR(__xludf.DUMMYFUNCTION("""COMPUTED_VALUE"""),"50141612231767")</f>
        <v>50141612231767</v>
      </c>
      <c r="B820" s="30" t="str">
        <f ca="1">IFERROR(__xludf.DUMMYFUNCTION("""COMPUTED_VALUE"""),"CENTRO ASISTENCIAL Nº1 BARRIO ESCUELA")</f>
        <v>CENTRO ASISTENCIAL Nº1 BARRIO ESCUELA</v>
      </c>
      <c r="C820" s="30" t="str">
        <f ca="1">IFERROR(__xludf.DUMMYFUNCTION("""COMPUTED_VALUE"""),"Córdoba")</f>
        <v>Córdoba</v>
      </c>
      <c r="D820" s="30" t="str">
        <f ca="1">IFERROR(__xludf.DUMMYFUNCTION("""COMPUTED_VALUE"""),"14")</f>
        <v>14</v>
      </c>
      <c r="E820" s="30" t="str">
        <f ca="1">IFERROR(__xludf.DUMMYFUNCTION("""COMPUTED_VALUE"""),"")</f>
        <v/>
      </c>
      <c r="F820" s="29"/>
      <c r="G820" s="29"/>
      <c r="H820" s="30" t="str">
        <f ca="1">IFERROR(__xludf.DUMMYFUNCTION("""COMPUTED_VALUE"""),"activo")</f>
        <v>activo</v>
      </c>
      <c r="I820" s="30" t="str">
        <f ca="1">IFERROR(__xludf.DUMMYFUNCTION("""COMPUTED_VALUE"""),"incluido en la circular nro 2")</f>
        <v>incluido en la circular nro 2</v>
      </c>
      <c r="J820" s="29"/>
      <c r="K820" s="29"/>
      <c r="L820" s="30" t="str">
        <f ca="1">IFERROR(__xludf.DUMMYFUNCTION("""COMPUTED_VALUE"""),"No")</f>
        <v>No</v>
      </c>
      <c r="M820" s="30" t="str">
        <f ca="1">IFERROR(__xludf.DUMMYFUNCTION("""COMPUTED_VALUE"""),"14161150000")</f>
        <v>14161150000</v>
      </c>
      <c r="N820" s="30" t="str">
        <f ca="1">IFERROR(__xludf.DUMMYFUNCTION("""COMPUTED_VALUE"""),"RIO TERCERO")</f>
        <v>RIO TERCERO</v>
      </c>
      <c r="O820" s="30" t="str">
        <f ca="1">IFERROR(__xludf.DUMMYFUNCTION("""COMPUTED_VALUE"""),"14161")</f>
        <v>14161</v>
      </c>
      <c r="P820" s="30" t="str">
        <f ca="1">IFERROR(__xludf.DUMMYFUNCTION("""COMPUTED_VALUE"""),"TERCERO ARRIBA")</f>
        <v>TERCERO ARRIBA</v>
      </c>
      <c r="Q820" s="30" t="str">
        <f ca="1">IFERROR(__xludf.DUMMYFUNCTION("""COMPUTED_VALUE"""),"-32.18026188")</f>
        <v>-32.18026188</v>
      </c>
      <c r="R820" s="30" t="str">
        <f ca="1">IFERROR(__xludf.DUMMYFUNCTION("""COMPUTED_VALUE"""),"-64.11071777")</f>
        <v>-64.11071777</v>
      </c>
      <c r="S820" s="30" t="str">
        <f ca="1">IFERROR(__xludf.DUMMYFUNCTION("""COMPUTED_VALUE"""),"Municipal")</f>
        <v>Municipal</v>
      </c>
      <c r="T820" s="29"/>
    </row>
    <row r="821" spans="1:20" ht="15.75" customHeight="1" x14ac:dyDescent="0.25">
      <c r="A821" s="30" t="str">
        <f ca="1">IFERROR(__xludf.DUMMYFUNCTION("""COMPUTED_VALUE"""),"50141682231408")</f>
        <v>50141682231408</v>
      </c>
      <c r="B821" s="30" t="str">
        <f ca="1">IFERROR(__xludf.DUMMYFUNCTION("""COMPUTED_VALUE"""),"DISPENSARIO MUNICIPAL DE SINSACATE")</f>
        <v>DISPENSARIO MUNICIPAL DE SINSACATE</v>
      </c>
      <c r="C821" s="30" t="str">
        <f ca="1">IFERROR(__xludf.DUMMYFUNCTION("""COMPUTED_VALUE"""),"Córdoba")</f>
        <v>Córdoba</v>
      </c>
      <c r="D821" s="30" t="str">
        <f ca="1">IFERROR(__xludf.DUMMYFUNCTION("""COMPUTED_VALUE"""),"14")</f>
        <v>14</v>
      </c>
      <c r="E821" s="30" t="str">
        <f ca="1">IFERROR(__xludf.DUMMYFUNCTION("""COMPUTED_VALUE"""),"")</f>
        <v/>
      </c>
      <c r="F821" s="29"/>
      <c r="G821" s="29"/>
      <c r="H821" s="30" t="str">
        <f ca="1">IFERROR(__xludf.DUMMYFUNCTION("""COMPUTED_VALUE"""),"activo")</f>
        <v>activo</v>
      </c>
      <c r="I821" s="30" t="str">
        <f ca="1">IFERROR(__xludf.DUMMYFUNCTION("""COMPUTED_VALUE"""),"incluido en la circular nro 2")</f>
        <v>incluido en la circular nro 2</v>
      </c>
      <c r="J821" s="29"/>
      <c r="K821" s="29"/>
      <c r="L821" s="30" t="str">
        <f ca="1">IFERROR(__xludf.DUMMYFUNCTION("""COMPUTED_VALUE"""),"No")</f>
        <v>No</v>
      </c>
      <c r="M821" s="30" t="str">
        <f ca="1">IFERROR(__xludf.DUMMYFUNCTION("""COMPUTED_VALUE"""),"14168110000")</f>
        <v>14168110000</v>
      </c>
      <c r="N821" s="30" t="str">
        <f ca="1">IFERROR(__xludf.DUMMYFUNCTION("""COMPUTED_VALUE"""),"SINSACATE")</f>
        <v>SINSACATE</v>
      </c>
      <c r="O821" s="30" t="str">
        <f ca="1">IFERROR(__xludf.DUMMYFUNCTION("""COMPUTED_VALUE"""),"14168")</f>
        <v>14168</v>
      </c>
      <c r="P821" s="30" t="str">
        <f ca="1">IFERROR(__xludf.DUMMYFUNCTION("""COMPUTED_VALUE"""),"TOTORAL")</f>
        <v>TOTORAL</v>
      </c>
      <c r="Q821" s="30" t="str">
        <f ca="1">IFERROR(__xludf.DUMMYFUNCTION("""COMPUTED_VALUE"""),"-30.81616686")</f>
        <v>-30.81616686</v>
      </c>
      <c r="R821" s="30" t="str">
        <f ca="1">IFERROR(__xludf.DUMMYFUNCTION("""COMPUTED_VALUE"""),"-63.71692657")</f>
        <v>-63.71692657</v>
      </c>
      <c r="S821" s="30" t="str">
        <f ca="1">IFERROR(__xludf.DUMMYFUNCTION("""COMPUTED_VALUE"""),"Municipal")</f>
        <v>Municipal</v>
      </c>
      <c r="T821" s="29"/>
    </row>
    <row r="822" spans="1:20" ht="15.75" customHeight="1" x14ac:dyDescent="0.25">
      <c r="A822" s="30" t="str">
        <f ca="1">IFERROR(__xludf.DUMMYFUNCTION("""COMPUTED_VALUE"""),"50141682231492")</f>
        <v>50141682231492</v>
      </c>
      <c r="B822" s="30" t="str">
        <f ca="1">IFERROR(__xludf.DUMMYFUNCTION("""COMPUTED_VALUE"""),"DISPENSARIO MUNICIPAL MARIA ESTER SUAREZ")</f>
        <v>DISPENSARIO MUNICIPAL MARIA ESTER SUAREZ</v>
      </c>
      <c r="C822" s="30" t="str">
        <f ca="1">IFERROR(__xludf.DUMMYFUNCTION("""COMPUTED_VALUE"""),"Córdoba")</f>
        <v>Córdoba</v>
      </c>
      <c r="D822" s="30" t="str">
        <f ca="1">IFERROR(__xludf.DUMMYFUNCTION("""COMPUTED_VALUE"""),"14")</f>
        <v>14</v>
      </c>
      <c r="E822" s="30" t="str">
        <f ca="1">IFERROR(__xludf.DUMMYFUNCTION("""COMPUTED_VALUE"""),"")</f>
        <v/>
      </c>
      <c r="F822" s="29"/>
      <c r="G822" s="29"/>
      <c r="H822" s="30" t="str">
        <f ca="1">IFERROR(__xludf.DUMMYFUNCTION("""COMPUTED_VALUE"""),"activo")</f>
        <v>activo</v>
      </c>
      <c r="I822" s="30" t="str">
        <f ca="1">IFERROR(__xludf.DUMMYFUNCTION("""COMPUTED_VALUE"""),"incluido en la circular nro 2")</f>
        <v>incluido en la circular nro 2</v>
      </c>
      <c r="J822" s="29"/>
      <c r="K822" s="29"/>
      <c r="L822" s="30" t="str">
        <f ca="1">IFERROR(__xludf.DUMMYFUNCTION("""COMPUTED_VALUE"""),"No")</f>
        <v>No</v>
      </c>
      <c r="M822" s="30" t="str">
        <f ca="1">IFERROR(__xludf.DUMMYFUNCTION("""COMPUTED_VALUE"""),"14168090000")</f>
        <v>14168090000</v>
      </c>
      <c r="N822" s="30" t="str">
        <f ca="1">IFERROR(__xludf.DUMMYFUNCTION("""COMPUTED_VALUE"""),"SARMIENTO")</f>
        <v>SARMIENTO</v>
      </c>
      <c r="O822" s="30" t="str">
        <f ca="1">IFERROR(__xludf.DUMMYFUNCTION("""COMPUTED_VALUE"""),"14168")</f>
        <v>14168</v>
      </c>
      <c r="P822" s="30" t="str">
        <f ca="1">IFERROR(__xludf.DUMMYFUNCTION("""COMPUTED_VALUE"""),"TOTORAL")</f>
        <v>TOTORAL</v>
      </c>
      <c r="Q822" s="30" t="str">
        <f ca="1">IFERROR(__xludf.DUMMYFUNCTION("""COMPUTED_VALUE"""),"-30.77473138")</f>
        <v>-30.77473138</v>
      </c>
      <c r="R822" s="30" t="str">
        <f ca="1">IFERROR(__xludf.DUMMYFUNCTION("""COMPUTED_VALUE"""),"-64.11088943")</f>
        <v>-64.11088943</v>
      </c>
      <c r="S822" s="30" t="str">
        <f ca="1">IFERROR(__xludf.DUMMYFUNCTION("""COMPUTED_VALUE"""),"Municipal")</f>
        <v>Municipal</v>
      </c>
      <c r="T822" s="29"/>
    </row>
    <row r="823" spans="1:20" ht="15.75" customHeight="1" x14ac:dyDescent="0.25">
      <c r="A823" s="30" t="str">
        <f ca="1">IFERROR(__xludf.DUMMYFUNCTION("""COMPUTED_VALUE"""),"50141682231646")</f>
        <v>50141682231646</v>
      </c>
      <c r="B823" s="30" t="str">
        <f ca="1">IFERROR(__xludf.DUMMYFUNCTION("""COMPUTED_VALUE"""),"CENTRO DE SALUD DR. MARCOS RIVERA")</f>
        <v>CENTRO DE SALUD DR. MARCOS RIVERA</v>
      </c>
      <c r="C823" s="30" t="str">
        <f ca="1">IFERROR(__xludf.DUMMYFUNCTION("""COMPUTED_VALUE"""),"Córdoba")</f>
        <v>Córdoba</v>
      </c>
      <c r="D823" s="30" t="str">
        <f ca="1">IFERROR(__xludf.DUMMYFUNCTION("""COMPUTED_VALUE"""),"14")</f>
        <v>14</v>
      </c>
      <c r="E823" s="30" t="str">
        <f ca="1">IFERROR(__xludf.DUMMYFUNCTION("""COMPUTED_VALUE"""),"si")</f>
        <v>si</v>
      </c>
      <c r="F823" s="29"/>
      <c r="G823" s="29"/>
      <c r="H823" s="30" t="str">
        <f ca="1">IFERROR(__xludf.DUMMYFUNCTION("""COMPUTED_VALUE"""),"activo")</f>
        <v>activo</v>
      </c>
      <c r="I823" s="30" t="str">
        <f ca="1">IFERROR(__xludf.DUMMYFUNCTION("""COMPUTED_VALUE"""),"incluido en la circular nro 2")</f>
        <v>incluido en la circular nro 2</v>
      </c>
      <c r="J823" s="29"/>
      <c r="K823" s="29"/>
      <c r="L823" s="30" t="str">
        <f ca="1">IFERROR(__xludf.DUMMYFUNCTION("""COMPUTED_VALUE"""),"No")</f>
        <v>No</v>
      </c>
      <c r="M823" s="30" t="str">
        <f ca="1">IFERROR(__xludf.DUMMYFUNCTION("""COMPUTED_VALUE"""),"14168060000")</f>
        <v>14168060000</v>
      </c>
      <c r="N823" s="30" t="str">
        <f ca="1">IFERROR(__xludf.DUMMYFUNCTION("""COMPUTED_VALUE"""),"LAS PEÑAS")</f>
        <v>LAS PEÑAS</v>
      </c>
      <c r="O823" s="30" t="str">
        <f ca="1">IFERROR(__xludf.DUMMYFUNCTION("""COMPUTED_VALUE"""),"14168")</f>
        <v>14168</v>
      </c>
      <c r="P823" s="30" t="str">
        <f ca="1">IFERROR(__xludf.DUMMYFUNCTION("""COMPUTED_VALUE"""),"TOTORAL")</f>
        <v>TOTORAL</v>
      </c>
      <c r="Q823" s="30" t="str">
        <f ca="1">IFERROR(__xludf.DUMMYFUNCTION("""COMPUTED_VALUE"""),"-30.563507")</f>
        <v>-30.563507</v>
      </c>
      <c r="R823" s="30" t="str">
        <f ca="1">IFERROR(__xludf.DUMMYFUNCTION("""COMPUTED_VALUE"""),"-64.000175")</f>
        <v>-64.000175</v>
      </c>
      <c r="S823" s="30" t="str">
        <f ca="1">IFERROR(__xludf.DUMMYFUNCTION("""COMPUTED_VALUE"""),"Municipal")</f>
        <v>Municipal</v>
      </c>
      <c r="T823" s="29"/>
    </row>
    <row r="824" spans="1:20" ht="15.75" customHeight="1" x14ac:dyDescent="0.25">
      <c r="A824" s="30" t="str">
        <f ca="1">IFERROR(__xludf.DUMMYFUNCTION("""COMPUTED_VALUE"""),"50180072139104")</f>
        <v>50180072139104</v>
      </c>
      <c r="B824" s="30" t="str">
        <f ca="1">IFERROR(__xludf.DUMMYFUNCTION("""COMPUTED_VALUE"""),"CAPS FLORIDA")</f>
        <v>CAPS FLORIDA</v>
      </c>
      <c r="C824" s="30" t="str">
        <f ca="1">IFERROR(__xludf.DUMMYFUNCTION("""COMPUTED_VALUE"""),"Corrientes")</f>
        <v>Corrientes</v>
      </c>
      <c r="D824" s="30" t="str">
        <f ca="1">IFERROR(__xludf.DUMMYFUNCTION("""COMPUTED_VALUE"""),"18")</f>
        <v>18</v>
      </c>
      <c r="E824" s="30" t="str">
        <f ca="1">IFERROR(__xludf.DUMMYFUNCTION("""COMPUTED_VALUE"""),"")</f>
        <v/>
      </c>
      <c r="F824" s="29"/>
      <c r="G824" s="29"/>
      <c r="H824" s="30" t="str">
        <f ca="1">IFERROR(__xludf.DUMMYFUNCTION("""COMPUTED_VALUE"""),"activo")</f>
        <v>activo</v>
      </c>
      <c r="I824" s="29"/>
      <c r="J824" s="29"/>
      <c r="K824" s="29"/>
      <c r="L824" s="30" t="str">
        <f ca="1">IFERROR(__xludf.DUMMYFUNCTION("""COMPUTED_VALUE"""),"No")</f>
        <v>No</v>
      </c>
      <c r="M824" s="30" t="str">
        <f ca="1">IFERROR(__xludf.DUMMYFUNCTION("""COMPUTED_VALUE"""),"18007010000")</f>
        <v>18007010000</v>
      </c>
      <c r="N824" s="30" t="str">
        <f ca="1">IFERROR(__xludf.DUMMYFUNCTION("""COMPUTED_VALUE"""),"BELLA VISTA")</f>
        <v>BELLA VISTA</v>
      </c>
      <c r="O824" s="30" t="str">
        <f ca="1">IFERROR(__xludf.DUMMYFUNCTION("""COMPUTED_VALUE"""),"187")</f>
        <v>187</v>
      </c>
      <c r="P824" s="30" t="str">
        <f ca="1">IFERROR(__xludf.DUMMYFUNCTION("""COMPUTED_VALUE"""),"BELLA VISTA")</f>
        <v>BELLA VISTA</v>
      </c>
      <c r="Q824" s="30" t="str">
        <f ca="1">IFERROR(__xludf.DUMMYFUNCTION("""COMPUTED_VALUE"""),"-28.502839")</f>
        <v>-28.502839</v>
      </c>
      <c r="R824" s="30" t="str">
        <f ca="1">IFERROR(__xludf.DUMMYFUNCTION("""COMPUTED_VALUE"""),"-59.034635")</f>
        <v>-59.034635</v>
      </c>
      <c r="S824" s="30" t="str">
        <f ca="1">IFERROR(__xludf.DUMMYFUNCTION("""COMPUTED_VALUE"""),"Provincial")</f>
        <v>Provincial</v>
      </c>
      <c r="T824" s="30" t="str">
        <f ca="1">IFERROR(__xludf.DUMMYFUNCTION("""COMPUTED_VALUE"""),"-")</f>
        <v>-</v>
      </c>
    </row>
    <row r="825" spans="1:20" ht="15.75" customHeight="1" x14ac:dyDescent="0.25">
      <c r="A825" s="30" t="str">
        <f ca="1">IFERROR(__xludf.DUMMYFUNCTION("""COMPUTED_VALUE"""),"50180072139171")</f>
        <v>50180072139171</v>
      </c>
      <c r="B825" s="30" t="str">
        <f ca="1">IFERROR(__xludf.DUMMYFUNCTION("""COMPUTED_VALUE"""),"CENTRO MODELO DE SALUD DR ANTONIO ANGULO      PROMIN")</f>
        <v>CENTRO MODELO DE SALUD DR ANTONIO ANGULO      PROMIN</v>
      </c>
      <c r="C825" s="30" t="str">
        <f ca="1">IFERROR(__xludf.DUMMYFUNCTION("""COMPUTED_VALUE"""),"Corrientes")</f>
        <v>Corrientes</v>
      </c>
      <c r="D825" s="30" t="str">
        <f ca="1">IFERROR(__xludf.DUMMYFUNCTION("""COMPUTED_VALUE"""),"18")</f>
        <v>18</v>
      </c>
      <c r="E825" s="30" t="str">
        <f ca="1">IFERROR(__xludf.DUMMYFUNCTION("""COMPUTED_VALUE"""),"")</f>
        <v/>
      </c>
      <c r="F825" s="29"/>
      <c r="G825" s="29"/>
      <c r="H825" s="30" t="str">
        <f ca="1">IFERROR(__xludf.DUMMYFUNCTION("""COMPUTED_VALUE"""),"activo")</f>
        <v>activo</v>
      </c>
      <c r="I825" s="29"/>
      <c r="J825" s="29"/>
      <c r="K825" s="29"/>
      <c r="L825" s="30" t="str">
        <f ca="1">IFERROR(__xludf.DUMMYFUNCTION("""COMPUTED_VALUE"""),"No")</f>
        <v>No</v>
      </c>
      <c r="M825" s="30" t="str">
        <f ca="1">IFERROR(__xludf.DUMMYFUNCTION("""COMPUTED_VALUE"""),"18007010000")</f>
        <v>18007010000</v>
      </c>
      <c r="N825" s="30" t="str">
        <f ca="1">IFERROR(__xludf.DUMMYFUNCTION("""COMPUTED_VALUE"""),"BELLA VISTA")</f>
        <v>BELLA VISTA</v>
      </c>
      <c r="O825" s="30" t="str">
        <f ca="1">IFERROR(__xludf.DUMMYFUNCTION("""COMPUTED_VALUE"""),"187")</f>
        <v>187</v>
      </c>
      <c r="P825" s="30" t="str">
        <f ca="1">IFERROR(__xludf.DUMMYFUNCTION("""COMPUTED_VALUE"""),"BELLA VISTA")</f>
        <v>BELLA VISTA</v>
      </c>
      <c r="Q825" s="30" t="str">
        <f ca="1">IFERROR(__xludf.DUMMYFUNCTION("""COMPUTED_VALUE"""),"-28.5077305")</f>
        <v>-28.5077305</v>
      </c>
      <c r="R825" s="30" t="str">
        <f ca="1">IFERROR(__xludf.DUMMYFUNCTION("""COMPUTED_VALUE"""),"-59.044857")</f>
        <v>-59.044857</v>
      </c>
      <c r="S825" s="30" t="str">
        <f ca="1">IFERROR(__xludf.DUMMYFUNCTION("""COMPUTED_VALUE"""),"Provincial")</f>
        <v>Provincial</v>
      </c>
      <c r="T825" s="30" t="str">
        <f ca="1">IFERROR(__xludf.DUMMYFUNCTION("""COMPUTED_VALUE"""),"-")</f>
        <v>-</v>
      </c>
    </row>
    <row r="826" spans="1:20" ht="15.75" customHeight="1" x14ac:dyDescent="0.25">
      <c r="A826" s="30" t="str">
        <f ca="1">IFERROR(__xludf.DUMMYFUNCTION("""COMPUTED_VALUE"""),"50180072139194")</f>
        <v>50180072139194</v>
      </c>
      <c r="B826" s="30" t="str">
        <f ca="1">IFERROR(__xludf.DUMMYFUNCTION("""COMPUTED_VALUE"""),"DISPENSARIO DERMATOLOGICO")</f>
        <v>DISPENSARIO DERMATOLOGICO</v>
      </c>
      <c r="C826" s="30" t="str">
        <f ca="1">IFERROR(__xludf.DUMMYFUNCTION("""COMPUTED_VALUE"""),"Corrientes")</f>
        <v>Corrientes</v>
      </c>
      <c r="D826" s="30" t="str">
        <f ca="1">IFERROR(__xludf.DUMMYFUNCTION("""COMPUTED_VALUE"""),"18")</f>
        <v>18</v>
      </c>
      <c r="E826" s="30" t="str">
        <f ca="1">IFERROR(__xludf.DUMMYFUNCTION("""COMPUTED_VALUE"""),"")</f>
        <v/>
      </c>
      <c r="F826" s="29"/>
      <c r="G826" s="29"/>
      <c r="H826" s="30" t="str">
        <f ca="1">IFERROR(__xludf.DUMMYFUNCTION("""COMPUTED_VALUE"""),"activo")</f>
        <v>activo</v>
      </c>
      <c r="I826" s="29"/>
      <c r="J826" s="29"/>
      <c r="K826" s="29"/>
      <c r="L826" s="30" t="str">
        <f ca="1">IFERROR(__xludf.DUMMYFUNCTION("""COMPUTED_VALUE"""),"No")</f>
        <v>No</v>
      </c>
      <c r="M826" s="30" t="str">
        <f ca="1">IFERROR(__xludf.DUMMYFUNCTION("""COMPUTED_VALUE"""),"18007010000")</f>
        <v>18007010000</v>
      </c>
      <c r="N826" s="30" t="str">
        <f ca="1">IFERROR(__xludf.DUMMYFUNCTION("""COMPUTED_VALUE"""),"BELLA VISTA")</f>
        <v>BELLA VISTA</v>
      </c>
      <c r="O826" s="30" t="str">
        <f ca="1">IFERROR(__xludf.DUMMYFUNCTION("""COMPUTED_VALUE"""),"187")</f>
        <v>187</v>
      </c>
      <c r="P826" s="30" t="str">
        <f ca="1">IFERROR(__xludf.DUMMYFUNCTION("""COMPUTED_VALUE"""),"BELLA VISTA")</f>
        <v>BELLA VISTA</v>
      </c>
      <c r="Q826" s="30" t="str">
        <f ca="1">IFERROR(__xludf.DUMMYFUNCTION("""COMPUTED_VALUE"""),"-28.5077305")</f>
        <v>-28.5077305</v>
      </c>
      <c r="R826" s="30" t="str">
        <f ca="1">IFERROR(__xludf.DUMMYFUNCTION("""COMPUTED_VALUE"""),"-59.044857")</f>
        <v>-59.044857</v>
      </c>
      <c r="S826" s="30" t="str">
        <f ca="1">IFERROR(__xludf.DUMMYFUNCTION("""COMPUTED_VALUE"""),"Provincial")</f>
        <v>Provincial</v>
      </c>
      <c r="T826" s="30" t="str">
        <f ca="1">IFERROR(__xludf.DUMMYFUNCTION("""COMPUTED_VALUE"""),"-")</f>
        <v>-</v>
      </c>
    </row>
    <row r="827" spans="1:20" ht="15.75" customHeight="1" x14ac:dyDescent="0.25">
      <c r="A827" s="30" t="str">
        <f ca="1">IFERROR(__xludf.DUMMYFUNCTION("""COMPUTED_VALUE"""),"50180072139453")</f>
        <v>50180072139453</v>
      </c>
      <c r="B827" s="30" t="str">
        <f ca="1">IFERROR(__xludf.DUMMYFUNCTION("""COMPUTED_VALUE"""),"CAPS CATALINA LUXEN DE FEYEN")</f>
        <v>CAPS CATALINA LUXEN DE FEYEN</v>
      </c>
      <c r="C827" s="30" t="str">
        <f ca="1">IFERROR(__xludf.DUMMYFUNCTION("""COMPUTED_VALUE"""),"Corrientes")</f>
        <v>Corrientes</v>
      </c>
      <c r="D827" s="30" t="str">
        <f ca="1">IFERROR(__xludf.DUMMYFUNCTION("""COMPUTED_VALUE"""),"18")</f>
        <v>18</v>
      </c>
      <c r="E827" s="30" t="str">
        <f ca="1">IFERROR(__xludf.DUMMYFUNCTION("""COMPUTED_VALUE"""),"")</f>
        <v/>
      </c>
      <c r="F827" s="29"/>
      <c r="G827" s="29"/>
      <c r="H827" s="30" t="str">
        <f ca="1">IFERROR(__xludf.DUMMYFUNCTION("""COMPUTED_VALUE"""),"activo")</f>
        <v>activo</v>
      </c>
      <c r="I827" s="29"/>
      <c r="J827" s="29"/>
      <c r="K827" s="29"/>
      <c r="L827" s="30" t="str">
        <f ca="1">IFERROR(__xludf.DUMMYFUNCTION("""COMPUTED_VALUE"""),"No")</f>
        <v>No</v>
      </c>
      <c r="M827" s="30" t="str">
        <f ca="1">IFERROR(__xludf.DUMMYFUNCTION("""COMPUTED_VALUE"""),"18007010000")</f>
        <v>18007010000</v>
      </c>
      <c r="N827" s="30" t="str">
        <f ca="1">IFERROR(__xludf.DUMMYFUNCTION("""COMPUTED_VALUE"""),"BELLA VISTA")</f>
        <v>BELLA VISTA</v>
      </c>
      <c r="O827" s="30" t="str">
        <f ca="1">IFERROR(__xludf.DUMMYFUNCTION("""COMPUTED_VALUE"""),"187")</f>
        <v>187</v>
      </c>
      <c r="P827" s="30" t="str">
        <f ca="1">IFERROR(__xludf.DUMMYFUNCTION("""COMPUTED_VALUE"""),"BELLA VISTA")</f>
        <v>BELLA VISTA</v>
      </c>
      <c r="Q827" s="30" t="str">
        <f ca="1">IFERROR(__xludf.DUMMYFUNCTION("""COMPUTED_VALUE"""),"-28.400542")</f>
        <v>-28.400542</v>
      </c>
      <c r="R827" s="30" t="str">
        <f ca="1">IFERROR(__xludf.DUMMYFUNCTION("""COMPUTED_VALUE"""),"-58.916176")</f>
        <v>-58.916176</v>
      </c>
      <c r="S827" s="30" t="str">
        <f ca="1">IFERROR(__xludf.DUMMYFUNCTION("""COMPUTED_VALUE"""),"Provincial")</f>
        <v>Provincial</v>
      </c>
      <c r="T827" s="30" t="str">
        <f ca="1">IFERROR(__xludf.DUMMYFUNCTION("""COMPUTED_VALUE"""),"-")</f>
        <v>-</v>
      </c>
    </row>
    <row r="828" spans="1:20" ht="15.75" customHeight="1" x14ac:dyDescent="0.25">
      <c r="A828" s="30" t="str">
        <f ca="1">IFERROR(__xludf.DUMMYFUNCTION("""COMPUTED_VALUE"""),"50180072139525")</f>
        <v>50180072139525</v>
      </c>
      <c r="B828" s="30" t="str">
        <f ca="1">IFERROR(__xludf.DUMMYFUNCTION("""COMPUTED_VALUE"""),"CAPS BARRIO NORTE")</f>
        <v>CAPS BARRIO NORTE</v>
      </c>
      <c r="C828" s="30" t="str">
        <f ca="1">IFERROR(__xludf.DUMMYFUNCTION("""COMPUTED_VALUE"""),"Corrientes")</f>
        <v>Corrientes</v>
      </c>
      <c r="D828" s="30" t="str">
        <f ca="1">IFERROR(__xludf.DUMMYFUNCTION("""COMPUTED_VALUE"""),"18")</f>
        <v>18</v>
      </c>
      <c r="E828" s="30" t="str">
        <f ca="1">IFERROR(__xludf.DUMMYFUNCTION("""COMPUTED_VALUE"""),"")</f>
        <v/>
      </c>
      <c r="F828" s="29"/>
      <c r="G828" s="29"/>
      <c r="H828" s="30" t="str">
        <f ca="1">IFERROR(__xludf.DUMMYFUNCTION("""COMPUTED_VALUE"""),"activo")</f>
        <v>activo</v>
      </c>
      <c r="I828" s="29"/>
      <c r="J828" s="29"/>
      <c r="K828" s="29"/>
      <c r="L828" s="30" t="str">
        <f ca="1">IFERROR(__xludf.DUMMYFUNCTION("""COMPUTED_VALUE"""),"No")</f>
        <v>No</v>
      </c>
      <c r="M828" s="30" t="str">
        <f ca="1">IFERROR(__xludf.DUMMYFUNCTION("""COMPUTED_VALUE"""),"18007010000")</f>
        <v>18007010000</v>
      </c>
      <c r="N828" s="30" t="str">
        <f ca="1">IFERROR(__xludf.DUMMYFUNCTION("""COMPUTED_VALUE"""),"BELLA VISTA")</f>
        <v>BELLA VISTA</v>
      </c>
      <c r="O828" s="30" t="str">
        <f ca="1">IFERROR(__xludf.DUMMYFUNCTION("""COMPUTED_VALUE"""),"187")</f>
        <v>187</v>
      </c>
      <c r="P828" s="30" t="str">
        <f ca="1">IFERROR(__xludf.DUMMYFUNCTION("""COMPUTED_VALUE"""),"BELLA VISTA")</f>
        <v>BELLA VISTA</v>
      </c>
      <c r="Q828" s="30" t="str">
        <f ca="1">IFERROR(__xludf.DUMMYFUNCTION("""COMPUTED_VALUE"""),"-28.502765")</f>
        <v>-28.502765</v>
      </c>
      <c r="R828" s="30" t="str">
        <f ca="1">IFERROR(__xludf.DUMMYFUNCTION("""COMPUTED_VALUE"""),"-59.033776")</f>
        <v>-59.033776</v>
      </c>
      <c r="S828" s="30" t="str">
        <f ca="1">IFERROR(__xludf.DUMMYFUNCTION("""COMPUTED_VALUE"""),"Provincial")</f>
        <v>Provincial</v>
      </c>
      <c r="T828" s="30" t="str">
        <f ca="1">IFERROR(__xludf.DUMMYFUNCTION("""COMPUTED_VALUE"""),"-")</f>
        <v>-</v>
      </c>
    </row>
    <row r="829" spans="1:20" ht="15.75" customHeight="1" x14ac:dyDescent="0.25">
      <c r="A829" s="30" t="str">
        <f ca="1">IFERROR(__xludf.DUMMYFUNCTION("""COMPUTED_VALUE"""),"50180072239164")</f>
        <v>50180072239164</v>
      </c>
      <c r="B829" s="30" t="str">
        <f ca="1">IFERROR(__xludf.DUMMYFUNCTION("""COMPUTED_VALUE"""),"CENTRO INTEGRADOR COMUNITARIO (BELLA VISTA)")</f>
        <v>CENTRO INTEGRADOR COMUNITARIO (BELLA VISTA)</v>
      </c>
      <c r="C829" s="30" t="str">
        <f ca="1">IFERROR(__xludf.DUMMYFUNCTION("""COMPUTED_VALUE"""),"Corrientes")</f>
        <v>Corrientes</v>
      </c>
      <c r="D829" s="30" t="str">
        <f ca="1">IFERROR(__xludf.DUMMYFUNCTION("""COMPUTED_VALUE"""),"18")</f>
        <v>18</v>
      </c>
      <c r="E829" s="30" t="str">
        <f ca="1">IFERROR(__xludf.DUMMYFUNCTION("""COMPUTED_VALUE"""),"")</f>
        <v/>
      </c>
      <c r="F829" s="29"/>
      <c r="G829" s="29"/>
      <c r="H829" s="30" t="str">
        <f ca="1">IFERROR(__xludf.DUMMYFUNCTION("""COMPUTED_VALUE"""),"activo")</f>
        <v>activo</v>
      </c>
      <c r="I829" s="29"/>
      <c r="J829" s="29"/>
      <c r="K829" s="29"/>
      <c r="L829" s="30" t="str">
        <f ca="1">IFERROR(__xludf.DUMMYFUNCTION("""COMPUTED_VALUE"""),"No")</f>
        <v>No</v>
      </c>
      <c r="M829" s="30" t="str">
        <f ca="1">IFERROR(__xludf.DUMMYFUNCTION("""COMPUTED_VALUE"""),"18007010000")</f>
        <v>18007010000</v>
      </c>
      <c r="N829" s="30" t="str">
        <f ca="1">IFERROR(__xludf.DUMMYFUNCTION("""COMPUTED_VALUE"""),"BELLA VISTA")</f>
        <v>BELLA VISTA</v>
      </c>
      <c r="O829" s="30" t="str">
        <f ca="1">IFERROR(__xludf.DUMMYFUNCTION("""COMPUTED_VALUE"""),"187")</f>
        <v>187</v>
      </c>
      <c r="P829" s="30" t="str">
        <f ca="1">IFERROR(__xludf.DUMMYFUNCTION("""COMPUTED_VALUE"""),"BELLA VISTA")</f>
        <v>BELLA VISTA</v>
      </c>
      <c r="Q829" s="30" t="str">
        <f ca="1">IFERROR(__xludf.DUMMYFUNCTION("""COMPUTED_VALUE"""),"-28.5077305")</f>
        <v>-28.5077305</v>
      </c>
      <c r="R829" s="30" t="str">
        <f ca="1">IFERROR(__xludf.DUMMYFUNCTION("""COMPUTED_VALUE"""),"-59.044857")</f>
        <v>-59.044857</v>
      </c>
      <c r="S829" s="30" t="str">
        <f ca="1">IFERROR(__xludf.DUMMYFUNCTION("""COMPUTED_VALUE"""),"Municipal")</f>
        <v>Municipal</v>
      </c>
      <c r="T829" s="29"/>
    </row>
    <row r="830" spans="1:20" ht="15.75" customHeight="1" x14ac:dyDescent="0.25">
      <c r="A830" s="30" t="str">
        <f ca="1">IFERROR(__xludf.DUMMYFUNCTION("""COMPUTED_VALUE"""),"50180072239240")</f>
        <v>50180072239240</v>
      </c>
      <c r="B830" s="30" t="str">
        <f ca="1">IFERROR(__xludf.DUMMYFUNCTION("""COMPUTED_VALUE"""),"PARAJE DESMOCHADO")</f>
        <v>PARAJE DESMOCHADO</v>
      </c>
      <c r="C830" s="30" t="str">
        <f ca="1">IFERROR(__xludf.DUMMYFUNCTION("""COMPUTED_VALUE"""),"Corrientes")</f>
        <v>Corrientes</v>
      </c>
      <c r="D830" s="30" t="str">
        <f ca="1">IFERROR(__xludf.DUMMYFUNCTION("""COMPUTED_VALUE"""),"18")</f>
        <v>18</v>
      </c>
      <c r="E830" s="30" t="str">
        <f ca="1">IFERROR(__xludf.DUMMYFUNCTION("""COMPUTED_VALUE"""),"")</f>
        <v/>
      </c>
      <c r="F830" s="29"/>
      <c r="G830" s="29"/>
      <c r="H830" s="30" t="str">
        <f ca="1">IFERROR(__xludf.DUMMYFUNCTION("""COMPUTED_VALUE"""),"activo")</f>
        <v>activo</v>
      </c>
      <c r="I830" s="29"/>
      <c r="J830" s="29"/>
      <c r="K830" s="29"/>
      <c r="L830" s="30" t="str">
        <f ca="1">IFERROR(__xludf.DUMMYFUNCTION("""COMPUTED_VALUE"""),"No")</f>
        <v>No</v>
      </c>
      <c r="M830" s="30" t="str">
        <f ca="1">IFERROR(__xludf.DUMMYFUNCTION("""COMPUTED_VALUE"""),"18007010000")</f>
        <v>18007010000</v>
      </c>
      <c r="N830" s="30" t="str">
        <f ca="1">IFERROR(__xludf.DUMMYFUNCTION("""COMPUTED_VALUE"""),"BELLA VISTA")</f>
        <v>BELLA VISTA</v>
      </c>
      <c r="O830" s="30" t="str">
        <f ca="1">IFERROR(__xludf.DUMMYFUNCTION("""COMPUTED_VALUE"""),"187")</f>
        <v>187</v>
      </c>
      <c r="P830" s="30" t="str">
        <f ca="1">IFERROR(__xludf.DUMMYFUNCTION("""COMPUTED_VALUE"""),"BELLA VISTA")</f>
        <v>BELLA VISTA</v>
      </c>
      <c r="Q830" s="30" t="str">
        <f ca="1">IFERROR(__xludf.DUMMYFUNCTION("""COMPUTED_VALUE"""),"-28.5077305")</f>
        <v>-28.5077305</v>
      </c>
      <c r="R830" s="30" t="str">
        <f ca="1">IFERROR(__xludf.DUMMYFUNCTION("""COMPUTED_VALUE"""),"-59.044857")</f>
        <v>-59.044857</v>
      </c>
      <c r="S830" s="30" t="str">
        <f ca="1">IFERROR(__xludf.DUMMYFUNCTION("""COMPUTED_VALUE"""),"Municipal")</f>
        <v>Municipal</v>
      </c>
      <c r="T830" s="29"/>
    </row>
    <row r="831" spans="1:20" ht="15.75" customHeight="1" x14ac:dyDescent="0.25">
      <c r="A831" s="30" t="str">
        <f ca="1">IFERROR(__xludf.DUMMYFUNCTION("""COMPUTED_VALUE"""),"50180072239511")</f>
        <v>50180072239511</v>
      </c>
      <c r="B831" s="30" t="str">
        <f ca="1">IFERROR(__xludf.DUMMYFUNCTION("""COMPUTED_VALUE"""),"VISTA DEL PARANA")</f>
        <v>VISTA DEL PARANA</v>
      </c>
      <c r="C831" s="30" t="str">
        <f ca="1">IFERROR(__xludf.DUMMYFUNCTION("""COMPUTED_VALUE"""),"Corrientes")</f>
        <v>Corrientes</v>
      </c>
      <c r="D831" s="30" t="str">
        <f ca="1">IFERROR(__xludf.DUMMYFUNCTION("""COMPUTED_VALUE"""),"18")</f>
        <v>18</v>
      </c>
      <c r="E831" s="30" t="str">
        <f ca="1">IFERROR(__xludf.DUMMYFUNCTION("""COMPUTED_VALUE"""),"")</f>
        <v/>
      </c>
      <c r="F831" s="29"/>
      <c r="G831" s="29"/>
      <c r="H831" s="30" t="str">
        <f ca="1">IFERROR(__xludf.DUMMYFUNCTION("""COMPUTED_VALUE"""),"activo")</f>
        <v>activo</v>
      </c>
      <c r="I831" s="29"/>
      <c r="J831" s="29"/>
      <c r="K831" s="29"/>
      <c r="L831" s="30" t="str">
        <f ca="1">IFERROR(__xludf.DUMMYFUNCTION("""COMPUTED_VALUE"""),"No")</f>
        <v>No</v>
      </c>
      <c r="M831" s="30" t="str">
        <f ca="1">IFERROR(__xludf.DUMMYFUNCTION("""COMPUTED_VALUE"""),"18007010000")</f>
        <v>18007010000</v>
      </c>
      <c r="N831" s="30" t="str">
        <f ca="1">IFERROR(__xludf.DUMMYFUNCTION("""COMPUTED_VALUE"""),"BELLA VISTA")</f>
        <v>BELLA VISTA</v>
      </c>
      <c r="O831" s="30" t="str">
        <f ca="1">IFERROR(__xludf.DUMMYFUNCTION("""COMPUTED_VALUE"""),"187")</f>
        <v>187</v>
      </c>
      <c r="P831" s="30" t="str">
        <f ca="1">IFERROR(__xludf.DUMMYFUNCTION("""COMPUTED_VALUE"""),"BELLA VISTA")</f>
        <v>BELLA VISTA</v>
      </c>
      <c r="Q831" s="30" t="str">
        <f ca="1">IFERROR(__xludf.DUMMYFUNCTION("""COMPUTED_VALUE"""),"-28.50731558")</f>
        <v>-28.50731558</v>
      </c>
      <c r="R831" s="30" t="str">
        <f ca="1">IFERROR(__xludf.DUMMYFUNCTION("""COMPUTED_VALUE"""),"-59.0322876")</f>
        <v>-59.0322876</v>
      </c>
      <c r="S831" s="30" t="str">
        <f ca="1">IFERROR(__xludf.DUMMYFUNCTION("""COMPUTED_VALUE"""),"Municipal")</f>
        <v>Municipal</v>
      </c>
      <c r="T831" s="29"/>
    </row>
    <row r="832" spans="1:20" ht="15.75" customHeight="1" x14ac:dyDescent="0.25">
      <c r="A832" s="30" t="str">
        <f ca="1">IFERROR(__xludf.DUMMYFUNCTION("""COMPUTED_VALUE"""),"50180072240187")</f>
        <v>50180072240187</v>
      </c>
      <c r="B832" s="30" t="str">
        <f ca="1">IFERROR(__xludf.DUMMYFUNCTION("""COMPUTED_VALUE"""),"SALA LOMA SUR")</f>
        <v>SALA LOMA SUR</v>
      </c>
      <c r="C832" s="30" t="str">
        <f ca="1">IFERROR(__xludf.DUMMYFUNCTION("""COMPUTED_VALUE"""),"Corrientes")</f>
        <v>Corrientes</v>
      </c>
      <c r="D832" s="30" t="str">
        <f ca="1">IFERROR(__xludf.DUMMYFUNCTION("""COMPUTED_VALUE"""),"18")</f>
        <v>18</v>
      </c>
      <c r="E832" s="30" t="str">
        <f ca="1">IFERROR(__xludf.DUMMYFUNCTION("""COMPUTED_VALUE"""),"")</f>
        <v/>
      </c>
      <c r="F832" s="29"/>
      <c r="G832" s="29"/>
      <c r="H832" s="30" t="str">
        <f ca="1">IFERROR(__xludf.DUMMYFUNCTION("""COMPUTED_VALUE"""),"activo")</f>
        <v>activo</v>
      </c>
      <c r="I832" s="29"/>
      <c r="J832" s="29"/>
      <c r="K832" s="29"/>
      <c r="L832" s="30" t="str">
        <f ca="1">IFERROR(__xludf.DUMMYFUNCTION("""COMPUTED_VALUE"""),"No")</f>
        <v>No</v>
      </c>
      <c r="M832" s="30" t="str">
        <f ca="1">IFERROR(__xludf.DUMMYFUNCTION("""COMPUTED_VALUE"""),"18007010000")</f>
        <v>18007010000</v>
      </c>
      <c r="N832" s="30" t="str">
        <f ca="1">IFERROR(__xludf.DUMMYFUNCTION("""COMPUTED_VALUE"""),"BELLA VISTA")</f>
        <v>BELLA VISTA</v>
      </c>
      <c r="O832" s="30" t="str">
        <f ca="1">IFERROR(__xludf.DUMMYFUNCTION("""COMPUTED_VALUE"""),"187")</f>
        <v>187</v>
      </c>
      <c r="P832" s="30" t="str">
        <f ca="1">IFERROR(__xludf.DUMMYFUNCTION("""COMPUTED_VALUE"""),"BELLA VISTA")</f>
        <v>BELLA VISTA</v>
      </c>
      <c r="Q832" s="30" t="str">
        <f ca="1">IFERROR(__xludf.DUMMYFUNCTION("""COMPUTED_VALUE"""),"-28.52420926")</f>
        <v>-28.52420926</v>
      </c>
      <c r="R832" s="30" t="str">
        <f ca="1">IFERROR(__xludf.DUMMYFUNCTION("""COMPUTED_VALUE"""),"-59.00894165")</f>
        <v>-59.00894165</v>
      </c>
      <c r="S832" s="30" t="str">
        <f ca="1">IFERROR(__xludf.DUMMYFUNCTION("""COMPUTED_VALUE"""),"Municipal")</f>
        <v>Municipal</v>
      </c>
      <c r="T832" s="29"/>
    </row>
    <row r="833" spans="1:20" ht="15.75" customHeight="1" x14ac:dyDescent="0.25">
      <c r="A833" s="30" t="str">
        <f ca="1">IFERROR(__xludf.DUMMYFUNCTION("""COMPUTED_VALUE"""),"51180072239538")</f>
        <v>51180072239538</v>
      </c>
      <c r="B833" s="30" t="str">
        <f ca="1">IFERROR(__xludf.DUMMYFUNCTION("""COMPUTED_VALUE"""),"SALA JUAN DIAZ")</f>
        <v>SALA JUAN DIAZ</v>
      </c>
      <c r="C833" s="30" t="str">
        <f ca="1">IFERROR(__xludf.DUMMYFUNCTION("""COMPUTED_VALUE"""),"Corrientes")</f>
        <v>Corrientes</v>
      </c>
      <c r="D833" s="30" t="str">
        <f ca="1">IFERROR(__xludf.DUMMYFUNCTION("""COMPUTED_VALUE"""),"18")</f>
        <v>18</v>
      </c>
      <c r="E833" s="30" t="str">
        <f ca="1">IFERROR(__xludf.DUMMYFUNCTION("""COMPUTED_VALUE"""),"")</f>
        <v/>
      </c>
      <c r="F833" s="29"/>
      <c r="G833" s="29"/>
      <c r="H833" s="30" t="str">
        <f ca="1">IFERROR(__xludf.DUMMYFUNCTION("""COMPUTED_VALUE"""),"activo")</f>
        <v>activo</v>
      </c>
      <c r="I833" s="29"/>
      <c r="J833" s="29"/>
      <c r="K833" s="29"/>
      <c r="L833" s="30" t="str">
        <f ca="1">IFERROR(__xludf.DUMMYFUNCTION("""COMPUTED_VALUE"""),"No")</f>
        <v>No</v>
      </c>
      <c r="M833" s="30" t="str">
        <f ca="1">IFERROR(__xludf.DUMMYFUNCTION("""COMPUTED_VALUE"""),"18007010000")</f>
        <v>18007010000</v>
      </c>
      <c r="N833" s="30" t="str">
        <f ca="1">IFERROR(__xludf.DUMMYFUNCTION("""COMPUTED_VALUE"""),"BELLA VISTA")</f>
        <v>BELLA VISTA</v>
      </c>
      <c r="O833" s="30" t="str">
        <f ca="1">IFERROR(__xludf.DUMMYFUNCTION("""COMPUTED_VALUE"""),"187")</f>
        <v>187</v>
      </c>
      <c r="P833" s="30" t="str">
        <f ca="1">IFERROR(__xludf.DUMMYFUNCTION("""COMPUTED_VALUE"""),"BELLA VISTA")</f>
        <v>BELLA VISTA</v>
      </c>
      <c r="Q833" s="30" t="str">
        <f ca="1">IFERROR(__xludf.DUMMYFUNCTION("""COMPUTED_VALUE"""),"-28.507466")</f>
        <v>-28.507466</v>
      </c>
      <c r="R833" s="30" t="str">
        <f ca="1">IFERROR(__xludf.DUMMYFUNCTION("""COMPUTED_VALUE"""),"-59.044747")</f>
        <v>-59.044747</v>
      </c>
      <c r="S833" s="30" t="str">
        <f ca="1">IFERROR(__xludf.DUMMYFUNCTION("""COMPUTED_VALUE"""),"Municipal")</f>
        <v>Municipal</v>
      </c>
      <c r="T833" s="29"/>
    </row>
    <row r="834" spans="1:20" ht="15.75" customHeight="1" x14ac:dyDescent="0.25">
      <c r="A834" s="30" t="str">
        <f ca="1">IFERROR(__xludf.DUMMYFUNCTION("""COMPUTED_VALUE"""),"51180072239539")</f>
        <v>51180072239539</v>
      </c>
      <c r="B834" s="30" t="str">
        <f ca="1">IFERROR(__xludf.DUMMYFUNCTION("""COMPUTED_VALUE"""),"SALA APS BELLA VISTA")</f>
        <v>SALA APS BELLA VISTA</v>
      </c>
      <c r="C834" s="30" t="str">
        <f ca="1">IFERROR(__xludf.DUMMYFUNCTION("""COMPUTED_VALUE"""),"Corrientes")</f>
        <v>Corrientes</v>
      </c>
      <c r="D834" s="30" t="str">
        <f ca="1">IFERROR(__xludf.DUMMYFUNCTION("""COMPUTED_VALUE"""),"18")</f>
        <v>18</v>
      </c>
      <c r="E834" s="30" t="str">
        <f ca="1">IFERROR(__xludf.DUMMYFUNCTION("""COMPUTED_VALUE"""),"")</f>
        <v/>
      </c>
      <c r="F834" s="29"/>
      <c r="G834" s="29"/>
      <c r="H834" s="30" t="str">
        <f ca="1">IFERROR(__xludf.DUMMYFUNCTION("""COMPUTED_VALUE"""),"activo")</f>
        <v>activo</v>
      </c>
      <c r="I834" s="29"/>
      <c r="J834" s="29"/>
      <c r="K834" s="29"/>
      <c r="L834" s="30" t="str">
        <f ca="1">IFERROR(__xludf.DUMMYFUNCTION("""COMPUTED_VALUE"""),"No")</f>
        <v>No</v>
      </c>
      <c r="M834" s="30" t="str">
        <f ca="1">IFERROR(__xludf.DUMMYFUNCTION("""COMPUTED_VALUE"""),"18007010000")</f>
        <v>18007010000</v>
      </c>
      <c r="N834" s="30" t="str">
        <f ca="1">IFERROR(__xludf.DUMMYFUNCTION("""COMPUTED_VALUE"""),"BELLA VISTA")</f>
        <v>BELLA VISTA</v>
      </c>
      <c r="O834" s="30" t="str">
        <f ca="1">IFERROR(__xludf.DUMMYFUNCTION("""COMPUTED_VALUE"""),"187")</f>
        <v>187</v>
      </c>
      <c r="P834" s="30" t="str">
        <f ca="1">IFERROR(__xludf.DUMMYFUNCTION("""COMPUTED_VALUE"""),"BELLA VISTA")</f>
        <v>BELLA VISTA</v>
      </c>
      <c r="Q834" s="30" t="str">
        <f ca="1">IFERROR(__xludf.DUMMYFUNCTION("""COMPUTED_VALUE"""),"-28.507466")</f>
        <v>-28.507466</v>
      </c>
      <c r="R834" s="30" t="str">
        <f ca="1">IFERROR(__xludf.DUMMYFUNCTION("""COMPUTED_VALUE"""),"-59.044747")</f>
        <v>-59.044747</v>
      </c>
      <c r="S834" s="30" t="str">
        <f ca="1">IFERROR(__xludf.DUMMYFUNCTION("""COMPUTED_VALUE"""),"Municipal")</f>
        <v>Municipal</v>
      </c>
      <c r="T834" s="29"/>
    </row>
    <row r="835" spans="1:20" ht="15.75" customHeight="1" x14ac:dyDescent="0.25">
      <c r="A835" s="30" t="str">
        <f ca="1">IFERROR(__xludf.DUMMYFUNCTION("""COMPUTED_VALUE"""),"10180282139040")</f>
        <v>10180282139040</v>
      </c>
      <c r="B835" s="30" t="str">
        <f ca="1">IFERROR(__xludf.DUMMYFUNCTION("""COMPUTED_VALUE"""),"HOSPITAL INMACULADA CONCEPCION ( CAPITAN ARBO S/N)")</f>
        <v>HOSPITAL INMACULADA CONCEPCION ( CAPITAN ARBO S/N)</v>
      </c>
      <c r="C835" s="30" t="str">
        <f ca="1">IFERROR(__xludf.DUMMYFUNCTION("""COMPUTED_VALUE"""),"Corrientes")</f>
        <v>Corrientes</v>
      </c>
      <c r="D835" s="30" t="str">
        <f ca="1">IFERROR(__xludf.DUMMYFUNCTION("""COMPUTED_VALUE"""),"18")</f>
        <v>18</v>
      </c>
      <c r="E835" s="30" t="str">
        <f ca="1">IFERROR(__xludf.DUMMYFUNCTION("""COMPUTED_VALUE"""),"")</f>
        <v/>
      </c>
      <c r="F835" s="29"/>
      <c r="G835" s="29"/>
      <c r="H835" s="30" t="str">
        <f ca="1">IFERROR(__xludf.DUMMYFUNCTION("""COMPUTED_VALUE"""),"activo")</f>
        <v>activo</v>
      </c>
      <c r="I835" s="29"/>
      <c r="J835" s="29"/>
      <c r="K835" s="29"/>
      <c r="L835" s="30" t="str">
        <f ca="1">IFERROR(__xludf.DUMMYFUNCTION("""COMPUTED_VALUE"""),"No")</f>
        <v>No</v>
      </c>
      <c r="M835" s="30" t="str">
        <f ca="1">IFERROR(__xludf.DUMMYFUNCTION("""COMPUTED_VALUE"""),"18028010000")</f>
        <v>18028010000</v>
      </c>
      <c r="N835" s="30" t="str">
        <f ca="1">IFERROR(__xludf.DUMMYFUNCTION("""COMPUTED_VALUE"""),"CONCEPCION")</f>
        <v>CONCEPCION</v>
      </c>
      <c r="O835" s="30" t="str">
        <f ca="1">IFERROR(__xludf.DUMMYFUNCTION("""COMPUTED_VALUE"""),"1828")</f>
        <v>1828</v>
      </c>
      <c r="P835" s="30" t="str">
        <f ca="1">IFERROR(__xludf.DUMMYFUNCTION("""COMPUTED_VALUE"""),"CONCEPCIÓN")</f>
        <v>CONCEPCIÓN</v>
      </c>
      <c r="Q835" s="30" t="str">
        <f ca="1">IFERROR(__xludf.DUMMYFUNCTION("""COMPUTED_VALUE"""),"-28.3914686")</f>
        <v>-28.3914686</v>
      </c>
      <c r="R835" s="30" t="str">
        <f ca="1">IFERROR(__xludf.DUMMYFUNCTION("""COMPUTED_VALUE"""),"-57.8882545")</f>
        <v>-57.8882545</v>
      </c>
      <c r="S835" s="30" t="str">
        <f ca="1">IFERROR(__xludf.DUMMYFUNCTION("""COMPUTED_VALUE"""),"Provincial")</f>
        <v>Provincial</v>
      </c>
      <c r="T835" s="30" t="str">
        <f ca="1">IFERROR(__xludf.DUMMYFUNCTION("""COMPUTED_VALUE"""),"-")</f>
        <v>-</v>
      </c>
    </row>
    <row r="836" spans="1:20" ht="15.75" customHeight="1" x14ac:dyDescent="0.25">
      <c r="A836" s="30" t="str">
        <f ca="1">IFERROR(__xludf.DUMMYFUNCTION("""COMPUTED_VALUE"""),"50180282139163")</f>
        <v>50180282139163</v>
      </c>
      <c r="B836" s="30" t="str">
        <f ca="1">IFERROR(__xludf.DUMMYFUNCTION("""COMPUTED_VALUE"""),"CENTRO DE SALUD TATACUA")</f>
        <v>CENTRO DE SALUD TATACUA</v>
      </c>
      <c r="C836" s="30" t="str">
        <f ca="1">IFERROR(__xludf.DUMMYFUNCTION("""COMPUTED_VALUE"""),"Corrientes")</f>
        <v>Corrientes</v>
      </c>
      <c r="D836" s="30" t="str">
        <f ca="1">IFERROR(__xludf.DUMMYFUNCTION("""COMPUTED_VALUE"""),"18")</f>
        <v>18</v>
      </c>
      <c r="E836" s="30" t="str">
        <f ca="1">IFERROR(__xludf.DUMMYFUNCTION("""COMPUTED_VALUE"""),"")</f>
        <v/>
      </c>
      <c r="F836" s="29"/>
      <c r="G836" s="29"/>
      <c r="H836" s="30" t="str">
        <f ca="1">IFERROR(__xludf.DUMMYFUNCTION("""COMPUTED_VALUE"""),"activo")</f>
        <v>activo</v>
      </c>
      <c r="I836" s="29"/>
      <c r="J836" s="29"/>
      <c r="K836" s="29"/>
      <c r="L836" s="30" t="str">
        <f ca="1">IFERROR(__xludf.DUMMYFUNCTION("""COMPUTED_VALUE"""),"No")</f>
        <v>No</v>
      </c>
      <c r="M836" s="30" t="str">
        <f ca="1">IFERROR(__xludf.DUMMYFUNCTION("""COMPUTED_VALUE"""),"18028030000")</f>
        <v>18028030000</v>
      </c>
      <c r="N836" s="30" t="str">
        <f ca="1">IFERROR(__xludf.DUMMYFUNCTION("""COMPUTED_VALUE"""),"TABAY")</f>
        <v>TABAY</v>
      </c>
      <c r="O836" s="30" t="str">
        <f ca="1">IFERROR(__xludf.DUMMYFUNCTION("""COMPUTED_VALUE"""),"1828")</f>
        <v>1828</v>
      </c>
      <c r="P836" s="30" t="str">
        <f ca="1">IFERROR(__xludf.DUMMYFUNCTION("""COMPUTED_VALUE"""),"CONCEPCIÓN")</f>
        <v>CONCEPCIÓN</v>
      </c>
      <c r="Q836" s="30" t="str">
        <f ca="1">IFERROR(__xludf.DUMMYFUNCTION("""COMPUTED_VALUE"""),"-28.39140038")</f>
        <v>-28.39140038</v>
      </c>
      <c r="R836" s="30" t="str">
        <f ca="1">IFERROR(__xludf.DUMMYFUNCTION("""COMPUTED_VALUE"""),"-58.39782715")</f>
        <v>-58.39782715</v>
      </c>
      <c r="S836" s="30" t="str">
        <f ca="1">IFERROR(__xludf.DUMMYFUNCTION("""COMPUTED_VALUE"""),"Provincial")</f>
        <v>Provincial</v>
      </c>
      <c r="T836" s="30" t="str">
        <f ca="1">IFERROR(__xludf.DUMMYFUNCTION("""COMPUTED_VALUE"""),"-")</f>
        <v>-</v>
      </c>
    </row>
    <row r="837" spans="1:20" ht="15.75" customHeight="1" x14ac:dyDescent="0.25">
      <c r="A837" s="30" t="str">
        <f ca="1">IFERROR(__xludf.DUMMYFUNCTION("""COMPUTED_VALUE"""),"50180212139101")</f>
        <v>50180212139101</v>
      </c>
      <c r="B837" s="30" t="str">
        <f ca="1">IFERROR(__xludf.DUMMYFUNCTION("""COMPUTED_VALUE"""),"CAPS BARRIO JUAN DE VERA XIV")</f>
        <v>CAPS BARRIO JUAN DE VERA XIV</v>
      </c>
      <c r="C837" s="30" t="str">
        <f ca="1">IFERROR(__xludf.DUMMYFUNCTION("""COMPUTED_VALUE"""),"Corrientes")</f>
        <v>Corrientes</v>
      </c>
      <c r="D837" s="30" t="str">
        <f ca="1">IFERROR(__xludf.DUMMYFUNCTION("""COMPUTED_VALUE"""),"18")</f>
        <v>18</v>
      </c>
      <c r="E837" s="30" t="str">
        <f ca="1">IFERROR(__xludf.DUMMYFUNCTION("""COMPUTED_VALUE"""),"")</f>
        <v/>
      </c>
      <c r="F837" s="29"/>
      <c r="G837" s="29"/>
      <c r="H837" s="30" t="str">
        <f ca="1">IFERROR(__xludf.DUMMYFUNCTION("""COMPUTED_VALUE"""),"activo")</f>
        <v>activo</v>
      </c>
      <c r="I837" s="29"/>
      <c r="J837" s="29"/>
      <c r="K837" s="29"/>
      <c r="L837" s="30" t="str">
        <f ca="1">IFERROR(__xludf.DUMMYFUNCTION("""COMPUTED_VALUE"""),"No")</f>
        <v>No</v>
      </c>
      <c r="M837" s="30" t="str">
        <f ca="1">IFERROR(__xludf.DUMMYFUNCTION("""COMPUTED_VALUE"""),"18021020000")</f>
        <v>18021020000</v>
      </c>
      <c r="N837" s="30" t="str">
        <f ca="1">IFERROR(__xludf.DUMMYFUNCTION("""COMPUTED_VALUE"""),"CORRIENTES")</f>
        <v>CORRIENTES</v>
      </c>
      <c r="O837" s="30" t="str">
        <f ca="1">IFERROR(__xludf.DUMMYFUNCTION("""COMPUTED_VALUE"""),"1821")</f>
        <v>1821</v>
      </c>
      <c r="P837" s="30" t="str">
        <f ca="1">IFERROR(__xludf.DUMMYFUNCTION("""COMPUTED_VALUE"""),"CAPITAL")</f>
        <v>CAPITAL</v>
      </c>
      <c r="Q837" s="30" t="str">
        <f ca="1">IFERROR(__xludf.DUMMYFUNCTION("""COMPUTED_VALUE"""),"-27.489929")</f>
        <v>-27.489929</v>
      </c>
      <c r="R837" s="30" t="str">
        <f ca="1">IFERROR(__xludf.DUMMYFUNCTION("""COMPUTED_VALUE"""),"-58.843584")</f>
        <v>-58.843584</v>
      </c>
      <c r="S837" s="30" t="str">
        <f ca="1">IFERROR(__xludf.DUMMYFUNCTION("""COMPUTED_VALUE"""),"Provincial")</f>
        <v>Provincial</v>
      </c>
      <c r="T837" s="30" t="str">
        <f ca="1">IFERROR(__xludf.DUMMYFUNCTION("""COMPUTED_VALUE"""),"-")</f>
        <v>-</v>
      </c>
    </row>
    <row r="838" spans="1:20" ht="15.75" customHeight="1" x14ac:dyDescent="0.25">
      <c r="A838" s="30" t="str">
        <f ca="1">IFERROR(__xludf.DUMMYFUNCTION("""COMPUTED_VALUE"""),"50180212139105")</f>
        <v>50180212139105</v>
      </c>
      <c r="B838" s="30" t="str">
        <f ca="1">IFERROR(__xludf.DUMMYFUNCTION("""COMPUTED_VALUE"""),"CAPS I SAN JOSE")</f>
        <v>CAPS I SAN JOSE</v>
      </c>
      <c r="C838" s="30" t="str">
        <f ca="1">IFERROR(__xludf.DUMMYFUNCTION("""COMPUTED_VALUE"""),"Corrientes")</f>
        <v>Corrientes</v>
      </c>
      <c r="D838" s="30" t="str">
        <f ca="1">IFERROR(__xludf.DUMMYFUNCTION("""COMPUTED_VALUE"""),"18")</f>
        <v>18</v>
      </c>
      <c r="E838" s="30" t="str">
        <f ca="1">IFERROR(__xludf.DUMMYFUNCTION("""COMPUTED_VALUE"""),"")</f>
        <v/>
      </c>
      <c r="F838" s="29"/>
      <c r="G838" s="29"/>
      <c r="H838" s="30" t="str">
        <f ca="1">IFERROR(__xludf.DUMMYFUNCTION("""COMPUTED_VALUE"""),"activo")</f>
        <v>activo</v>
      </c>
      <c r="I838" s="29"/>
      <c r="J838" s="29"/>
      <c r="K838" s="29"/>
      <c r="L838" s="30" t="str">
        <f ca="1">IFERROR(__xludf.DUMMYFUNCTION("""COMPUTED_VALUE"""),"No")</f>
        <v>No</v>
      </c>
      <c r="M838" s="30" t="str">
        <f ca="1">IFERROR(__xludf.DUMMYFUNCTION("""COMPUTED_VALUE"""),"18021020000")</f>
        <v>18021020000</v>
      </c>
      <c r="N838" s="30" t="str">
        <f ca="1">IFERROR(__xludf.DUMMYFUNCTION("""COMPUTED_VALUE"""),"CORRIENTES")</f>
        <v>CORRIENTES</v>
      </c>
      <c r="O838" s="30" t="str">
        <f ca="1">IFERROR(__xludf.DUMMYFUNCTION("""COMPUTED_VALUE"""),"1821")</f>
        <v>1821</v>
      </c>
      <c r="P838" s="30" t="str">
        <f ca="1">IFERROR(__xludf.DUMMYFUNCTION("""COMPUTED_VALUE"""),"CAPITAL")</f>
        <v>CAPITAL</v>
      </c>
      <c r="Q838" s="30" t="str">
        <f ca="1">IFERROR(__xludf.DUMMYFUNCTION("""COMPUTED_VALUE"""),"-27.46928747")</f>
        <v>-27.46928747</v>
      </c>
      <c r="R838" s="30" t="str">
        <f ca="1">IFERROR(__xludf.DUMMYFUNCTION("""COMPUTED_VALUE"""),"-58.84277344")</f>
        <v>-58.84277344</v>
      </c>
      <c r="S838" s="30" t="str">
        <f ca="1">IFERROR(__xludf.DUMMYFUNCTION("""COMPUTED_VALUE"""),"Provincial")</f>
        <v>Provincial</v>
      </c>
      <c r="T838" s="30" t="str">
        <f ca="1">IFERROR(__xludf.DUMMYFUNCTION("""COMPUTED_VALUE"""),"-")</f>
        <v>-</v>
      </c>
    </row>
    <row r="839" spans="1:20" ht="15.75" customHeight="1" x14ac:dyDescent="0.25">
      <c r="A839" s="30" t="str">
        <f ca="1">IFERROR(__xludf.DUMMYFUNCTION("""COMPUTED_VALUE"""),"50180212139106")</f>
        <v>50180212139106</v>
      </c>
      <c r="B839" s="30" t="str">
        <f ca="1">IFERROR(__xludf.DUMMYFUNCTION("""COMPUTED_VALUE"""),"CAPS III   DR TAGLIALEGNE")</f>
        <v>CAPS III   DR TAGLIALEGNE</v>
      </c>
      <c r="C839" s="30" t="str">
        <f ca="1">IFERROR(__xludf.DUMMYFUNCTION("""COMPUTED_VALUE"""),"Corrientes")</f>
        <v>Corrientes</v>
      </c>
      <c r="D839" s="30" t="str">
        <f ca="1">IFERROR(__xludf.DUMMYFUNCTION("""COMPUTED_VALUE"""),"18")</f>
        <v>18</v>
      </c>
      <c r="E839" s="30" t="str">
        <f ca="1">IFERROR(__xludf.DUMMYFUNCTION("""COMPUTED_VALUE"""),"")</f>
        <v/>
      </c>
      <c r="F839" s="29"/>
      <c r="G839" s="29"/>
      <c r="H839" s="30" t="str">
        <f ca="1">IFERROR(__xludf.DUMMYFUNCTION("""COMPUTED_VALUE"""),"activo")</f>
        <v>activo</v>
      </c>
      <c r="I839" s="29"/>
      <c r="J839" s="29"/>
      <c r="K839" s="29"/>
      <c r="L839" s="30" t="str">
        <f ca="1">IFERROR(__xludf.DUMMYFUNCTION("""COMPUTED_VALUE"""),"No")</f>
        <v>No</v>
      </c>
      <c r="M839" s="30" t="str">
        <f ca="1">IFERROR(__xludf.DUMMYFUNCTION("""COMPUTED_VALUE"""),"18021020000")</f>
        <v>18021020000</v>
      </c>
      <c r="N839" s="30" t="str">
        <f ca="1">IFERROR(__xludf.DUMMYFUNCTION("""COMPUTED_VALUE"""),"CORRIENTES")</f>
        <v>CORRIENTES</v>
      </c>
      <c r="O839" s="30" t="str">
        <f ca="1">IFERROR(__xludf.DUMMYFUNCTION("""COMPUTED_VALUE"""),"1821")</f>
        <v>1821</v>
      </c>
      <c r="P839" s="30" t="str">
        <f ca="1">IFERROR(__xludf.DUMMYFUNCTION("""COMPUTED_VALUE"""),"CAPITAL")</f>
        <v>CAPITAL</v>
      </c>
      <c r="Q839" s="30" t="str">
        <f ca="1">IFERROR(__xludf.DUMMYFUNCTION("""COMPUTED_VALUE"""),"-27.49451059")</f>
        <v>-27.49451059</v>
      </c>
      <c r="R839" s="30" t="str">
        <f ca="1">IFERROR(__xludf.DUMMYFUNCTION("""COMPUTED_VALUE"""),"-58.82526398")</f>
        <v>-58.82526398</v>
      </c>
      <c r="S839" s="30" t="str">
        <f ca="1">IFERROR(__xludf.DUMMYFUNCTION("""COMPUTED_VALUE"""),"Provincial")</f>
        <v>Provincial</v>
      </c>
      <c r="T839" s="30" t="str">
        <f ca="1">IFERROR(__xludf.DUMMYFUNCTION("""COMPUTED_VALUE"""),"-")</f>
        <v>-</v>
      </c>
    </row>
    <row r="840" spans="1:20" ht="15.75" customHeight="1" x14ac:dyDescent="0.25">
      <c r="A840" s="30" t="str">
        <f ca="1">IFERROR(__xludf.DUMMYFUNCTION("""COMPUTED_VALUE"""),"50180212139107")</f>
        <v>50180212139107</v>
      </c>
      <c r="B840" s="30" t="str">
        <f ca="1">IFERROR(__xludf.DUMMYFUNCTION("""COMPUTED_VALUE"""),"CAPS13 JUAN XXIII")</f>
        <v>CAPS13 JUAN XXIII</v>
      </c>
      <c r="C840" s="30" t="str">
        <f ca="1">IFERROR(__xludf.DUMMYFUNCTION("""COMPUTED_VALUE"""),"Corrientes")</f>
        <v>Corrientes</v>
      </c>
      <c r="D840" s="30" t="str">
        <f ca="1">IFERROR(__xludf.DUMMYFUNCTION("""COMPUTED_VALUE"""),"18")</f>
        <v>18</v>
      </c>
      <c r="E840" s="30" t="str">
        <f ca="1">IFERROR(__xludf.DUMMYFUNCTION("""COMPUTED_VALUE"""),"")</f>
        <v/>
      </c>
      <c r="F840" s="29"/>
      <c r="G840" s="29"/>
      <c r="H840" s="30" t="str">
        <f ca="1">IFERROR(__xludf.DUMMYFUNCTION("""COMPUTED_VALUE"""),"activo")</f>
        <v>activo</v>
      </c>
      <c r="I840" s="29"/>
      <c r="J840" s="29"/>
      <c r="K840" s="29"/>
      <c r="L840" s="30" t="str">
        <f ca="1">IFERROR(__xludf.DUMMYFUNCTION("""COMPUTED_VALUE"""),"No")</f>
        <v>No</v>
      </c>
      <c r="M840" s="30" t="str">
        <f ca="1">IFERROR(__xludf.DUMMYFUNCTION("""COMPUTED_VALUE"""),"18021020000")</f>
        <v>18021020000</v>
      </c>
      <c r="N840" s="30" t="str">
        <f ca="1">IFERROR(__xludf.DUMMYFUNCTION("""COMPUTED_VALUE"""),"CORRIENTES")</f>
        <v>CORRIENTES</v>
      </c>
      <c r="O840" s="30" t="str">
        <f ca="1">IFERROR(__xludf.DUMMYFUNCTION("""COMPUTED_VALUE"""),"1821")</f>
        <v>1821</v>
      </c>
      <c r="P840" s="30" t="str">
        <f ca="1">IFERROR(__xludf.DUMMYFUNCTION("""COMPUTED_VALUE"""),"CAPITAL")</f>
        <v>CAPITAL</v>
      </c>
      <c r="Q840" s="30" t="str">
        <f ca="1">IFERROR(__xludf.DUMMYFUNCTION("""COMPUTED_VALUE"""),"-27.4949241")</f>
        <v>-27.4949241</v>
      </c>
      <c r="R840" s="30" t="str">
        <f ca="1">IFERROR(__xludf.DUMMYFUNCTION("""COMPUTED_VALUE"""),"-58.8378595")</f>
        <v>-58.8378595</v>
      </c>
      <c r="S840" s="30" t="str">
        <f ca="1">IFERROR(__xludf.DUMMYFUNCTION("""COMPUTED_VALUE"""),"Provincial")</f>
        <v>Provincial</v>
      </c>
      <c r="T840" s="30" t="str">
        <f ca="1">IFERROR(__xludf.DUMMYFUNCTION("""COMPUTED_VALUE"""),"-")</f>
        <v>-</v>
      </c>
    </row>
    <row r="841" spans="1:20" ht="15.75" customHeight="1" x14ac:dyDescent="0.25">
      <c r="A841" s="30" t="str">
        <f ca="1">IFERROR(__xludf.DUMMYFUNCTION("""COMPUTED_VALUE"""),"50180212139109")</f>
        <v>50180212139109</v>
      </c>
      <c r="B841" s="30" t="str">
        <f ca="1">IFERROR(__xludf.DUMMYFUNCTION("""COMPUTED_VALUE"""),"CAPS Nº IV DR GRACIANO LUGO")</f>
        <v>CAPS Nº IV DR GRACIANO LUGO</v>
      </c>
      <c r="C841" s="30" t="str">
        <f ca="1">IFERROR(__xludf.DUMMYFUNCTION("""COMPUTED_VALUE"""),"Corrientes")</f>
        <v>Corrientes</v>
      </c>
      <c r="D841" s="30" t="str">
        <f ca="1">IFERROR(__xludf.DUMMYFUNCTION("""COMPUTED_VALUE"""),"18")</f>
        <v>18</v>
      </c>
      <c r="E841" s="30" t="str">
        <f ca="1">IFERROR(__xludf.DUMMYFUNCTION("""COMPUTED_VALUE"""),"")</f>
        <v/>
      </c>
      <c r="F841" s="29"/>
      <c r="G841" s="29"/>
      <c r="H841" s="30" t="str">
        <f ca="1">IFERROR(__xludf.DUMMYFUNCTION("""COMPUTED_VALUE"""),"activo")</f>
        <v>activo</v>
      </c>
      <c r="I841" s="29"/>
      <c r="J841" s="29"/>
      <c r="K841" s="29"/>
      <c r="L841" s="30" t="str">
        <f ca="1">IFERROR(__xludf.DUMMYFUNCTION("""COMPUTED_VALUE"""),"No")</f>
        <v>No</v>
      </c>
      <c r="M841" s="30" t="str">
        <f ca="1">IFERROR(__xludf.DUMMYFUNCTION("""COMPUTED_VALUE"""),"18021020000")</f>
        <v>18021020000</v>
      </c>
      <c r="N841" s="30" t="str">
        <f ca="1">IFERROR(__xludf.DUMMYFUNCTION("""COMPUTED_VALUE"""),"CORRIENTES")</f>
        <v>CORRIENTES</v>
      </c>
      <c r="O841" s="30" t="str">
        <f ca="1">IFERROR(__xludf.DUMMYFUNCTION("""COMPUTED_VALUE"""),"1821")</f>
        <v>1821</v>
      </c>
      <c r="P841" s="30" t="str">
        <f ca="1">IFERROR(__xludf.DUMMYFUNCTION("""COMPUTED_VALUE"""),"CAPITAL")</f>
        <v>CAPITAL</v>
      </c>
      <c r="Q841" s="30" t="str">
        <f ca="1">IFERROR(__xludf.DUMMYFUNCTION("""COMPUTED_VALUE"""),"-27.48973292")</f>
        <v>-27.48973292</v>
      </c>
      <c r="R841" s="30" t="str">
        <f ca="1">IFERROR(__xludf.DUMMYFUNCTION("""COMPUTED_VALUE"""),"-58.8051796")</f>
        <v>-58.8051796</v>
      </c>
      <c r="S841" s="30" t="str">
        <f ca="1">IFERROR(__xludf.DUMMYFUNCTION("""COMPUTED_VALUE"""),"Provincial")</f>
        <v>Provincial</v>
      </c>
      <c r="T841" s="30" t="str">
        <f ca="1">IFERROR(__xludf.DUMMYFUNCTION("""COMPUTED_VALUE"""),"-")</f>
        <v>-</v>
      </c>
    </row>
    <row r="842" spans="1:20" ht="15.75" customHeight="1" x14ac:dyDescent="0.25">
      <c r="A842" s="30" t="str">
        <f ca="1">IFERROR(__xludf.DUMMYFUNCTION("""COMPUTED_VALUE"""),"50180212139110")</f>
        <v>50180212139110</v>
      </c>
      <c r="B842" s="30" t="str">
        <f ca="1">IFERROR(__xludf.DUMMYFUNCTION("""COMPUTED_VALUE"""),"CAPS Nº XII BARRIO PONCE")</f>
        <v>CAPS Nº XII BARRIO PONCE</v>
      </c>
      <c r="C842" s="30" t="str">
        <f ca="1">IFERROR(__xludf.DUMMYFUNCTION("""COMPUTED_VALUE"""),"Corrientes")</f>
        <v>Corrientes</v>
      </c>
      <c r="D842" s="30" t="str">
        <f ca="1">IFERROR(__xludf.DUMMYFUNCTION("""COMPUTED_VALUE"""),"18")</f>
        <v>18</v>
      </c>
      <c r="E842" s="30" t="str">
        <f ca="1">IFERROR(__xludf.DUMMYFUNCTION("""COMPUTED_VALUE"""),"")</f>
        <v/>
      </c>
      <c r="F842" s="29"/>
      <c r="G842" s="29"/>
      <c r="H842" s="30" t="str">
        <f ca="1">IFERROR(__xludf.DUMMYFUNCTION("""COMPUTED_VALUE"""),"activo")</f>
        <v>activo</v>
      </c>
      <c r="I842" s="29"/>
      <c r="J842" s="29"/>
      <c r="K842" s="29"/>
      <c r="L842" s="30" t="str">
        <f ca="1">IFERROR(__xludf.DUMMYFUNCTION("""COMPUTED_VALUE"""),"No")</f>
        <v>No</v>
      </c>
      <c r="M842" s="30" t="str">
        <f ca="1">IFERROR(__xludf.DUMMYFUNCTION("""COMPUTED_VALUE"""),"18021020000")</f>
        <v>18021020000</v>
      </c>
      <c r="N842" s="30" t="str">
        <f ca="1">IFERROR(__xludf.DUMMYFUNCTION("""COMPUTED_VALUE"""),"CORRIENTES")</f>
        <v>CORRIENTES</v>
      </c>
      <c r="O842" s="30" t="str">
        <f ca="1">IFERROR(__xludf.DUMMYFUNCTION("""COMPUTED_VALUE"""),"1821")</f>
        <v>1821</v>
      </c>
      <c r="P842" s="30" t="str">
        <f ca="1">IFERROR(__xludf.DUMMYFUNCTION("""COMPUTED_VALUE"""),"CAPITAL")</f>
        <v>CAPITAL</v>
      </c>
      <c r="Q842" s="30" t="str">
        <f ca="1">IFERROR(__xludf.DUMMYFUNCTION("""COMPUTED_VALUE"""),"-27.48878117")</f>
        <v>-27.48878117</v>
      </c>
      <c r="R842" s="30" t="str">
        <f ca="1">IFERROR(__xludf.DUMMYFUNCTION("""COMPUTED_VALUE"""),"-58.76312256")</f>
        <v>-58.76312256</v>
      </c>
      <c r="S842" s="30" t="str">
        <f ca="1">IFERROR(__xludf.DUMMYFUNCTION("""COMPUTED_VALUE"""),"Provincial")</f>
        <v>Provincial</v>
      </c>
      <c r="T842" s="30" t="str">
        <f ca="1">IFERROR(__xludf.DUMMYFUNCTION("""COMPUTED_VALUE"""),"-")</f>
        <v>-</v>
      </c>
    </row>
    <row r="843" spans="1:20" ht="15.75" customHeight="1" x14ac:dyDescent="0.25">
      <c r="A843" s="30" t="str">
        <f ca="1">IFERROR(__xludf.DUMMYFUNCTION("""COMPUTED_VALUE"""),"50180212139112")</f>
        <v>50180212139112</v>
      </c>
      <c r="B843" s="30" t="str">
        <f ca="1">IFERROR(__xludf.DUMMYFUNCTION("""COMPUTED_VALUE"""),"CAPS Nº 10 MOLINA PUNTA  DR BALBASTRO")</f>
        <v>CAPS Nº 10 MOLINA PUNTA  DR BALBASTRO</v>
      </c>
      <c r="C843" s="30" t="str">
        <f ca="1">IFERROR(__xludf.DUMMYFUNCTION("""COMPUTED_VALUE"""),"Corrientes")</f>
        <v>Corrientes</v>
      </c>
      <c r="D843" s="30" t="str">
        <f ca="1">IFERROR(__xludf.DUMMYFUNCTION("""COMPUTED_VALUE"""),"18")</f>
        <v>18</v>
      </c>
      <c r="E843" s="30" t="str">
        <f ca="1">IFERROR(__xludf.DUMMYFUNCTION("""COMPUTED_VALUE"""),"si")</f>
        <v>si</v>
      </c>
      <c r="F843" s="29"/>
      <c r="G843" s="29"/>
      <c r="H843" s="30" t="str">
        <f ca="1">IFERROR(__xludf.DUMMYFUNCTION("""COMPUTED_VALUE"""),"activo")</f>
        <v>activo</v>
      </c>
      <c r="I843" s="29"/>
      <c r="J843" s="29"/>
      <c r="K843" s="29"/>
      <c r="L843" s="30" t="str">
        <f ca="1">IFERROR(__xludf.DUMMYFUNCTION("""COMPUTED_VALUE"""),"No")</f>
        <v>No</v>
      </c>
      <c r="M843" s="30" t="str">
        <f ca="1">IFERROR(__xludf.DUMMYFUNCTION("""COMPUTED_VALUE"""),"18021020000")</f>
        <v>18021020000</v>
      </c>
      <c r="N843" s="30" t="str">
        <f ca="1">IFERROR(__xludf.DUMMYFUNCTION("""COMPUTED_VALUE"""),"CORRIENTES")</f>
        <v>CORRIENTES</v>
      </c>
      <c r="O843" s="30" t="str">
        <f ca="1">IFERROR(__xludf.DUMMYFUNCTION("""COMPUTED_VALUE"""),"1821")</f>
        <v>1821</v>
      </c>
      <c r="P843" s="30" t="str">
        <f ca="1">IFERROR(__xludf.DUMMYFUNCTION("""COMPUTED_VALUE"""),"CAPITAL")</f>
        <v>CAPITAL</v>
      </c>
      <c r="Q843" s="30" t="str">
        <f ca="1">IFERROR(__xludf.DUMMYFUNCTION("""COMPUTED_VALUE"""),"-27.44887632")</f>
        <v>-27.44887632</v>
      </c>
      <c r="R843" s="30" t="str">
        <f ca="1">IFERROR(__xludf.DUMMYFUNCTION("""COMPUTED_VALUE"""),"-58.78185511")</f>
        <v>-58.78185511</v>
      </c>
      <c r="S843" s="30" t="str">
        <f ca="1">IFERROR(__xludf.DUMMYFUNCTION("""COMPUTED_VALUE"""),"Provincial")</f>
        <v>Provincial</v>
      </c>
      <c r="T843" s="30" t="str">
        <f ca="1">IFERROR(__xludf.DUMMYFUNCTION("""COMPUTED_VALUE"""),"-")</f>
        <v>-</v>
      </c>
    </row>
    <row r="844" spans="1:20" ht="15.75" customHeight="1" x14ac:dyDescent="0.25">
      <c r="A844" s="30" t="str">
        <f ca="1">IFERROR(__xludf.DUMMYFUNCTION("""COMPUTED_VALUE"""),"50180212139113")</f>
        <v>50180212139113</v>
      </c>
      <c r="B844" s="30" t="str">
        <f ca="1">IFERROR(__xludf.DUMMYFUNCTION("""COMPUTED_VALUE"""),"CAPS Nº 2  EMILIO R. CONI")</f>
        <v>CAPS Nº 2  EMILIO R. CONI</v>
      </c>
      <c r="C844" s="30" t="str">
        <f ca="1">IFERROR(__xludf.DUMMYFUNCTION("""COMPUTED_VALUE"""),"Corrientes")</f>
        <v>Corrientes</v>
      </c>
      <c r="D844" s="30" t="str">
        <f ca="1">IFERROR(__xludf.DUMMYFUNCTION("""COMPUTED_VALUE"""),"18")</f>
        <v>18</v>
      </c>
      <c r="E844" s="30" t="str">
        <f ca="1">IFERROR(__xludf.DUMMYFUNCTION("""COMPUTED_VALUE"""),"")</f>
        <v/>
      </c>
      <c r="F844" s="29"/>
      <c r="G844" s="29"/>
      <c r="H844" s="30" t="str">
        <f ca="1">IFERROR(__xludf.DUMMYFUNCTION("""COMPUTED_VALUE"""),"activo")</f>
        <v>activo</v>
      </c>
      <c r="I844" s="29"/>
      <c r="J844" s="29"/>
      <c r="K844" s="29"/>
      <c r="L844" s="30" t="str">
        <f ca="1">IFERROR(__xludf.DUMMYFUNCTION("""COMPUTED_VALUE"""),"No")</f>
        <v>No</v>
      </c>
      <c r="M844" s="30" t="str">
        <f ca="1">IFERROR(__xludf.DUMMYFUNCTION("""COMPUTED_VALUE"""),"18021020000")</f>
        <v>18021020000</v>
      </c>
      <c r="N844" s="30" t="str">
        <f ca="1">IFERROR(__xludf.DUMMYFUNCTION("""COMPUTED_VALUE"""),"CORRIENTES")</f>
        <v>CORRIENTES</v>
      </c>
      <c r="O844" s="30" t="str">
        <f ca="1">IFERROR(__xludf.DUMMYFUNCTION("""COMPUTED_VALUE"""),"1821")</f>
        <v>1821</v>
      </c>
      <c r="P844" s="30" t="str">
        <f ca="1">IFERROR(__xludf.DUMMYFUNCTION("""COMPUTED_VALUE"""),"CAPITAL")</f>
        <v>CAPITAL</v>
      </c>
      <c r="Q844" s="30" t="str">
        <f ca="1">IFERROR(__xludf.DUMMYFUNCTION("""COMPUTED_VALUE"""),"-27.467294")</f>
        <v>-27.467294</v>
      </c>
      <c r="R844" s="30" t="str">
        <f ca="1">IFERROR(__xludf.DUMMYFUNCTION("""COMPUTED_VALUE"""),"-58.815968")</f>
        <v>-58.815968</v>
      </c>
      <c r="S844" s="30" t="str">
        <f ca="1">IFERROR(__xludf.DUMMYFUNCTION("""COMPUTED_VALUE"""),"Provincial")</f>
        <v>Provincial</v>
      </c>
      <c r="T844" s="30" t="str">
        <f ca="1">IFERROR(__xludf.DUMMYFUNCTION("""COMPUTED_VALUE"""),"-")</f>
        <v>-</v>
      </c>
    </row>
    <row r="845" spans="1:20" ht="15.75" customHeight="1" x14ac:dyDescent="0.25">
      <c r="A845" s="30" t="str">
        <f ca="1">IFERROR(__xludf.DUMMYFUNCTION("""COMPUTED_VALUE"""),"50180212139119")</f>
        <v>50180212139119</v>
      </c>
      <c r="B845" s="30" t="str">
        <f ca="1">IFERROR(__xludf.DUMMYFUNCTION("""COMPUTED_VALUE"""),"CAPS Nº 9 17 DE AGOSTO")</f>
        <v>CAPS Nº 9 17 DE AGOSTO</v>
      </c>
      <c r="C845" s="30" t="str">
        <f ca="1">IFERROR(__xludf.DUMMYFUNCTION("""COMPUTED_VALUE"""),"Corrientes")</f>
        <v>Corrientes</v>
      </c>
      <c r="D845" s="30" t="str">
        <f ca="1">IFERROR(__xludf.DUMMYFUNCTION("""COMPUTED_VALUE"""),"18")</f>
        <v>18</v>
      </c>
      <c r="E845" s="30" t="str">
        <f ca="1">IFERROR(__xludf.DUMMYFUNCTION("""COMPUTED_VALUE"""),"")</f>
        <v/>
      </c>
      <c r="F845" s="29"/>
      <c r="G845" s="29"/>
      <c r="H845" s="30" t="str">
        <f ca="1">IFERROR(__xludf.DUMMYFUNCTION("""COMPUTED_VALUE"""),"activo")</f>
        <v>activo</v>
      </c>
      <c r="I845" s="29"/>
      <c r="J845" s="29"/>
      <c r="K845" s="29"/>
      <c r="L845" s="30" t="str">
        <f ca="1">IFERROR(__xludf.DUMMYFUNCTION("""COMPUTED_VALUE"""),"No")</f>
        <v>No</v>
      </c>
      <c r="M845" s="30" t="str">
        <f ca="1">IFERROR(__xludf.DUMMYFUNCTION("""COMPUTED_VALUE"""),"18021020000")</f>
        <v>18021020000</v>
      </c>
      <c r="N845" s="30" t="str">
        <f ca="1">IFERROR(__xludf.DUMMYFUNCTION("""COMPUTED_VALUE"""),"CORRIENTES")</f>
        <v>CORRIENTES</v>
      </c>
      <c r="O845" s="30" t="str">
        <f ca="1">IFERROR(__xludf.DUMMYFUNCTION("""COMPUTED_VALUE"""),"1821")</f>
        <v>1821</v>
      </c>
      <c r="P845" s="30" t="str">
        <f ca="1">IFERROR(__xludf.DUMMYFUNCTION("""COMPUTED_VALUE"""),"CAPITAL")</f>
        <v>CAPITAL</v>
      </c>
      <c r="Q845" s="30" t="str">
        <f ca="1">IFERROR(__xludf.DUMMYFUNCTION("""COMPUTED_VALUE"""),"-27.49060853")</f>
        <v>-27.49060853</v>
      </c>
      <c r="R845" s="30" t="str">
        <f ca="1">IFERROR(__xludf.DUMMYFUNCTION("""COMPUTED_VALUE"""),"-58.7839365")</f>
        <v>-58.7839365</v>
      </c>
      <c r="S845" s="30" t="str">
        <f ca="1">IFERROR(__xludf.DUMMYFUNCTION("""COMPUTED_VALUE"""),"Provincial")</f>
        <v>Provincial</v>
      </c>
      <c r="T845" s="30" t="str">
        <f ca="1">IFERROR(__xludf.DUMMYFUNCTION("""COMPUTED_VALUE"""),"-")</f>
        <v>-</v>
      </c>
    </row>
    <row r="846" spans="1:20" ht="15.75" customHeight="1" x14ac:dyDescent="0.25">
      <c r="A846" s="30" t="str">
        <f ca="1">IFERROR(__xludf.DUMMYFUNCTION("""COMPUTED_VALUE"""),"50180212139122")</f>
        <v>50180212139122</v>
      </c>
      <c r="B846" s="30" t="str">
        <f ca="1">IFERROR(__xludf.DUMMYFUNCTION("""COMPUTED_VALUE"""),"CAPS V DR MONTAÑA DR MONTI")</f>
        <v>CAPS V DR MONTAÑA DR MONTI</v>
      </c>
      <c r="C846" s="30" t="str">
        <f ca="1">IFERROR(__xludf.DUMMYFUNCTION("""COMPUTED_VALUE"""),"Corrientes")</f>
        <v>Corrientes</v>
      </c>
      <c r="D846" s="30" t="str">
        <f ca="1">IFERROR(__xludf.DUMMYFUNCTION("""COMPUTED_VALUE"""),"18")</f>
        <v>18</v>
      </c>
      <c r="E846" s="30" t="str">
        <f ca="1">IFERROR(__xludf.DUMMYFUNCTION("""COMPUTED_VALUE"""),"")</f>
        <v/>
      </c>
      <c r="F846" s="29"/>
      <c r="G846" s="29"/>
      <c r="H846" s="30" t="str">
        <f ca="1">IFERROR(__xludf.DUMMYFUNCTION("""COMPUTED_VALUE"""),"activo")</f>
        <v>activo</v>
      </c>
      <c r="I846" s="29"/>
      <c r="J846" s="29"/>
      <c r="K846" s="29"/>
      <c r="L846" s="30" t="str">
        <f ca="1">IFERROR(__xludf.DUMMYFUNCTION("""COMPUTED_VALUE"""),"No")</f>
        <v>No</v>
      </c>
      <c r="M846" s="30" t="str">
        <f ca="1">IFERROR(__xludf.DUMMYFUNCTION("""COMPUTED_VALUE"""),"18021020000")</f>
        <v>18021020000</v>
      </c>
      <c r="N846" s="30" t="str">
        <f ca="1">IFERROR(__xludf.DUMMYFUNCTION("""COMPUTED_VALUE"""),"CORRIENTES")</f>
        <v>CORRIENTES</v>
      </c>
      <c r="O846" s="30" t="str">
        <f ca="1">IFERROR(__xludf.DUMMYFUNCTION("""COMPUTED_VALUE"""),"1821")</f>
        <v>1821</v>
      </c>
      <c r="P846" s="30" t="str">
        <f ca="1">IFERROR(__xludf.DUMMYFUNCTION("""COMPUTED_VALUE"""),"CAPITAL")</f>
        <v>CAPITAL</v>
      </c>
      <c r="Q846" s="30" t="str">
        <f ca="1">IFERROR(__xludf.DUMMYFUNCTION("""COMPUTED_VALUE"""),"-27.5230581")</f>
        <v>-27.5230581</v>
      </c>
      <c r="R846" s="30" t="str">
        <f ca="1">IFERROR(__xludf.DUMMYFUNCTION("""COMPUTED_VALUE"""),"-58.79369974")</f>
        <v>-58.79369974</v>
      </c>
      <c r="S846" s="30" t="str">
        <f ca="1">IFERROR(__xludf.DUMMYFUNCTION("""COMPUTED_VALUE"""),"Provincial")</f>
        <v>Provincial</v>
      </c>
      <c r="T846" s="30" t="str">
        <f ca="1">IFERROR(__xludf.DUMMYFUNCTION("""COMPUTED_VALUE"""),"-")</f>
        <v>-</v>
      </c>
    </row>
    <row r="847" spans="1:20" ht="15.75" customHeight="1" x14ac:dyDescent="0.25">
      <c r="A847" s="30" t="str">
        <f ca="1">IFERROR(__xludf.DUMMYFUNCTION("""COMPUTED_VALUE"""),"50180212139123")</f>
        <v>50180212139123</v>
      </c>
      <c r="B847" s="30" t="str">
        <f ca="1">IFERROR(__xludf.DUMMYFUNCTION("""COMPUTED_VALUE"""),"CAPS VI TIBURSIO FONSECA")</f>
        <v>CAPS VI TIBURSIO FONSECA</v>
      </c>
      <c r="C847" s="30" t="str">
        <f ca="1">IFERROR(__xludf.DUMMYFUNCTION("""COMPUTED_VALUE"""),"Corrientes")</f>
        <v>Corrientes</v>
      </c>
      <c r="D847" s="30" t="str">
        <f ca="1">IFERROR(__xludf.DUMMYFUNCTION("""COMPUTED_VALUE"""),"18")</f>
        <v>18</v>
      </c>
      <c r="E847" s="30" t="str">
        <f ca="1">IFERROR(__xludf.DUMMYFUNCTION("""COMPUTED_VALUE"""),"")</f>
        <v/>
      </c>
      <c r="F847" s="29"/>
      <c r="G847" s="29"/>
      <c r="H847" s="30" t="str">
        <f ca="1">IFERROR(__xludf.DUMMYFUNCTION("""COMPUTED_VALUE"""),"activo")</f>
        <v>activo</v>
      </c>
      <c r="I847" s="29"/>
      <c r="J847" s="29"/>
      <c r="K847" s="29"/>
      <c r="L847" s="30" t="str">
        <f ca="1">IFERROR(__xludf.DUMMYFUNCTION("""COMPUTED_VALUE"""),"No")</f>
        <v>No</v>
      </c>
      <c r="M847" s="30" t="str">
        <f ca="1">IFERROR(__xludf.DUMMYFUNCTION("""COMPUTED_VALUE"""),"18021020000")</f>
        <v>18021020000</v>
      </c>
      <c r="N847" s="30" t="str">
        <f ca="1">IFERROR(__xludf.DUMMYFUNCTION("""COMPUTED_VALUE"""),"CORRIENTES")</f>
        <v>CORRIENTES</v>
      </c>
      <c r="O847" s="30" t="str">
        <f ca="1">IFERROR(__xludf.DUMMYFUNCTION("""COMPUTED_VALUE"""),"1821")</f>
        <v>1821</v>
      </c>
      <c r="P847" s="30" t="str">
        <f ca="1">IFERROR(__xludf.DUMMYFUNCTION("""COMPUTED_VALUE"""),"CAPITAL")</f>
        <v>CAPITAL</v>
      </c>
      <c r="Q847" s="30" t="str">
        <f ca="1">IFERROR(__xludf.DUMMYFUNCTION("""COMPUTED_VALUE"""),"-27.463776")</f>
        <v>-27.463776</v>
      </c>
      <c r="R847" s="30" t="str">
        <f ca="1">IFERROR(__xludf.DUMMYFUNCTION("""COMPUTED_VALUE"""),"-58.789639")</f>
        <v>-58.789639</v>
      </c>
      <c r="S847" s="30" t="str">
        <f ca="1">IFERROR(__xludf.DUMMYFUNCTION("""COMPUTED_VALUE"""),"Provincial")</f>
        <v>Provincial</v>
      </c>
      <c r="T847" s="30" t="str">
        <f ca="1">IFERROR(__xludf.DUMMYFUNCTION("""COMPUTED_VALUE"""),"-")</f>
        <v>-</v>
      </c>
    </row>
    <row r="848" spans="1:20" ht="15.75" customHeight="1" x14ac:dyDescent="0.25">
      <c r="A848" s="30" t="str">
        <f ca="1">IFERROR(__xludf.DUMMYFUNCTION("""COMPUTED_VALUE"""),"50180212139124")</f>
        <v>50180212139124</v>
      </c>
      <c r="B848" s="30" t="str">
        <f ca="1">IFERROR(__xludf.DUMMYFUNCTION("""COMPUTED_VALUE"""),"CAPS VII LAGUNA BRAVA")</f>
        <v>CAPS VII LAGUNA BRAVA</v>
      </c>
      <c r="C848" s="30" t="str">
        <f ca="1">IFERROR(__xludf.DUMMYFUNCTION("""COMPUTED_VALUE"""),"Corrientes")</f>
        <v>Corrientes</v>
      </c>
      <c r="D848" s="30" t="str">
        <f ca="1">IFERROR(__xludf.DUMMYFUNCTION("""COMPUTED_VALUE"""),"18")</f>
        <v>18</v>
      </c>
      <c r="E848" s="30" t="str">
        <f ca="1">IFERROR(__xludf.DUMMYFUNCTION("""COMPUTED_VALUE"""),"")</f>
        <v/>
      </c>
      <c r="F848" s="29"/>
      <c r="G848" s="29"/>
      <c r="H848" s="30" t="str">
        <f ca="1">IFERROR(__xludf.DUMMYFUNCTION("""COMPUTED_VALUE"""),"activo")</f>
        <v>activo</v>
      </c>
      <c r="I848" s="29"/>
      <c r="J848" s="29"/>
      <c r="K848" s="29"/>
      <c r="L848" s="30" t="str">
        <f ca="1">IFERROR(__xludf.DUMMYFUNCTION("""COMPUTED_VALUE"""),"No")</f>
        <v>No</v>
      </c>
      <c r="M848" s="30" t="str">
        <f ca="1">IFERROR(__xludf.DUMMYFUNCTION("""COMPUTED_VALUE"""),"18021020000")</f>
        <v>18021020000</v>
      </c>
      <c r="N848" s="30" t="str">
        <f ca="1">IFERROR(__xludf.DUMMYFUNCTION("""COMPUTED_VALUE"""),"CORRIENTES")</f>
        <v>CORRIENTES</v>
      </c>
      <c r="O848" s="30" t="str">
        <f ca="1">IFERROR(__xludf.DUMMYFUNCTION("""COMPUTED_VALUE"""),"1821")</f>
        <v>1821</v>
      </c>
      <c r="P848" s="30" t="str">
        <f ca="1">IFERROR(__xludf.DUMMYFUNCTION("""COMPUTED_VALUE"""),"CAPITAL")</f>
        <v>CAPITAL</v>
      </c>
      <c r="Q848" s="30" t="str">
        <f ca="1">IFERROR(__xludf.DUMMYFUNCTION("""COMPUTED_VALUE"""),"-27.49289268")</f>
        <v>-27.49289268</v>
      </c>
      <c r="R848" s="30" t="str">
        <f ca="1">IFERROR(__xludf.DUMMYFUNCTION("""COMPUTED_VALUE"""),"-58.72003555")</f>
        <v>-58.72003555</v>
      </c>
      <c r="S848" s="30" t="str">
        <f ca="1">IFERROR(__xludf.DUMMYFUNCTION("""COMPUTED_VALUE"""),"Provincial")</f>
        <v>Provincial</v>
      </c>
      <c r="T848" s="30" t="str">
        <f ca="1">IFERROR(__xludf.DUMMYFUNCTION("""COMPUTED_VALUE"""),"-")</f>
        <v>-</v>
      </c>
    </row>
    <row r="849" spans="1:20" ht="15.75" customHeight="1" x14ac:dyDescent="0.25">
      <c r="A849" s="30" t="str">
        <f ca="1">IFERROR(__xludf.DUMMYFUNCTION("""COMPUTED_VALUE"""),"50180212139125")</f>
        <v>50180212139125</v>
      </c>
      <c r="B849" s="30" t="str">
        <f ca="1">IFERROR(__xludf.DUMMYFUNCTION("""COMPUTED_VALUE"""),"CAPS VIII BARRIO SANTA TERESITA")</f>
        <v>CAPS VIII BARRIO SANTA TERESITA</v>
      </c>
      <c r="C849" s="30" t="str">
        <f ca="1">IFERROR(__xludf.DUMMYFUNCTION("""COMPUTED_VALUE"""),"Corrientes")</f>
        <v>Corrientes</v>
      </c>
      <c r="D849" s="30" t="str">
        <f ca="1">IFERROR(__xludf.DUMMYFUNCTION("""COMPUTED_VALUE"""),"18")</f>
        <v>18</v>
      </c>
      <c r="E849" s="30" t="str">
        <f ca="1">IFERROR(__xludf.DUMMYFUNCTION("""COMPUTED_VALUE"""),"")</f>
        <v/>
      </c>
      <c r="F849" s="29"/>
      <c r="G849" s="29"/>
      <c r="H849" s="30" t="str">
        <f ca="1">IFERROR(__xludf.DUMMYFUNCTION("""COMPUTED_VALUE"""),"activo")</f>
        <v>activo</v>
      </c>
      <c r="I849" s="29"/>
      <c r="J849" s="29"/>
      <c r="K849" s="29"/>
      <c r="L849" s="30" t="str">
        <f ca="1">IFERROR(__xludf.DUMMYFUNCTION("""COMPUTED_VALUE"""),"No")</f>
        <v>No</v>
      </c>
      <c r="M849" s="30" t="str">
        <f ca="1">IFERROR(__xludf.DUMMYFUNCTION("""COMPUTED_VALUE"""),"18021020000")</f>
        <v>18021020000</v>
      </c>
      <c r="N849" s="30" t="str">
        <f ca="1">IFERROR(__xludf.DUMMYFUNCTION("""COMPUTED_VALUE"""),"CORRIENTES")</f>
        <v>CORRIENTES</v>
      </c>
      <c r="O849" s="30" t="str">
        <f ca="1">IFERROR(__xludf.DUMMYFUNCTION("""COMPUTED_VALUE"""),"1821")</f>
        <v>1821</v>
      </c>
      <c r="P849" s="30" t="str">
        <f ca="1">IFERROR(__xludf.DUMMYFUNCTION("""COMPUTED_VALUE"""),"CAPITAL")</f>
        <v>CAPITAL</v>
      </c>
      <c r="Q849" s="30" t="str">
        <f ca="1">IFERROR(__xludf.DUMMYFUNCTION("""COMPUTED_VALUE"""),"-27.48179506")</f>
        <v>-27.48179506</v>
      </c>
      <c r="R849" s="30" t="str">
        <f ca="1">IFERROR(__xludf.DUMMYFUNCTION("""COMPUTED_VALUE"""),"-58.82530689")</f>
        <v>-58.82530689</v>
      </c>
      <c r="S849" s="30" t="str">
        <f ca="1">IFERROR(__xludf.DUMMYFUNCTION("""COMPUTED_VALUE"""),"Provincial")</f>
        <v>Provincial</v>
      </c>
      <c r="T849" s="30" t="str">
        <f ca="1">IFERROR(__xludf.DUMMYFUNCTION("""COMPUTED_VALUE"""),"-")</f>
        <v>-</v>
      </c>
    </row>
    <row r="850" spans="1:20" ht="15.75" customHeight="1" x14ac:dyDescent="0.25">
      <c r="A850" s="30" t="str">
        <f ca="1">IFERROR(__xludf.DUMMYFUNCTION("""COMPUTED_VALUE"""),"50180212139127")</f>
        <v>50180212139127</v>
      </c>
      <c r="B850" s="30" t="str">
        <f ca="1">IFERROR(__xludf.DUMMYFUNCTION("""COMPUTED_VALUE"""),"CAPS XI DR RUBEN DARIO CASCO")</f>
        <v>CAPS XI DR RUBEN DARIO CASCO</v>
      </c>
      <c r="C850" s="30" t="str">
        <f ca="1">IFERROR(__xludf.DUMMYFUNCTION("""COMPUTED_VALUE"""),"Corrientes")</f>
        <v>Corrientes</v>
      </c>
      <c r="D850" s="30" t="str">
        <f ca="1">IFERROR(__xludf.DUMMYFUNCTION("""COMPUTED_VALUE"""),"18")</f>
        <v>18</v>
      </c>
      <c r="E850" s="30" t="str">
        <f ca="1">IFERROR(__xludf.DUMMYFUNCTION("""COMPUTED_VALUE"""),"")</f>
        <v/>
      </c>
      <c r="F850" s="29"/>
      <c r="G850" s="29"/>
      <c r="H850" s="30" t="str">
        <f ca="1">IFERROR(__xludf.DUMMYFUNCTION("""COMPUTED_VALUE"""),"activo")</f>
        <v>activo</v>
      </c>
      <c r="I850" s="29"/>
      <c r="J850" s="29"/>
      <c r="K850" s="29"/>
      <c r="L850" s="30" t="str">
        <f ca="1">IFERROR(__xludf.DUMMYFUNCTION("""COMPUTED_VALUE"""),"No")</f>
        <v>No</v>
      </c>
      <c r="M850" s="30" t="str">
        <f ca="1">IFERROR(__xludf.DUMMYFUNCTION("""COMPUTED_VALUE"""),"18021020000")</f>
        <v>18021020000</v>
      </c>
      <c r="N850" s="30" t="str">
        <f ca="1">IFERROR(__xludf.DUMMYFUNCTION("""COMPUTED_VALUE"""),"CORRIENTES")</f>
        <v>CORRIENTES</v>
      </c>
      <c r="O850" s="30" t="str">
        <f ca="1">IFERROR(__xludf.DUMMYFUNCTION("""COMPUTED_VALUE"""),"1821")</f>
        <v>1821</v>
      </c>
      <c r="P850" s="30" t="str">
        <f ca="1">IFERROR(__xludf.DUMMYFUNCTION("""COMPUTED_VALUE"""),"CAPITAL")</f>
        <v>CAPITAL</v>
      </c>
      <c r="Q850" s="30" t="str">
        <f ca="1">IFERROR(__xludf.DUMMYFUNCTION("""COMPUTED_VALUE"""),"-27.50587339")</f>
        <v>-27.50587339</v>
      </c>
      <c r="R850" s="30" t="str">
        <f ca="1">IFERROR(__xludf.DUMMYFUNCTION("""COMPUTED_VALUE"""),"-58.79449368")</f>
        <v>-58.79449368</v>
      </c>
      <c r="S850" s="30" t="str">
        <f ca="1">IFERROR(__xludf.DUMMYFUNCTION("""COMPUTED_VALUE"""),"Provincial")</f>
        <v>Provincial</v>
      </c>
      <c r="T850" s="30" t="str">
        <f ca="1">IFERROR(__xludf.DUMMYFUNCTION("""COMPUTED_VALUE"""),"-")</f>
        <v>-</v>
      </c>
    </row>
    <row r="851" spans="1:20" ht="15.75" customHeight="1" x14ac:dyDescent="0.25">
      <c r="A851" s="30" t="str">
        <f ca="1">IFERROR(__xludf.DUMMYFUNCTION("""COMPUTED_VALUE"""),"50180352139152")</f>
        <v>50180352139152</v>
      </c>
      <c r="B851" s="30" t="str">
        <f ca="1">IFERROR(__xludf.DUMMYFUNCTION("""COMPUTED_VALUE"""),"CENTRO DE SALUD DR. ARTURO OÑATIVIA")</f>
        <v>CENTRO DE SALUD DR. ARTURO OÑATIVIA</v>
      </c>
      <c r="C851" s="30" t="str">
        <f ca="1">IFERROR(__xludf.DUMMYFUNCTION("""COMPUTED_VALUE"""),"Corrientes")</f>
        <v>Corrientes</v>
      </c>
      <c r="D851" s="30" t="str">
        <f ca="1">IFERROR(__xludf.DUMMYFUNCTION("""COMPUTED_VALUE"""),"18")</f>
        <v>18</v>
      </c>
      <c r="E851" s="30" t="str">
        <f ca="1">IFERROR(__xludf.DUMMYFUNCTION("""COMPUTED_VALUE"""),"")</f>
        <v/>
      </c>
      <c r="F851" s="29"/>
      <c r="G851" s="29"/>
      <c r="H851" s="30" t="str">
        <f ca="1">IFERROR(__xludf.DUMMYFUNCTION("""COMPUTED_VALUE"""),"activo")</f>
        <v>activo</v>
      </c>
      <c r="I851" s="29"/>
      <c r="J851" s="29"/>
      <c r="K851" s="29"/>
      <c r="L851" s="30" t="str">
        <f ca="1">IFERROR(__xludf.DUMMYFUNCTION("""COMPUTED_VALUE"""),"No")</f>
        <v>No</v>
      </c>
      <c r="M851" s="30" t="str">
        <f ca="1">IFERROR(__xludf.DUMMYFUNCTION("""COMPUTED_VALUE"""),"18035020000")</f>
        <v>18035020000</v>
      </c>
      <c r="N851" s="30" t="str">
        <f ca="1">IFERROR(__xludf.DUMMYFUNCTION("""COMPUTED_VALUE"""),"CURUZU CUATIA")</f>
        <v>CURUZU CUATIA</v>
      </c>
      <c r="O851" s="30" t="str">
        <f ca="1">IFERROR(__xludf.DUMMYFUNCTION("""COMPUTED_VALUE"""),"1835")</f>
        <v>1835</v>
      </c>
      <c r="P851" s="30" t="str">
        <f ca="1">IFERROR(__xludf.DUMMYFUNCTION("""COMPUTED_VALUE"""),"CURUZÚ CUATIÁ")</f>
        <v>CURUZÚ CUATIÁ</v>
      </c>
      <c r="Q851" s="30" t="str">
        <f ca="1">IFERROR(__xludf.DUMMYFUNCTION("""COMPUTED_VALUE"""),"-29.77987372")</f>
        <v>-29.77987372</v>
      </c>
      <c r="R851" s="30" t="str">
        <f ca="1">IFERROR(__xludf.DUMMYFUNCTION("""COMPUTED_VALUE"""),"-58.06549072")</f>
        <v>-58.06549072</v>
      </c>
      <c r="S851" s="30" t="str">
        <f ca="1">IFERROR(__xludf.DUMMYFUNCTION("""COMPUTED_VALUE"""),"Provincial")</f>
        <v>Provincial</v>
      </c>
      <c r="T851" s="30" t="str">
        <f ca="1">IFERROR(__xludf.DUMMYFUNCTION("""COMPUTED_VALUE"""),"-")</f>
        <v>-</v>
      </c>
    </row>
    <row r="852" spans="1:20" ht="15.75" customHeight="1" x14ac:dyDescent="0.25">
      <c r="A852" s="30" t="str">
        <f ca="1">IFERROR(__xludf.DUMMYFUNCTION("""COMPUTED_VALUE"""),"50180492139209")</f>
        <v>50180492139209</v>
      </c>
      <c r="B852" s="30" t="str">
        <f ca="1">IFERROR(__xludf.DUMMYFUNCTION("""COMPUTED_VALUE"""),"ESTACION SANITARIA GUAYQUIRARO")</f>
        <v>ESTACION SANITARIA GUAYQUIRARO</v>
      </c>
      <c r="C852" s="30" t="str">
        <f ca="1">IFERROR(__xludf.DUMMYFUNCTION("""COMPUTED_VALUE"""),"Corrientes")</f>
        <v>Corrientes</v>
      </c>
      <c r="D852" s="30" t="str">
        <f ca="1">IFERROR(__xludf.DUMMYFUNCTION("""COMPUTED_VALUE"""),"18")</f>
        <v>18</v>
      </c>
      <c r="E852" s="30" t="str">
        <f ca="1">IFERROR(__xludf.DUMMYFUNCTION("""COMPUTED_VALUE"""),"")</f>
        <v/>
      </c>
      <c r="F852" s="29"/>
      <c r="G852" s="29"/>
      <c r="H852" s="30" t="str">
        <f ca="1">IFERROR(__xludf.DUMMYFUNCTION("""COMPUTED_VALUE"""),"inactivo")</f>
        <v>inactivo</v>
      </c>
      <c r="I852" s="29"/>
      <c r="J852" s="29"/>
      <c r="K852" s="29"/>
      <c r="L852" s="30" t="str">
        <f ca="1">IFERROR(__xludf.DUMMYFUNCTION("""COMPUTED_VALUE"""),"No")</f>
        <v>No</v>
      </c>
      <c r="M852" s="30" t="str">
        <f ca="1">IFERROR(__xludf.DUMMYFUNCTION("""COMPUTED_VALUE"""),"18049010000")</f>
        <v>18049010000</v>
      </c>
      <c r="N852" s="30" t="str">
        <f ca="1">IFERROR(__xludf.DUMMYFUNCTION("""COMPUTED_VALUE"""),"ESQUINA")</f>
        <v>ESQUINA</v>
      </c>
      <c r="O852" s="30" t="str">
        <f ca="1">IFERROR(__xludf.DUMMYFUNCTION("""COMPUTED_VALUE"""),"1849")</f>
        <v>1849</v>
      </c>
      <c r="P852" s="30" t="str">
        <f ca="1">IFERROR(__xludf.DUMMYFUNCTION("""COMPUTED_VALUE"""),"ESQUINA")</f>
        <v>ESQUINA</v>
      </c>
      <c r="Q852" s="30" t="str">
        <f ca="1">IFERROR(__xludf.DUMMYFUNCTION("""COMPUTED_VALUE"""),"-30.0174007")</f>
        <v>-30.0174007</v>
      </c>
      <c r="R852" s="30" t="str">
        <f ca="1">IFERROR(__xludf.DUMMYFUNCTION("""COMPUTED_VALUE"""),"-59.5321617")</f>
        <v>-59.5321617</v>
      </c>
      <c r="S852" s="30" t="str">
        <f ca="1">IFERROR(__xludf.DUMMYFUNCTION("""COMPUTED_VALUE"""),"Provincial")</f>
        <v>Provincial</v>
      </c>
      <c r="T852" s="30" t="str">
        <f ca="1">IFERROR(__xludf.DUMMYFUNCTION("""COMPUTED_VALUE"""),"-")</f>
        <v>-</v>
      </c>
    </row>
    <row r="853" spans="1:20" ht="15.75" customHeight="1" x14ac:dyDescent="0.25">
      <c r="A853" s="30" t="str">
        <f ca="1">IFERROR(__xludf.DUMMYFUNCTION("""COMPUTED_VALUE"""),"50180492139238")</f>
        <v>50180492139238</v>
      </c>
      <c r="B853" s="30" t="str">
        <f ca="1">IFERROR(__xludf.DUMMYFUNCTION("""COMPUTED_VALUE"""),"SALA FAMILIAS EN ACCION (BARRIO OBRAS SANITARIAS)")</f>
        <v>SALA FAMILIAS EN ACCION (BARRIO OBRAS SANITARIAS)</v>
      </c>
      <c r="C853" s="30" t="str">
        <f ca="1">IFERROR(__xludf.DUMMYFUNCTION("""COMPUTED_VALUE"""),"Corrientes")</f>
        <v>Corrientes</v>
      </c>
      <c r="D853" s="30" t="str">
        <f ca="1">IFERROR(__xludf.DUMMYFUNCTION("""COMPUTED_VALUE"""),"18")</f>
        <v>18</v>
      </c>
      <c r="E853" s="30" t="str">
        <f ca="1">IFERROR(__xludf.DUMMYFUNCTION("""COMPUTED_VALUE"""),"")</f>
        <v/>
      </c>
      <c r="F853" s="29"/>
      <c r="G853" s="29"/>
      <c r="H853" s="30" t="str">
        <f ca="1">IFERROR(__xludf.DUMMYFUNCTION("""COMPUTED_VALUE"""),"inactivo")</f>
        <v>inactivo</v>
      </c>
      <c r="I853" s="29"/>
      <c r="J853" s="29"/>
      <c r="K853" s="29"/>
      <c r="L853" s="30" t="str">
        <f ca="1">IFERROR(__xludf.DUMMYFUNCTION("""COMPUTED_VALUE"""),"No")</f>
        <v>No</v>
      </c>
      <c r="M853" s="30" t="str">
        <f ca="1">IFERROR(__xludf.DUMMYFUNCTION("""COMPUTED_VALUE"""),"18049010000")</f>
        <v>18049010000</v>
      </c>
      <c r="N853" s="30" t="str">
        <f ca="1">IFERROR(__xludf.DUMMYFUNCTION("""COMPUTED_VALUE"""),"ESQUINA")</f>
        <v>ESQUINA</v>
      </c>
      <c r="O853" s="30" t="str">
        <f ca="1">IFERROR(__xludf.DUMMYFUNCTION("""COMPUTED_VALUE"""),"1849")</f>
        <v>1849</v>
      </c>
      <c r="P853" s="30" t="str">
        <f ca="1">IFERROR(__xludf.DUMMYFUNCTION("""COMPUTED_VALUE"""),"ESQUINA")</f>
        <v>ESQUINA</v>
      </c>
      <c r="Q853" s="30" t="str">
        <f ca="1">IFERROR(__xludf.DUMMYFUNCTION("""COMPUTED_VALUE"""),"-30.0174007")</f>
        <v>-30.0174007</v>
      </c>
      <c r="R853" s="30" t="str">
        <f ca="1">IFERROR(__xludf.DUMMYFUNCTION("""COMPUTED_VALUE"""),"-59.5321617")</f>
        <v>-59.5321617</v>
      </c>
      <c r="S853" s="30" t="str">
        <f ca="1">IFERROR(__xludf.DUMMYFUNCTION("""COMPUTED_VALUE"""),"Provincial")</f>
        <v>Provincial</v>
      </c>
      <c r="T853" s="30" t="str">
        <f ca="1">IFERROR(__xludf.DUMMYFUNCTION("""COMPUTED_VALUE"""),"-")</f>
        <v>-</v>
      </c>
    </row>
    <row r="854" spans="1:20" ht="15.75" customHeight="1" x14ac:dyDescent="0.25">
      <c r="A854" s="30" t="str">
        <f ca="1">IFERROR(__xludf.DUMMYFUNCTION("""COMPUTED_VALUE"""),"50180492139374")</f>
        <v>50180492139374</v>
      </c>
      <c r="B854" s="30" t="str">
        <f ca="1">IFERROR(__xludf.DUMMYFUNCTION("""COMPUTED_VALUE"""),"SALA DE PRIMEROS AUXILIOS EL CARMEN")</f>
        <v>SALA DE PRIMEROS AUXILIOS EL CARMEN</v>
      </c>
      <c r="C854" s="30" t="str">
        <f ca="1">IFERROR(__xludf.DUMMYFUNCTION("""COMPUTED_VALUE"""),"Corrientes")</f>
        <v>Corrientes</v>
      </c>
      <c r="D854" s="30" t="str">
        <f ca="1">IFERROR(__xludf.DUMMYFUNCTION("""COMPUTED_VALUE"""),"18")</f>
        <v>18</v>
      </c>
      <c r="E854" s="30" t="str">
        <f ca="1">IFERROR(__xludf.DUMMYFUNCTION("""COMPUTED_VALUE"""),"")</f>
        <v/>
      </c>
      <c r="F854" s="29"/>
      <c r="G854" s="29"/>
      <c r="H854" s="30" t="str">
        <f ca="1">IFERROR(__xludf.DUMMYFUNCTION("""COMPUTED_VALUE"""),"activo")</f>
        <v>activo</v>
      </c>
      <c r="I854" s="29"/>
      <c r="J854" s="29"/>
      <c r="K854" s="29"/>
      <c r="L854" s="30" t="str">
        <f ca="1">IFERROR(__xludf.DUMMYFUNCTION("""COMPUTED_VALUE"""),"No")</f>
        <v>No</v>
      </c>
      <c r="M854" s="30" t="str">
        <f ca="1">IFERROR(__xludf.DUMMYFUNCTION("""COMPUTED_VALUE"""),"18049010000")</f>
        <v>18049010000</v>
      </c>
      <c r="N854" s="30" t="str">
        <f ca="1">IFERROR(__xludf.DUMMYFUNCTION("""COMPUTED_VALUE"""),"ESQUINA")</f>
        <v>ESQUINA</v>
      </c>
      <c r="O854" s="30" t="str">
        <f ca="1">IFERROR(__xludf.DUMMYFUNCTION("""COMPUTED_VALUE"""),"1849")</f>
        <v>1849</v>
      </c>
      <c r="P854" s="30" t="str">
        <f ca="1">IFERROR(__xludf.DUMMYFUNCTION("""COMPUTED_VALUE"""),"ESQUINA")</f>
        <v>ESQUINA</v>
      </c>
      <c r="Q854" s="30" t="str">
        <f ca="1">IFERROR(__xludf.DUMMYFUNCTION("""COMPUTED_VALUE"""),"-30.0174007")</f>
        <v>-30.0174007</v>
      </c>
      <c r="R854" s="30" t="str">
        <f ca="1">IFERROR(__xludf.DUMMYFUNCTION("""COMPUTED_VALUE"""),"-59.5321617")</f>
        <v>-59.5321617</v>
      </c>
      <c r="S854" s="30" t="str">
        <f ca="1">IFERROR(__xludf.DUMMYFUNCTION("""COMPUTED_VALUE"""),"Provincial")</f>
        <v>Provincial</v>
      </c>
      <c r="T854" s="30" t="str">
        <f ca="1">IFERROR(__xludf.DUMMYFUNCTION("""COMPUTED_VALUE"""),"-")</f>
        <v>-</v>
      </c>
    </row>
    <row r="855" spans="1:20" ht="15.75" customHeight="1" x14ac:dyDescent="0.25">
      <c r="A855" s="30" t="str">
        <f ca="1">IFERROR(__xludf.DUMMYFUNCTION("""COMPUTED_VALUE"""),"50180492239130")</f>
        <v>50180492239130</v>
      </c>
      <c r="B855" s="30" t="str">
        <f ca="1">IFERROR(__xludf.DUMMYFUNCTION("""COMPUTED_VALUE"""),"CENTRO ASISTENCIAL MUNICIPAL")</f>
        <v>CENTRO ASISTENCIAL MUNICIPAL</v>
      </c>
      <c r="C855" s="30" t="str">
        <f ca="1">IFERROR(__xludf.DUMMYFUNCTION("""COMPUTED_VALUE"""),"Corrientes")</f>
        <v>Corrientes</v>
      </c>
      <c r="D855" s="30" t="str">
        <f ca="1">IFERROR(__xludf.DUMMYFUNCTION("""COMPUTED_VALUE"""),"18")</f>
        <v>18</v>
      </c>
      <c r="E855" s="30" t="str">
        <f ca="1">IFERROR(__xludf.DUMMYFUNCTION("""COMPUTED_VALUE"""),"")</f>
        <v/>
      </c>
      <c r="F855" s="29"/>
      <c r="G855" s="29"/>
      <c r="H855" s="30" t="str">
        <f ca="1">IFERROR(__xludf.DUMMYFUNCTION("""COMPUTED_VALUE"""),"inactivo")</f>
        <v>inactivo</v>
      </c>
      <c r="I855" s="29"/>
      <c r="J855" s="29"/>
      <c r="K855" s="29"/>
      <c r="L855" s="30" t="str">
        <f ca="1">IFERROR(__xludf.DUMMYFUNCTION("""COMPUTED_VALUE"""),"No")</f>
        <v>No</v>
      </c>
      <c r="M855" s="30" t="str">
        <f ca="1">IFERROR(__xludf.DUMMYFUNCTION("""COMPUTED_VALUE"""),"18049010000")</f>
        <v>18049010000</v>
      </c>
      <c r="N855" s="30" t="str">
        <f ca="1">IFERROR(__xludf.DUMMYFUNCTION("""COMPUTED_VALUE"""),"ESQUINA")</f>
        <v>ESQUINA</v>
      </c>
      <c r="O855" s="30" t="str">
        <f ca="1">IFERROR(__xludf.DUMMYFUNCTION("""COMPUTED_VALUE"""),"1849")</f>
        <v>1849</v>
      </c>
      <c r="P855" s="30" t="str">
        <f ca="1">IFERROR(__xludf.DUMMYFUNCTION("""COMPUTED_VALUE"""),"ESQUINA")</f>
        <v>ESQUINA</v>
      </c>
      <c r="Q855" s="30" t="str">
        <f ca="1">IFERROR(__xludf.DUMMYFUNCTION("""COMPUTED_VALUE"""),"-30.0225193")</f>
        <v>-30.0225193</v>
      </c>
      <c r="R855" s="30" t="str">
        <f ca="1">IFERROR(__xludf.DUMMYFUNCTION("""COMPUTED_VALUE"""),"-59.5286244")</f>
        <v>-59.5286244</v>
      </c>
      <c r="S855" s="30" t="str">
        <f ca="1">IFERROR(__xludf.DUMMYFUNCTION("""COMPUTED_VALUE"""),"Municipal")</f>
        <v>Municipal</v>
      </c>
      <c r="T855" s="29"/>
    </row>
    <row r="856" spans="1:20" ht="15.75" customHeight="1" x14ac:dyDescent="0.25">
      <c r="A856" s="30" t="str">
        <f ca="1">IFERROR(__xludf.DUMMYFUNCTION("""COMPUTED_VALUE"""),"50180492239379")</f>
        <v>50180492239379</v>
      </c>
      <c r="B856" s="30" t="str">
        <f ca="1">IFERROR(__xludf.DUMMYFUNCTION("""COMPUTED_VALUE"""),"SALA SAN ANTONIO (APS ESQUINA)")</f>
        <v>SALA SAN ANTONIO (APS ESQUINA)</v>
      </c>
      <c r="C856" s="30" t="str">
        <f ca="1">IFERROR(__xludf.DUMMYFUNCTION("""COMPUTED_VALUE"""),"Corrientes")</f>
        <v>Corrientes</v>
      </c>
      <c r="D856" s="30" t="str">
        <f ca="1">IFERROR(__xludf.DUMMYFUNCTION("""COMPUTED_VALUE"""),"18")</f>
        <v>18</v>
      </c>
      <c r="E856" s="30" t="str">
        <f ca="1">IFERROR(__xludf.DUMMYFUNCTION("""COMPUTED_VALUE"""),"")</f>
        <v/>
      </c>
      <c r="F856" s="29"/>
      <c r="G856" s="29"/>
      <c r="H856" s="30" t="str">
        <f ca="1">IFERROR(__xludf.DUMMYFUNCTION("""COMPUTED_VALUE"""),"inactivo")</f>
        <v>inactivo</v>
      </c>
      <c r="I856" s="29"/>
      <c r="J856" s="29"/>
      <c r="K856" s="29"/>
      <c r="L856" s="30" t="str">
        <f ca="1">IFERROR(__xludf.DUMMYFUNCTION("""COMPUTED_VALUE"""),"No")</f>
        <v>No</v>
      </c>
      <c r="M856" s="30" t="str">
        <f ca="1">IFERROR(__xludf.DUMMYFUNCTION("""COMPUTED_VALUE"""),"18049010000")</f>
        <v>18049010000</v>
      </c>
      <c r="N856" s="30" t="str">
        <f ca="1">IFERROR(__xludf.DUMMYFUNCTION("""COMPUTED_VALUE"""),"ESQUINA")</f>
        <v>ESQUINA</v>
      </c>
      <c r="O856" s="30" t="str">
        <f ca="1">IFERROR(__xludf.DUMMYFUNCTION("""COMPUTED_VALUE"""),"1849")</f>
        <v>1849</v>
      </c>
      <c r="P856" s="30" t="str">
        <f ca="1">IFERROR(__xludf.DUMMYFUNCTION("""COMPUTED_VALUE"""),"ESQUINA")</f>
        <v>ESQUINA</v>
      </c>
      <c r="Q856" s="30" t="str">
        <f ca="1">IFERROR(__xludf.DUMMYFUNCTION("""COMPUTED_VALUE"""),"-30.0174007")</f>
        <v>-30.0174007</v>
      </c>
      <c r="R856" s="30" t="str">
        <f ca="1">IFERROR(__xludf.DUMMYFUNCTION("""COMPUTED_VALUE"""),"-59.5321617")</f>
        <v>-59.5321617</v>
      </c>
      <c r="S856" s="30" t="str">
        <f ca="1">IFERROR(__xludf.DUMMYFUNCTION("""COMPUTED_VALUE"""),"Municipal")</f>
        <v>Municipal</v>
      </c>
      <c r="T856" s="29"/>
    </row>
    <row r="857" spans="1:20" ht="15.75" customHeight="1" x14ac:dyDescent="0.25">
      <c r="A857" s="30" t="str">
        <f ca="1">IFERROR(__xludf.DUMMYFUNCTION("""COMPUTED_VALUE"""),"50181682239095")</f>
        <v>50181682239095</v>
      </c>
      <c r="B857" s="30" t="str">
        <f ca="1">IFERROR(__xludf.DUMMYFUNCTION("""COMPUTED_VALUE"""),"BARRIO 202")</f>
        <v>BARRIO 202</v>
      </c>
      <c r="C857" s="30" t="str">
        <f ca="1">IFERROR(__xludf.DUMMYFUNCTION("""COMPUTED_VALUE"""),"Corrientes")</f>
        <v>Corrientes</v>
      </c>
      <c r="D857" s="30" t="str">
        <f ca="1">IFERROR(__xludf.DUMMYFUNCTION("""COMPUTED_VALUE"""),"18")</f>
        <v>18</v>
      </c>
      <c r="E857" s="30" t="str">
        <f ca="1">IFERROR(__xludf.DUMMYFUNCTION("""COMPUTED_VALUE"""),"")</f>
        <v/>
      </c>
      <c r="F857" s="29"/>
      <c r="G857" s="29"/>
      <c r="H857" s="30" t="str">
        <f ca="1">IFERROR(__xludf.DUMMYFUNCTION("""COMPUTED_VALUE"""),"activo")</f>
        <v>activo</v>
      </c>
      <c r="I857" s="29"/>
      <c r="J857" s="29"/>
      <c r="K857" s="29"/>
      <c r="L857" s="30" t="str">
        <f ca="1">IFERROR(__xludf.DUMMYFUNCTION("""COMPUTED_VALUE"""),"No")</f>
        <v>No</v>
      </c>
      <c r="M857" s="30" t="str">
        <f ca="1">IFERROR(__xludf.DUMMYFUNCTION("""COMPUTED_VALUE"""),"18168030000")</f>
        <v>18168030000</v>
      </c>
      <c r="N857" s="30" t="str">
        <f ca="1">IFERROR(__xludf.DUMMYFUNCTION("""COMPUTED_VALUE"""),"GOBERNADOR IGR.VALENTIN VIRASORO")</f>
        <v>GOBERNADOR IGR.VALENTIN VIRASORO</v>
      </c>
      <c r="O857" s="30" t="str">
        <f ca="1">IFERROR(__xludf.DUMMYFUNCTION("""COMPUTED_VALUE"""),"18168")</f>
        <v>18168</v>
      </c>
      <c r="P857" s="30" t="str">
        <f ca="1">IFERROR(__xludf.DUMMYFUNCTION("""COMPUTED_VALUE"""),"SANTO TOMÉ")</f>
        <v>SANTO TOMÉ</v>
      </c>
      <c r="Q857" s="30" t="str">
        <f ca="1">IFERROR(__xludf.DUMMYFUNCTION("""COMPUTED_VALUE"""),"-28.0368343")</f>
        <v>-28.0368343</v>
      </c>
      <c r="R857" s="30" t="str">
        <f ca="1">IFERROR(__xludf.DUMMYFUNCTION("""COMPUTED_VALUE"""),"-55.99868774")</f>
        <v>-55.99868774</v>
      </c>
      <c r="S857" s="30" t="str">
        <f ca="1">IFERROR(__xludf.DUMMYFUNCTION("""COMPUTED_VALUE"""),"Municipal")</f>
        <v>Municipal</v>
      </c>
      <c r="T857" s="29"/>
    </row>
    <row r="858" spans="1:20" ht="15.75" customHeight="1" x14ac:dyDescent="0.25">
      <c r="A858" s="30" t="str">
        <f ca="1">IFERROR(__xludf.DUMMYFUNCTION("""COMPUTED_VALUE"""),"50181682239102")</f>
        <v>50181682239102</v>
      </c>
      <c r="B858" s="30" t="str">
        <f ca="1">IFERROR(__xludf.DUMMYFUNCTION("""COMPUTED_VALUE"""),"CAPS BARRIO 325")</f>
        <v>CAPS BARRIO 325</v>
      </c>
      <c r="C858" s="30" t="str">
        <f ca="1">IFERROR(__xludf.DUMMYFUNCTION("""COMPUTED_VALUE"""),"Corrientes")</f>
        <v>Corrientes</v>
      </c>
      <c r="D858" s="30" t="str">
        <f ca="1">IFERROR(__xludf.DUMMYFUNCTION("""COMPUTED_VALUE"""),"18")</f>
        <v>18</v>
      </c>
      <c r="E858" s="30" t="str">
        <f ca="1">IFERROR(__xludf.DUMMYFUNCTION("""COMPUTED_VALUE"""),"")</f>
        <v/>
      </c>
      <c r="F858" s="29"/>
      <c r="G858" s="29"/>
      <c r="H858" s="30" t="str">
        <f ca="1">IFERROR(__xludf.DUMMYFUNCTION("""COMPUTED_VALUE"""),"activo")</f>
        <v>activo</v>
      </c>
      <c r="I858" s="29"/>
      <c r="J858" s="29"/>
      <c r="K858" s="29"/>
      <c r="L858" s="30" t="str">
        <f ca="1">IFERROR(__xludf.DUMMYFUNCTION("""COMPUTED_VALUE"""),"No")</f>
        <v>No</v>
      </c>
      <c r="M858" s="30" t="str">
        <f ca="1">IFERROR(__xludf.DUMMYFUNCTION("""COMPUTED_VALUE"""),"18168030000")</f>
        <v>18168030000</v>
      </c>
      <c r="N858" s="30" t="str">
        <f ca="1">IFERROR(__xludf.DUMMYFUNCTION("""COMPUTED_VALUE"""),"GOBERNADOR IGR.VALENTIN VIRASORO")</f>
        <v>GOBERNADOR IGR.VALENTIN VIRASORO</v>
      </c>
      <c r="O858" s="30" t="str">
        <f ca="1">IFERROR(__xludf.DUMMYFUNCTION("""COMPUTED_VALUE"""),"18168")</f>
        <v>18168</v>
      </c>
      <c r="P858" s="30" t="str">
        <f ca="1">IFERROR(__xludf.DUMMYFUNCTION("""COMPUTED_VALUE"""),"SANTO TOMÉ")</f>
        <v>SANTO TOMÉ</v>
      </c>
      <c r="Q858" s="30" t="str">
        <f ca="1">IFERROR(__xludf.DUMMYFUNCTION("""COMPUTED_VALUE"""),"-28.05")</f>
        <v>-28.05</v>
      </c>
      <c r="R858" s="30" t="str">
        <f ca="1">IFERROR(__xludf.DUMMYFUNCTION("""COMPUTED_VALUE"""),"-56.0333333")</f>
        <v>-56.0333333</v>
      </c>
      <c r="S858" s="30" t="str">
        <f ca="1">IFERROR(__xludf.DUMMYFUNCTION("""COMPUTED_VALUE"""),"Municipal")</f>
        <v>Municipal</v>
      </c>
      <c r="T858" s="29"/>
    </row>
    <row r="859" spans="1:20" ht="15.75" customHeight="1" x14ac:dyDescent="0.25">
      <c r="A859" s="30" t="str">
        <f ca="1">IFERROR(__xludf.DUMMYFUNCTION("""COMPUTED_VALUE"""),"50181682239126")</f>
        <v>50181682239126</v>
      </c>
      <c r="B859" s="30" t="str">
        <f ca="1">IFERROR(__xludf.DUMMYFUNCTION("""COMPUTED_VALUE"""),"CAPS VUELTA OMBU")</f>
        <v>CAPS VUELTA OMBU</v>
      </c>
      <c r="C859" s="30" t="str">
        <f ca="1">IFERROR(__xludf.DUMMYFUNCTION("""COMPUTED_VALUE"""),"Corrientes")</f>
        <v>Corrientes</v>
      </c>
      <c r="D859" s="30" t="str">
        <f ca="1">IFERROR(__xludf.DUMMYFUNCTION("""COMPUTED_VALUE"""),"18")</f>
        <v>18</v>
      </c>
      <c r="E859" s="30" t="str">
        <f ca="1">IFERROR(__xludf.DUMMYFUNCTION("""COMPUTED_VALUE"""),"")</f>
        <v/>
      </c>
      <c r="F859" s="29"/>
      <c r="G859" s="29"/>
      <c r="H859" s="30" t="str">
        <f ca="1">IFERROR(__xludf.DUMMYFUNCTION("""COMPUTED_VALUE"""),"activo")</f>
        <v>activo</v>
      </c>
      <c r="I859" s="29"/>
      <c r="J859" s="29"/>
      <c r="K859" s="29"/>
      <c r="L859" s="30" t="str">
        <f ca="1">IFERROR(__xludf.DUMMYFUNCTION("""COMPUTED_VALUE"""),"No")</f>
        <v>No</v>
      </c>
      <c r="M859" s="30" t="str">
        <f ca="1">IFERROR(__xludf.DUMMYFUNCTION("""COMPUTED_VALUE"""),"18168030000")</f>
        <v>18168030000</v>
      </c>
      <c r="N859" s="30" t="str">
        <f ca="1">IFERROR(__xludf.DUMMYFUNCTION("""COMPUTED_VALUE"""),"GOBERNADOR IGR.VALENTIN VIRASORO")</f>
        <v>GOBERNADOR IGR.VALENTIN VIRASORO</v>
      </c>
      <c r="O859" s="30" t="str">
        <f ca="1">IFERROR(__xludf.DUMMYFUNCTION("""COMPUTED_VALUE"""),"18168")</f>
        <v>18168</v>
      </c>
      <c r="P859" s="30" t="str">
        <f ca="1">IFERROR(__xludf.DUMMYFUNCTION("""COMPUTED_VALUE"""),"SANTO TOMÉ")</f>
        <v>SANTO TOMÉ</v>
      </c>
      <c r="Q859" s="30" t="str">
        <f ca="1">IFERROR(__xludf.DUMMYFUNCTION("""COMPUTED_VALUE"""),"-28.04107667")</f>
        <v>-28.04107667</v>
      </c>
      <c r="R859" s="30" t="str">
        <f ca="1">IFERROR(__xludf.DUMMYFUNCTION("""COMPUTED_VALUE"""),"-56.00830078")</f>
        <v>-56.00830078</v>
      </c>
      <c r="S859" s="30" t="str">
        <f ca="1">IFERROR(__xludf.DUMMYFUNCTION("""COMPUTED_VALUE"""),"Municipal")</f>
        <v>Municipal</v>
      </c>
      <c r="T859" s="29"/>
    </row>
    <row r="860" spans="1:20" ht="15.75" customHeight="1" x14ac:dyDescent="0.25">
      <c r="A860" s="30" t="str">
        <f ca="1">IFERROR(__xludf.DUMMYFUNCTION("""COMPUTED_VALUE"""),"50181682239174")</f>
        <v>50181682239174</v>
      </c>
      <c r="B860" s="30" t="str">
        <f ca="1">IFERROR(__xludf.DUMMYFUNCTION("""COMPUTED_VALUE"""),"CESAREO NAVAJAS")</f>
        <v>CESAREO NAVAJAS</v>
      </c>
      <c r="C860" s="30" t="str">
        <f ca="1">IFERROR(__xludf.DUMMYFUNCTION("""COMPUTED_VALUE"""),"Corrientes")</f>
        <v>Corrientes</v>
      </c>
      <c r="D860" s="30" t="str">
        <f ca="1">IFERROR(__xludf.DUMMYFUNCTION("""COMPUTED_VALUE"""),"18")</f>
        <v>18</v>
      </c>
      <c r="E860" s="30" t="str">
        <f ca="1">IFERROR(__xludf.DUMMYFUNCTION("""COMPUTED_VALUE"""),"")</f>
        <v/>
      </c>
      <c r="F860" s="29"/>
      <c r="G860" s="29"/>
      <c r="H860" s="30" t="str">
        <f ca="1">IFERROR(__xludf.DUMMYFUNCTION("""COMPUTED_VALUE"""),"activo")</f>
        <v>activo</v>
      </c>
      <c r="I860" s="29"/>
      <c r="J860" s="29"/>
      <c r="K860" s="29"/>
      <c r="L860" s="30" t="str">
        <f ca="1">IFERROR(__xludf.DUMMYFUNCTION("""COMPUTED_VALUE"""),"No")</f>
        <v>No</v>
      </c>
      <c r="M860" s="30" t="str">
        <f ca="1">IFERROR(__xludf.DUMMYFUNCTION("""COMPUTED_VALUE"""),"18168030000")</f>
        <v>18168030000</v>
      </c>
      <c r="N860" s="30" t="str">
        <f ca="1">IFERROR(__xludf.DUMMYFUNCTION("""COMPUTED_VALUE"""),"GOBERNADOR IGR.VALENTIN VIRASORO")</f>
        <v>GOBERNADOR IGR.VALENTIN VIRASORO</v>
      </c>
      <c r="O860" s="30" t="str">
        <f ca="1">IFERROR(__xludf.DUMMYFUNCTION("""COMPUTED_VALUE"""),"18168")</f>
        <v>18168</v>
      </c>
      <c r="P860" s="30" t="str">
        <f ca="1">IFERROR(__xludf.DUMMYFUNCTION("""COMPUTED_VALUE"""),"SANTO TOMÉ")</f>
        <v>SANTO TOMÉ</v>
      </c>
      <c r="Q860" s="30" t="str">
        <f ca="1">IFERROR(__xludf.DUMMYFUNCTION("""COMPUTED_VALUE"""),"-28.01258898")</f>
        <v>-28.01258898</v>
      </c>
      <c r="R860" s="30" t="str">
        <f ca="1">IFERROR(__xludf.DUMMYFUNCTION("""COMPUTED_VALUE"""),"-56.01516724")</f>
        <v>-56.01516724</v>
      </c>
      <c r="S860" s="30" t="str">
        <f ca="1">IFERROR(__xludf.DUMMYFUNCTION("""COMPUTED_VALUE"""),"Municipal")</f>
        <v>Municipal</v>
      </c>
      <c r="T860" s="29"/>
    </row>
    <row r="861" spans="1:20" ht="15.75" customHeight="1" x14ac:dyDescent="0.25">
      <c r="A861" s="30" t="str">
        <f ca="1">IFERROR(__xludf.DUMMYFUNCTION("""COMPUTED_VALUE"""),"50180702139094")</f>
        <v>50180702139094</v>
      </c>
      <c r="B861" s="30" t="str">
        <f ca="1">IFERROR(__xludf.DUMMYFUNCTION("""COMPUTED_VALUE"""),"BARRIO ITATI (GOYA)")</f>
        <v>BARRIO ITATI (GOYA)</v>
      </c>
      <c r="C861" s="30" t="str">
        <f ca="1">IFERROR(__xludf.DUMMYFUNCTION("""COMPUTED_VALUE"""),"Corrientes")</f>
        <v>Corrientes</v>
      </c>
      <c r="D861" s="30" t="str">
        <f ca="1">IFERROR(__xludf.DUMMYFUNCTION("""COMPUTED_VALUE"""),"18")</f>
        <v>18</v>
      </c>
      <c r="E861" s="30" t="str">
        <f ca="1">IFERROR(__xludf.DUMMYFUNCTION("""COMPUTED_VALUE"""),"")</f>
        <v/>
      </c>
      <c r="F861" s="29"/>
      <c r="G861" s="29"/>
      <c r="H861" s="30" t="str">
        <f ca="1">IFERROR(__xludf.DUMMYFUNCTION("""COMPUTED_VALUE"""),"activo")</f>
        <v>activo</v>
      </c>
      <c r="I861" s="29"/>
      <c r="J861" s="29"/>
      <c r="K861" s="29"/>
      <c r="L861" s="30" t="str">
        <f ca="1">IFERROR(__xludf.DUMMYFUNCTION("""COMPUTED_VALUE"""),"No")</f>
        <v>No</v>
      </c>
      <c r="M861" s="30" t="str">
        <f ca="1">IFERROR(__xludf.DUMMYFUNCTION("""COMPUTED_VALUE"""),"18070020000")</f>
        <v>18070020000</v>
      </c>
      <c r="N861" s="30" t="str">
        <f ca="1">IFERROR(__xludf.DUMMYFUNCTION("""COMPUTED_VALUE"""),"GOYA")</f>
        <v>GOYA</v>
      </c>
      <c r="O861" s="30" t="str">
        <f ca="1">IFERROR(__xludf.DUMMYFUNCTION("""COMPUTED_VALUE"""),"1870")</f>
        <v>1870</v>
      </c>
      <c r="P861" s="30" t="str">
        <f ca="1">IFERROR(__xludf.DUMMYFUNCTION("""COMPUTED_VALUE"""),"GOYA")</f>
        <v>GOYA</v>
      </c>
      <c r="Q861" s="30" t="str">
        <f ca="1">IFERROR(__xludf.DUMMYFUNCTION("""COMPUTED_VALUE"""),"-29.148225")</f>
        <v>-29.148225</v>
      </c>
      <c r="R861" s="30" t="str">
        <f ca="1">IFERROR(__xludf.DUMMYFUNCTION("""COMPUTED_VALUE"""),"-59.26118")</f>
        <v>-59.26118</v>
      </c>
      <c r="S861" s="30" t="str">
        <f ca="1">IFERROR(__xludf.DUMMYFUNCTION("""COMPUTED_VALUE"""),"Provincial")</f>
        <v>Provincial</v>
      </c>
      <c r="T861" s="30" t="str">
        <f ca="1">IFERROR(__xludf.DUMMYFUNCTION("""COMPUTED_VALUE"""),"-")</f>
        <v>-</v>
      </c>
    </row>
    <row r="862" spans="1:20" ht="15.75" customHeight="1" x14ac:dyDescent="0.25">
      <c r="A862" s="30" t="str">
        <f ca="1">IFERROR(__xludf.DUMMYFUNCTION("""COMPUTED_VALUE"""),"50180702139097")</f>
        <v>50180702139097</v>
      </c>
      <c r="B862" s="30" t="str">
        <f ca="1">IFERROR(__xludf.DUMMYFUNCTION("""COMPUTED_VALUE"""),"CAPS BELGRANO")</f>
        <v>CAPS BELGRANO</v>
      </c>
      <c r="C862" s="30" t="str">
        <f ca="1">IFERROR(__xludf.DUMMYFUNCTION("""COMPUTED_VALUE"""),"Corrientes")</f>
        <v>Corrientes</v>
      </c>
      <c r="D862" s="30" t="str">
        <f ca="1">IFERROR(__xludf.DUMMYFUNCTION("""COMPUTED_VALUE"""),"18")</f>
        <v>18</v>
      </c>
      <c r="E862" s="30" t="str">
        <f ca="1">IFERROR(__xludf.DUMMYFUNCTION("""COMPUTED_VALUE"""),"")</f>
        <v/>
      </c>
      <c r="F862" s="29"/>
      <c r="G862" s="29"/>
      <c r="H862" s="30" t="str">
        <f ca="1">IFERROR(__xludf.DUMMYFUNCTION("""COMPUTED_VALUE"""),"activo")</f>
        <v>activo</v>
      </c>
      <c r="I862" s="29"/>
      <c r="J862" s="29"/>
      <c r="K862" s="29"/>
      <c r="L862" s="30" t="str">
        <f ca="1">IFERROR(__xludf.DUMMYFUNCTION("""COMPUTED_VALUE"""),"No")</f>
        <v>No</v>
      </c>
      <c r="M862" s="30" t="str">
        <f ca="1">IFERROR(__xludf.DUMMYFUNCTION("""COMPUTED_VALUE"""),"18070020000")</f>
        <v>18070020000</v>
      </c>
      <c r="N862" s="30" t="str">
        <f ca="1">IFERROR(__xludf.DUMMYFUNCTION("""COMPUTED_VALUE"""),"GOYA")</f>
        <v>GOYA</v>
      </c>
      <c r="O862" s="30" t="str">
        <f ca="1">IFERROR(__xludf.DUMMYFUNCTION("""COMPUTED_VALUE"""),"1870")</f>
        <v>1870</v>
      </c>
      <c r="P862" s="30" t="str">
        <f ca="1">IFERROR(__xludf.DUMMYFUNCTION("""COMPUTED_VALUE"""),"GOYA")</f>
        <v>GOYA</v>
      </c>
      <c r="Q862" s="30" t="str">
        <f ca="1">IFERROR(__xludf.DUMMYFUNCTION("""COMPUTED_VALUE"""),"-29.1442242")</f>
        <v>-29.1442242</v>
      </c>
      <c r="R862" s="30" t="str">
        <f ca="1">IFERROR(__xludf.DUMMYFUNCTION("""COMPUTED_VALUE"""),"-59.2643242")</f>
        <v>-59.2643242</v>
      </c>
      <c r="S862" s="30" t="str">
        <f ca="1">IFERROR(__xludf.DUMMYFUNCTION("""COMPUTED_VALUE"""),"Provincial")</f>
        <v>Provincial</v>
      </c>
      <c r="T862" s="30" t="str">
        <f ca="1">IFERROR(__xludf.DUMMYFUNCTION("""COMPUTED_VALUE"""),"-")</f>
        <v>-</v>
      </c>
    </row>
    <row r="863" spans="1:20" ht="15.75" customHeight="1" x14ac:dyDescent="0.25">
      <c r="A863" s="30" t="str">
        <f ca="1">IFERROR(__xludf.DUMMYFUNCTION("""COMPUTED_VALUE"""),"50180702139185")</f>
        <v>50180702139185</v>
      </c>
      <c r="B863" s="30" t="str">
        <f ca="1">IFERROR(__xludf.DUMMYFUNCTION("""COMPUTED_VALUE"""),"CAPS TIA JOSEFINA JOSEFINA - COLONIA CAROLINA")</f>
        <v>CAPS TIA JOSEFINA JOSEFINA - COLONIA CAROLINA</v>
      </c>
      <c r="C863" s="30" t="str">
        <f ca="1">IFERROR(__xludf.DUMMYFUNCTION("""COMPUTED_VALUE"""),"Corrientes")</f>
        <v>Corrientes</v>
      </c>
      <c r="D863" s="30" t="str">
        <f ca="1">IFERROR(__xludf.DUMMYFUNCTION("""COMPUTED_VALUE"""),"18")</f>
        <v>18</v>
      </c>
      <c r="E863" s="30" t="str">
        <f ca="1">IFERROR(__xludf.DUMMYFUNCTION("""COMPUTED_VALUE"""),"")</f>
        <v/>
      </c>
      <c r="F863" s="29"/>
      <c r="G863" s="29"/>
      <c r="H863" s="30" t="str">
        <f ca="1">IFERROR(__xludf.DUMMYFUNCTION("""COMPUTED_VALUE"""),"activo")</f>
        <v>activo</v>
      </c>
      <c r="I863" s="30" t="str">
        <f ca="1">IFERROR(__xludf.DUMMYFUNCTION("""COMPUTED_VALUE"""),"se dio de alta por la provincia mediante nota con fecha del 12-8-2022")</f>
        <v>se dio de alta por la provincia mediante nota con fecha del 12-8-2022</v>
      </c>
      <c r="J863" s="29"/>
      <c r="K863" s="29"/>
      <c r="L863" s="30" t="str">
        <f ca="1">IFERROR(__xludf.DUMMYFUNCTION("""COMPUTED_VALUE"""),"No")</f>
        <v>No</v>
      </c>
      <c r="M863" s="30" t="str">
        <f ca="1">IFERROR(__xludf.DUMMYFUNCTION("""COMPUTED_VALUE"""),"18070020000")</f>
        <v>18070020000</v>
      </c>
      <c r="N863" s="30" t="str">
        <f ca="1">IFERROR(__xludf.DUMMYFUNCTION("""COMPUTED_VALUE"""),"GOYA")</f>
        <v>GOYA</v>
      </c>
      <c r="O863" s="30" t="str">
        <f ca="1">IFERROR(__xludf.DUMMYFUNCTION("""COMPUTED_VALUE"""),"1870")</f>
        <v>1870</v>
      </c>
      <c r="P863" s="30" t="str">
        <f ca="1">IFERROR(__xludf.DUMMYFUNCTION("""COMPUTED_VALUE"""),"GOYA")</f>
        <v>GOYA</v>
      </c>
      <c r="Q863" s="30" t="str">
        <f ca="1">IFERROR(__xludf.DUMMYFUNCTION("""COMPUTED_VALUE"""),"-29.1442242")</f>
        <v>-29.1442242</v>
      </c>
      <c r="R863" s="30" t="str">
        <f ca="1">IFERROR(__xludf.DUMMYFUNCTION("""COMPUTED_VALUE"""),"-59.2643242")</f>
        <v>-59.2643242</v>
      </c>
      <c r="S863" s="30" t="str">
        <f ca="1">IFERROR(__xludf.DUMMYFUNCTION("""COMPUTED_VALUE"""),"Provincial")</f>
        <v>Provincial</v>
      </c>
      <c r="T863" s="30" t="str">
        <f ca="1">IFERROR(__xludf.DUMMYFUNCTION("""COMPUTED_VALUE"""),"-")</f>
        <v>-</v>
      </c>
    </row>
    <row r="864" spans="1:20" ht="15.75" customHeight="1" x14ac:dyDescent="0.25">
      <c r="A864" s="30" t="str">
        <f ca="1">IFERROR(__xludf.DUMMYFUNCTION("""COMPUTED_VALUE"""),"50180212140200")</f>
        <v>50180212140200</v>
      </c>
      <c r="B864" s="30" t="str">
        <f ca="1">IFERROR(__xludf.DUMMYFUNCTION("""COMPUTED_VALUE"""),"CAPS XVI")</f>
        <v>CAPS XVI</v>
      </c>
      <c r="C864" s="30" t="str">
        <f ca="1">IFERROR(__xludf.DUMMYFUNCTION("""COMPUTED_VALUE"""),"Corrientes")</f>
        <v>Corrientes</v>
      </c>
      <c r="D864" s="30" t="str">
        <f ca="1">IFERROR(__xludf.DUMMYFUNCTION("""COMPUTED_VALUE"""),"18")</f>
        <v>18</v>
      </c>
      <c r="E864" s="30" t="str">
        <f ca="1">IFERROR(__xludf.DUMMYFUNCTION("""COMPUTED_VALUE"""),"")</f>
        <v/>
      </c>
      <c r="F864" s="29"/>
      <c r="G864" s="29"/>
      <c r="H864" s="30" t="str">
        <f ca="1">IFERROR(__xludf.DUMMYFUNCTION("""COMPUTED_VALUE"""),"activo")</f>
        <v>activo</v>
      </c>
      <c r="I864" s="30" t="str">
        <f ca="1">IFERROR(__xludf.DUMMYFUNCTION("""COMPUTED_VALUE"""),"alta solicitada por la provincia mail 16/03/2020")</f>
        <v>alta solicitada por la provincia mail 16/03/2020</v>
      </c>
      <c r="J864" s="29"/>
      <c r="K864" s="29"/>
      <c r="L864" s="30" t="str">
        <f ca="1">IFERROR(__xludf.DUMMYFUNCTION("""COMPUTED_VALUE"""),"No")</f>
        <v>No</v>
      </c>
      <c r="M864" s="30" t="str">
        <f ca="1">IFERROR(__xludf.DUMMYFUNCTION("""COMPUTED_VALUE"""),"18021020000")</f>
        <v>18021020000</v>
      </c>
      <c r="N864" s="30" t="str">
        <f ca="1">IFERROR(__xludf.DUMMYFUNCTION("""COMPUTED_VALUE"""),"CORRIENTES")</f>
        <v>CORRIENTES</v>
      </c>
      <c r="O864" s="30" t="str">
        <f ca="1">IFERROR(__xludf.DUMMYFUNCTION("""COMPUTED_VALUE"""),"1821")</f>
        <v>1821</v>
      </c>
      <c r="P864" s="30" t="str">
        <f ca="1">IFERROR(__xludf.DUMMYFUNCTION("""COMPUTED_VALUE"""),"CAPITAL")</f>
        <v>CAPITAL</v>
      </c>
      <c r="Q864" s="30" t="str">
        <f ca="1">IFERROR(__xludf.DUMMYFUNCTION("""COMPUTED_VALUE"""),"-27.495264")</f>
        <v>-27.495264</v>
      </c>
      <c r="R864" s="30" t="str">
        <f ca="1">IFERROR(__xludf.DUMMYFUNCTION("""COMPUTED_VALUE"""),"-58.810583")</f>
        <v>-58.810583</v>
      </c>
      <c r="S864" s="30" t="str">
        <f ca="1">IFERROR(__xludf.DUMMYFUNCTION("""COMPUTED_VALUE"""),"Provincial")</f>
        <v>Provincial</v>
      </c>
      <c r="T864" s="30" t="str">
        <f ca="1">IFERROR(__xludf.DUMMYFUNCTION("""COMPUTED_VALUE"""),"-")</f>
        <v>-</v>
      </c>
    </row>
    <row r="865" spans="1:20" ht="15.75" customHeight="1" x14ac:dyDescent="0.25">
      <c r="A865" s="30" t="str">
        <f ca="1">IFERROR(__xludf.DUMMYFUNCTION("""COMPUTED_VALUE"""),"50180702139223")</f>
        <v>50180702139223</v>
      </c>
      <c r="B865" s="30" t="str">
        <f ca="1">IFERROR(__xludf.DUMMYFUNCTION("""COMPUTED_VALUE"""),"JARDIN")</f>
        <v>JARDIN</v>
      </c>
      <c r="C865" s="30" t="str">
        <f ca="1">IFERROR(__xludf.DUMMYFUNCTION("""COMPUTED_VALUE"""),"Corrientes")</f>
        <v>Corrientes</v>
      </c>
      <c r="D865" s="30" t="str">
        <f ca="1">IFERROR(__xludf.DUMMYFUNCTION("""COMPUTED_VALUE"""),"18")</f>
        <v>18</v>
      </c>
      <c r="E865" s="30" t="str">
        <f ca="1">IFERROR(__xludf.DUMMYFUNCTION("""COMPUTED_VALUE"""),"")</f>
        <v/>
      </c>
      <c r="F865" s="29"/>
      <c r="G865" s="29"/>
      <c r="H865" s="30" t="str">
        <f ca="1">IFERROR(__xludf.DUMMYFUNCTION("""COMPUTED_VALUE"""),"activo")</f>
        <v>activo</v>
      </c>
      <c r="I865" s="29"/>
      <c r="J865" s="29"/>
      <c r="K865" s="29"/>
      <c r="L865" s="30" t="str">
        <f ca="1">IFERROR(__xludf.DUMMYFUNCTION("""COMPUTED_VALUE"""),"No")</f>
        <v>No</v>
      </c>
      <c r="M865" s="30" t="str">
        <f ca="1">IFERROR(__xludf.DUMMYFUNCTION("""COMPUTED_VALUE"""),"18070020000")</f>
        <v>18070020000</v>
      </c>
      <c r="N865" s="30" t="str">
        <f ca="1">IFERROR(__xludf.DUMMYFUNCTION("""COMPUTED_VALUE"""),"GOYA")</f>
        <v>GOYA</v>
      </c>
      <c r="O865" s="30" t="str">
        <f ca="1">IFERROR(__xludf.DUMMYFUNCTION("""COMPUTED_VALUE"""),"1870")</f>
        <v>1870</v>
      </c>
      <c r="P865" s="30" t="str">
        <f ca="1">IFERROR(__xludf.DUMMYFUNCTION("""COMPUTED_VALUE"""),"GOYA")</f>
        <v>GOYA</v>
      </c>
      <c r="Q865" s="30" t="str">
        <f ca="1">IFERROR(__xludf.DUMMYFUNCTION("""COMPUTED_VALUE"""),"-29.1442242")</f>
        <v>-29.1442242</v>
      </c>
      <c r="R865" s="30" t="str">
        <f ca="1">IFERROR(__xludf.DUMMYFUNCTION("""COMPUTED_VALUE"""),"-59.2643242")</f>
        <v>-59.2643242</v>
      </c>
      <c r="S865" s="30" t="str">
        <f ca="1">IFERROR(__xludf.DUMMYFUNCTION("""COMPUTED_VALUE"""),"Provincial")</f>
        <v>Provincial</v>
      </c>
      <c r="T865" s="30" t="str">
        <f ca="1">IFERROR(__xludf.DUMMYFUNCTION("""COMPUTED_VALUE"""),"-")</f>
        <v>-</v>
      </c>
    </row>
    <row r="866" spans="1:20" ht="15.75" customHeight="1" x14ac:dyDescent="0.25">
      <c r="A866" s="30" t="str">
        <f ca="1">IFERROR(__xludf.DUMMYFUNCTION("""COMPUTED_VALUE"""),"50180702139234")</f>
        <v>50180702139234</v>
      </c>
      <c r="B866" s="30" t="str">
        <f ca="1">IFERROR(__xludf.DUMMYFUNCTION("""COMPUTED_VALUE"""),"MEDALLA MILAGROSA")</f>
        <v>MEDALLA MILAGROSA</v>
      </c>
      <c r="C866" s="30" t="str">
        <f ca="1">IFERROR(__xludf.DUMMYFUNCTION("""COMPUTED_VALUE"""),"Corrientes")</f>
        <v>Corrientes</v>
      </c>
      <c r="D866" s="30" t="str">
        <f ca="1">IFERROR(__xludf.DUMMYFUNCTION("""COMPUTED_VALUE"""),"18")</f>
        <v>18</v>
      </c>
      <c r="E866" s="30" t="str">
        <f ca="1">IFERROR(__xludf.DUMMYFUNCTION("""COMPUTED_VALUE"""),"si")</f>
        <v>si</v>
      </c>
      <c r="F866" s="29"/>
      <c r="G866" s="29"/>
      <c r="H866" s="30" t="str">
        <f ca="1">IFERROR(__xludf.DUMMYFUNCTION("""COMPUTED_VALUE"""),"activo")</f>
        <v>activo</v>
      </c>
      <c r="I866" s="29"/>
      <c r="J866" s="29"/>
      <c r="K866" s="29"/>
      <c r="L866" s="30" t="str">
        <f ca="1">IFERROR(__xludf.DUMMYFUNCTION("""COMPUTED_VALUE"""),"No")</f>
        <v>No</v>
      </c>
      <c r="M866" s="30" t="str">
        <f ca="1">IFERROR(__xludf.DUMMYFUNCTION("""COMPUTED_VALUE"""),"18070020000")</f>
        <v>18070020000</v>
      </c>
      <c r="N866" s="30" t="str">
        <f ca="1">IFERROR(__xludf.DUMMYFUNCTION("""COMPUTED_VALUE"""),"GOYA")</f>
        <v>GOYA</v>
      </c>
      <c r="O866" s="30" t="str">
        <f ca="1">IFERROR(__xludf.DUMMYFUNCTION("""COMPUTED_VALUE"""),"1870")</f>
        <v>1870</v>
      </c>
      <c r="P866" s="30" t="str">
        <f ca="1">IFERROR(__xludf.DUMMYFUNCTION("""COMPUTED_VALUE"""),"GOYA")</f>
        <v>GOYA</v>
      </c>
      <c r="Q866" s="30" t="str">
        <f ca="1">IFERROR(__xludf.DUMMYFUNCTION("""COMPUTED_VALUE"""),"-29.1476638")</f>
        <v>-29.1476638</v>
      </c>
      <c r="R866" s="30" t="str">
        <f ca="1">IFERROR(__xludf.DUMMYFUNCTION("""COMPUTED_VALUE"""),"-59.2767042")</f>
        <v>-59.2767042</v>
      </c>
      <c r="S866" s="30" t="str">
        <f ca="1">IFERROR(__xludf.DUMMYFUNCTION("""COMPUTED_VALUE"""),"Provincial")</f>
        <v>Provincial</v>
      </c>
      <c r="T866" s="30" t="str">
        <f ca="1">IFERROR(__xludf.DUMMYFUNCTION("""COMPUTED_VALUE"""),"-")</f>
        <v>-</v>
      </c>
    </row>
    <row r="867" spans="1:20" ht="15.75" customHeight="1" x14ac:dyDescent="0.25">
      <c r="A867" s="30" t="str">
        <f ca="1">IFERROR(__xludf.DUMMYFUNCTION("""COMPUTED_VALUE"""),"50180702139381")</f>
        <v>50180702139381</v>
      </c>
      <c r="B867" s="30" t="str">
        <f ca="1">IFERROR(__xludf.DUMMYFUNCTION("""COMPUTED_VALUE"""),"SALA APS SAN ISIDRO")</f>
        <v>SALA APS SAN ISIDRO</v>
      </c>
      <c r="C867" s="30" t="str">
        <f ca="1">IFERROR(__xludf.DUMMYFUNCTION("""COMPUTED_VALUE"""),"Corrientes")</f>
        <v>Corrientes</v>
      </c>
      <c r="D867" s="30" t="str">
        <f ca="1">IFERROR(__xludf.DUMMYFUNCTION("""COMPUTED_VALUE"""),"18")</f>
        <v>18</v>
      </c>
      <c r="E867" s="30" t="str">
        <f ca="1">IFERROR(__xludf.DUMMYFUNCTION("""COMPUTED_VALUE"""),"")</f>
        <v/>
      </c>
      <c r="F867" s="29"/>
      <c r="G867" s="30" t="str">
        <f ca="1">IFERROR(__xludf.DUMMYFUNCTION("""COMPUTED_VALUE"""),"50181262240205")</f>
        <v>50181262240205</v>
      </c>
      <c r="H867" s="30" t="str">
        <f ca="1">IFERROR(__xludf.DUMMYFUNCTION("""COMPUTED_VALUE"""),"inactivo")</f>
        <v>inactivo</v>
      </c>
      <c r="I867" s="29"/>
      <c r="J867" s="29"/>
      <c r="K867" s="29"/>
      <c r="L867" s="30" t="str">
        <f ca="1">IFERROR(__xludf.DUMMYFUNCTION("""COMPUTED_VALUE"""),"No")</f>
        <v>No</v>
      </c>
      <c r="M867" s="30" t="str">
        <f ca="1">IFERROR(__xludf.DUMMYFUNCTION("""COMPUTED_VALUE"""),"18070020000")</f>
        <v>18070020000</v>
      </c>
      <c r="N867" s="30" t="str">
        <f ca="1">IFERROR(__xludf.DUMMYFUNCTION("""COMPUTED_VALUE"""),"GOYA")</f>
        <v>GOYA</v>
      </c>
      <c r="O867" s="30" t="str">
        <f ca="1">IFERROR(__xludf.DUMMYFUNCTION("""COMPUTED_VALUE"""),"1870")</f>
        <v>1870</v>
      </c>
      <c r="P867" s="30" t="str">
        <f ca="1">IFERROR(__xludf.DUMMYFUNCTION("""COMPUTED_VALUE"""),"GOYA")</f>
        <v>GOYA</v>
      </c>
      <c r="Q867" s="30" t="str">
        <f ca="1">IFERROR(__xludf.DUMMYFUNCTION("""COMPUTED_VALUE"""),"-29.150075")</f>
        <v>-29.150075</v>
      </c>
      <c r="R867" s="30" t="str">
        <f ca="1">IFERROR(__xludf.DUMMYFUNCTION("""COMPUTED_VALUE"""),"-59.245582")</f>
        <v>-59.245582</v>
      </c>
      <c r="S867" s="30" t="str">
        <f ca="1">IFERROR(__xludf.DUMMYFUNCTION("""COMPUTED_VALUE"""),"Provincial")</f>
        <v>Provincial</v>
      </c>
      <c r="T867" s="30" t="str">
        <f ca="1">IFERROR(__xludf.DUMMYFUNCTION("""COMPUTED_VALUE"""),"-")</f>
        <v>-</v>
      </c>
    </row>
    <row r="868" spans="1:20" ht="15.75" customHeight="1" x14ac:dyDescent="0.25">
      <c r="A868" s="30" t="str">
        <f ca="1">IFERROR(__xludf.DUMMYFUNCTION("""COMPUTED_VALUE"""),"50181262240205")</f>
        <v>50181262240205</v>
      </c>
      <c r="B868" s="30" t="str">
        <f ca="1">IFERROR(__xludf.DUMMYFUNCTION("""COMPUTED_VALUE"""),"SALA VELEZ SARFIELD")</f>
        <v>SALA VELEZ SARFIELD</v>
      </c>
      <c r="C868" s="30" t="str">
        <f ca="1">IFERROR(__xludf.DUMMYFUNCTION("""COMPUTED_VALUE"""),"Corrientes")</f>
        <v>Corrientes</v>
      </c>
      <c r="D868" s="30" t="str">
        <f ca="1">IFERROR(__xludf.DUMMYFUNCTION("""COMPUTED_VALUE"""),"18")</f>
        <v>18</v>
      </c>
      <c r="E868" s="30" t="str">
        <f ca="1">IFERROR(__xludf.DUMMYFUNCTION("""COMPUTED_VALUE"""),"")</f>
        <v/>
      </c>
      <c r="F868" s="30" t="str">
        <f ca="1">IFERROR(__xludf.DUMMYFUNCTION("""COMPUTED_VALUE"""),"50180702139381")</f>
        <v>50180702139381</v>
      </c>
      <c r="G868" s="29"/>
      <c r="H868" s="30" t="str">
        <f ca="1">IFERROR(__xludf.DUMMYFUNCTION("""COMPUTED_VALUE"""),"activo")</f>
        <v>activo</v>
      </c>
      <c r="I868" s="29"/>
      <c r="J868" s="29"/>
      <c r="K868" s="29"/>
      <c r="L868" s="30" t="str">
        <f ca="1">IFERROR(__xludf.DUMMYFUNCTION("""COMPUTED_VALUE"""),"No")</f>
        <v>No</v>
      </c>
      <c r="M868" s="30" t="str">
        <f ca="1">IFERROR(__xludf.DUMMYFUNCTION("""COMPUTED_VALUE"""),"18126010000")</f>
        <v>18126010000</v>
      </c>
      <c r="N868" s="30" t="str">
        <f ca="1">IFERROR(__xludf.DUMMYFUNCTION("""COMPUTED_VALUE"""),"SALADAS")</f>
        <v>SALADAS</v>
      </c>
      <c r="O868" s="30" t="str">
        <f ca="1">IFERROR(__xludf.DUMMYFUNCTION("""COMPUTED_VALUE"""),"18126")</f>
        <v>18126</v>
      </c>
      <c r="P868" s="30" t="str">
        <f ca="1">IFERROR(__xludf.DUMMYFUNCTION("""COMPUTED_VALUE"""),"SALADAS")</f>
        <v>SALADAS</v>
      </c>
      <c r="Q868" s="30" t="str">
        <f ca="1">IFERROR(__xludf.DUMMYFUNCTION("""COMPUTED_VALUE"""),"-28.261432")</f>
        <v>-28.261432</v>
      </c>
      <c r="R868" s="30" t="str">
        <f ca="1">IFERROR(__xludf.DUMMYFUNCTION("""COMPUTED_VALUE"""),"-58.619325")</f>
        <v>-58.619325</v>
      </c>
      <c r="S868" s="30" t="str">
        <f ca="1">IFERROR(__xludf.DUMMYFUNCTION("""COMPUTED_VALUE"""),"Municipal")</f>
        <v>Municipal</v>
      </c>
      <c r="T868" s="29"/>
    </row>
    <row r="869" spans="1:20" ht="15.75" customHeight="1" x14ac:dyDescent="0.25">
      <c r="A869" s="30" t="str">
        <f ca="1">IFERROR(__xludf.DUMMYFUNCTION("""COMPUTED_VALUE"""),"50180702139441")</f>
        <v>50180702139441</v>
      </c>
      <c r="B869" s="30" t="str">
        <f ca="1">IFERROR(__xludf.DUMMYFUNCTION("""COMPUTED_VALUE"""),"SALA SARMIENTO")</f>
        <v>SALA SARMIENTO</v>
      </c>
      <c r="C869" s="30" t="str">
        <f ca="1">IFERROR(__xludf.DUMMYFUNCTION("""COMPUTED_VALUE"""),"Corrientes")</f>
        <v>Corrientes</v>
      </c>
      <c r="D869" s="30" t="str">
        <f ca="1">IFERROR(__xludf.DUMMYFUNCTION("""COMPUTED_VALUE"""),"18")</f>
        <v>18</v>
      </c>
      <c r="E869" s="30" t="str">
        <f ca="1">IFERROR(__xludf.DUMMYFUNCTION("""COMPUTED_VALUE"""),"")</f>
        <v/>
      </c>
      <c r="F869" s="29"/>
      <c r="G869" s="29"/>
      <c r="H869" s="30" t="str">
        <f ca="1">IFERROR(__xludf.DUMMYFUNCTION("""COMPUTED_VALUE"""),"activo")</f>
        <v>activo</v>
      </c>
      <c r="I869" s="29"/>
      <c r="J869" s="29"/>
      <c r="K869" s="29"/>
      <c r="L869" s="30" t="str">
        <f ca="1">IFERROR(__xludf.DUMMYFUNCTION("""COMPUTED_VALUE"""),"No")</f>
        <v>No</v>
      </c>
      <c r="M869" s="30" t="str">
        <f ca="1">IFERROR(__xludf.DUMMYFUNCTION("""COMPUTED_VALUE"""),"18070020000")</f>
        <v>18070020000</v>
      </c>
      <c r="N869" s="30" t="str">
        <f ca="1">IFERROR(__xludf.DUMMYFUNCTION("""COMPUTED_VALUE"""),"GOYA")</f>
        <v>GOYA</v>
      </c>
      <c r="O869" s="30" t="str">
        <f ca="1">IFERROR(__xludf.DUMMYFUNCTION("""COMPUTED_VALUE"""),"1870")</f>
        <v>1870</v>
      </c>
      <c r="P869" s="30" t="str">
        <f ca="1">IFERROR(__xludf.DUMMYFUNCTION("""COMPUTED_VALUE"""),"GOYA")</f>
        <v>GOYA</v>
      </c>
      <c r="Q869" s="30" t="str">
        <f ca="1">IFERROR(__xludf.DUMMYFUNCTION("""COMPUTED_VALUE"""),"-29.1442242")</f>
        <v>-29.1442242</v>
      </c>
      <c r="R869" s="30" t="str">
        <f ca="1">IFERROR(__xludf.DUMMYFUNCTION("""COMPUTED_VALUE"""),"-59.2643242")</f>
        <v>-59.2643242</v>
      </c>
      <c r="S869" s="30" t="str">
        <f ca="1">IFERROR(__xludf.DUMMYFUNCTION("""COMPUTED_VALUE"""),"Provincial")</f>
        <v>Provincial</v>
      </c>
      <c r="T869" s="30" t="str">
        <f ca="1">IFERROR(__xludf.DUMMYFUNCTION("""COMPUTED_VALUE"""),"-")</f>
        <v>-</v>
      </c>
    </row>
    <row r="870" spans="1:20" ht="15.75" customHeight="1" x14ac:dyDescent="0.25">
      <c r="A870" s="30" t="str">
        <f ca="1">IFERROR(__xludf.DUMMYFUNCTION("""COMPUTED_VALUE"""),"50180702139452")</f>
        <v>50180702139452</v>
      </c>
      <c r="B870" s="30" t="str">
        <f ca="1">IFERROR(__xludf.DUMMYFUNCTION("""COMPUTED_VALUE"""),"25 DE MAYO")</f>
        <v>25 DE MAYO</v>
      </c>
      <c r="C870" s="30" t="str">
        <f ca="1">IFERROR(__xludf.DUMMYFUNCTION("""COMPUTED_VALUE"""),"Corrientes")</f>
        <v>Corrientes</v>
      </c>
      <c r="D870" s="30" t="str">
        <f ca="1">IFERROR(__xludf.DUMMYFUNCTION("""COMPUTED_VALUE"""),"18")</f>
        <v>18</v>
      </c>
      <c r="E870" s="30" t="str">
        <f ca="1">IFERROR(__xludf.DUMMYFUNCTION("""COMPUTED_VALUE"""),"")</f>
        <v/>
      </c>
      <c r="F870" s="29"/>
      <c r="G870" s="29"/>
      <c r="H870" s="30" t="str">
        <f ca="1">IFERROR(__xludf.DUMMYFUNCTION("""COMPUTED_VALUE"""),"activo")</f>
        <v>activo</v>
      </c>
      <c r="I870" s="29"/>
      <c r="J870" s="29"/>
      <c r="K870" s="29"/>
      <c r="L870" s="30" t="str">
        <f ca="1">IFERROR(__xludf.DUMMYFUNCTION("""COMPUTED_VALUE"""),"No")</f>
        <v>No</v>
      </c>
      <c r="M870" s="30" t="str">
        <f ca="1">IFERROR(__xludf.DUMMYFUNCTION("""COMPUTED_VALUE"""),"18070020000")</f>
        <v>18070020000</v>
      </c>
      <c r="N870" s="30" t="str">
        <f ca="1">IFERROR(__xludf.DUMMYFUNCTION("""COMPUTED_VALUE"""),"GOYA")</f>
        <v>GOYA</v>
      </c>
      <c r="O870" s="30" t="str">
        <f ca="1">IFERROR(__xludf.DUMMYFUNCTION("""COMPUTED_VALUE"""),"1870")</f>
        <v>1870</v>
      </c>
      <c r="P870" s="30" t="str">
        <f ca="1">IFERROR(__xludf.DUMMYFUNCTION("""COMPUTED_VALUE"""),"GOYA")</f>
        <v>GOYA</v>
      </c>
      <c r="Q870" s="30" t="str">
        <f ca="1">IFERROR(__xludf.DUMMYFUNCTION("""COMPUTED_VALUE"""),"-29.1426205")</f>
        <v>-29.1426205</v>
      </c>
      <c r="R870" s="30" t="str">
        <f ca="1">IFERROR(__xludf.DUMMYFUNCTION("""COMPUTED_VALUE"""),"-59.2455923")</f>
        <v>-59.2455923</v>
      </c>
      <c r="S870" s="30" t="str">
        <f ca="1">IFERROR(__xludf.DUMMYFUNCTION("""COMPUTED_VALUE"""),"Provincial")</f>
        <v>Provincial</v>
      </c>
      <c r="T870" s="30" t="str">
        <f ca="1">IFERROR(__xludf.DUMMYFUNCTION("""COMPUTED_VALUE"""),"-")</f>
        <v>-</v>
      </c>
    </row>
    <row r="871" spans="1:20" ht="15.75" customHeight="1" x14ac:dyDescent="0.25">
      <c r="A871" s="30" t="str">
        <f ca="1">IFERROR(__xludf.DUMMYFUNCTION("""COMPUTED_VALUE"""),"10180772139038")</f>
        <v>10180772139038</v>
      </c>
      <c r="B871" s="30" t="str">
        <f ca="1">IFERROR(__xludf.DUMMYFUNCTION("""COMPUTED_VALUE"""),"HOSPITAL DRES. JUAN C. Y ALBERTO J. GARCIA")</f>
        <v>HOSPITAL DRES. JUAN C. Y ALBERTO J. GARCIA</v>
      </c>
      <c r="C871" s="30" t="str">
        <f ca="1">IFERROR(__xludf.DUMMYFUNCTION("""COMPUTED_VALUE"""),"Corrientes")</f>
        <v>Corrientes</v>
      </c>
      <c r="D871" s="30" t="str">
        <f ca="1">IFERROR(__xludf.DUMMYFUNCTION("""COMPUTED_VALUE"""),"18")</f>
        <v>18</v>
      </c>
      <c r="E871" s="30" t="str">
        <f ca="1">IFERROR(__xludf.DUMMYFUNCTION("""COMPUTED_VALUE"""),"")</f>
        <v/>
      </c>
      <c r="F871" s="29"/>
      <c r="G871" s="29"/>
      <c r="H871" s="30" t="str">
        <f ca="1">IFERROR(__xludf.DUMMYFUNCTION("""COMPUTED_VALUE"""),"inactivo")</f>
        <v>inactivo</v>
      </c>
      <c r="I871" s="29"/>
      <c r="J871" s="29"/>
      <c r="K871" s="29"/>
      <c r="L871" s="30" t="str">
        <f ca="1">IFERROR(__xludf.DUMMYFUNCTION("""COMPUTED_VALUE"""),"No")</f>
        <v>No</v>
      </c>
      <c r="M871" s="30" t="str">
        <f ca="1">IFERROR(__xludf.DUMMYFUNCTION("""COMPUTED_VALUE"""),"18077010000")</f>
        <v>18077010000</v>
      </c>
      <c r="N871" s="30" t="str">
        <f ca="1">IFERROR(__xludf.DUMMYFUNCTION("""COMPUTED_VALUE"""),"ITATI")</f>
        <v>ITATI</v>
      </c>
      <c r="O871" s="30" t="str">
        <f ca="1">IFERROR(__xludf.DUMMYFUNCTION("""COMPUTED_VALUE"""),"1877")</f>
        <v>1877</v>
      </c>
      <c r="P871" s="30" t="str">
        <f ca="1">IFERROR(__xludf.DUMMYFUNCTION("""COMPUTED_VALUE"""),"ITATÍ")</f>
        <v>ITATÍ</v>
      </c>
      <c r="Q871" s="30" t="str">
        <f ca="1">IFERROR(__xludf.DUMMYFUNCTION("""COMPUTED_VALUE"""),"-27.27417065")</f>
        <v>-27.27417065</v>
      </c>
      <c r="R871" s="30" t="str">
        <f ca="1">IFERROR(__xludf.DUMMYFUNCTION("""COMPUTED_VALUE"""),"-58.24736595")</f>
        <v>-58.24736595</v>
      </c>
      <c r="S871" s="30" t="str">
        <f ca="1">IFERROR(__xludf.DUMMYFUNCTION("""COMPUTED_VALUE"""),"Provincial")</f>
        <v>Provincial</v>
      </c>
      <c r="T871" s="30" t="str">
        <f ca="1">IFERROR(__xludf.DUMMYFUNCTION("""COMPUTED_VALUE"""),"-")</f>
        <v>-</v>
      </c>
    </row>
    <row r="872" spans="1:20" ht="15.75" customHeight="1" x14ac:dyDescent="0.25">
      <c r="A872" s="30" t="str">
        <f ca="1">IFERROR(__xludf.DUMMYFUNCTION("""COMPUTED_VALUE"""),"50180842139103")</f>
        <v>50180842139103</v>
      </c>
      <c r="B872" s="30" t="str">
        <f ca="1">IFERROR(__xludf.DUMMYFUNCTION("""COMPUTED_VALUE"""),"CAPS DIGNO LOPEZ")</f>
        <v>CAPS DIGNO LOPEZ</v>
      </c>
      <c r="C872" s="30" t="str">
        <f ca="1">IFERROR(__xludf.DUMMYFUNCTION("""COMPUTED_VALUE"""),"Corrientes")</f>
        <v>Corrientes</v>
      </c>
      <c r="D872" s="30" t="str">
        <f ca="1">IFERROR(__xludf.DUMMYFUNCTION("""COMPUTED_VALUE"""),"18")</f>
        <v>18</v>
      </c>
      <c r="E872" s="30" t="str">
        <f ca="1">IFERROR(__xludf.DUMMYFUNCTION("""COMPUTED_VALUE"""),"")</f>
        <v/>
      </c>
      <c r="F872" s="29"/>
      <c r="G872" s="29"/>
      <c r="H872" s="30" t="str">
        <f ca="1">IFERROR(__xludf.DUMMYFUNCTION("""COMPUTED_VALUE"""),"activo")</f>
        <v>activo</v>
      </c>
      <c r="I872" s="29"/>
      <c r="J872" s="29"/>
      <c r="K872" s="29"/>
      <c r="L872" s="30" t="str">
        <f ca="1">IFERROR(__xludf.DUMMYFUNCTION("""COMPUTED_VALUE"""),"No")</f>
        <v>No</v>
      </c>
      <c r="M872" s="30" t="str">
        <f ca="1">IFERROR(__xludf.DUMMYFUNCTION("""COMPUTED_VALUE"""),"18084020000")</f>
        <v>18084020000</v>
      </c>
      <c r="N872" s="30" t="str">
        <f ca="1">IFERROR(__xludf.DUMMYFUNCTION("""COMPUTED_VALUE"""),"ITUZAINGO")</f>
        <v>ITUZAINGO</v>
      </c>
      <c r="O872" s="30" t="str">
        <f ca="1">IFERROR(__xludf.DUMMYFUNCTION("""COMPUTED_VALUE"""),"1884")</f>
        <v>1884</v>
      </c>
      <c r="P872" s="30" t="str">
        <f ca="1">IFERROR(__xludf.DUMMYFUNCTION("""COMPUTED_VALUE"""),"ITUZAINGÓ")</f>
        <v>ITUZAINGÓ</v>
      </c>
      <c r="Q872" s="30" t="str">
        <f ca="1">IFERROR(__xludf.DUMMYFUNCTION("""COMPUTED_VALUE"""),"-27.59471771")</f>
        <v>-27.59471771</v>
      </c>
      <c r="R872" s="30" t="str">
        <f ca="1">IFERROR(__xludf.DUMMYFUNCTION("""COMPUTED_VALUE"""),"-56.6709137")</f>
        <v>-56.6709137</v>
      </c>
      <c r="S872" s="30" t="str">
        <f ca="1">IFERROR(__xludf.DUMMYFUNCTION("""COMPUTED_VALUE"""),"Provincial")</f>
        <v>Provincial</v>
      </c>
      <c r="T872" s="30" t="str">
        <f ca="1">IFERROR(__xludf.DUMMYFUNCTION("""COMPUTED_VALUE"""),"-")</f>
        <v>-</v>
      </c>
    </row>
    <row r="873" spans="1:20" ht="15.75" customHeight="1" x14ac:dyDescent="0.25">
      <c r="A873" s="30" t="str">
        <f ca="1">IFERROR(__xludf.DUMMYFUNCTION("""COMPUTED_VALUE"""),"50180842139121")</f>
        <v>50180842139121</v>
      </c>
      <c r="B873" s="30" t="str">
        <f ca="1">IFERROR(__xludf.DUMMYFUNCTION("""COMPUTED_VALUE"""),"CAPS SAN JORGE")</f>
        <v>CAPS SAN JORGE</v>
      </c>
      <c r="C873" s="30" t="str">
        <f ca="1">IFERROR(__xludf.DUMMYFUNCTION("""COMPUTED_VALUE"""),"Corrientes")</f>
        <v>Corrientes</v>
      </c>
      <c r="D873" s="30" t="str">
        <f ca="1">IFERROR(__xludf.DUMMYFUNCTION("""COMPUTED_VALUE"""),"18")</f>
        <v>18</v>
      </c>
      <c r="E873" s="30" t="str">
        <f ca="1">IFERROR(__xludf.DUMMYFUNCTION("""COMPUTED_VALUE"""),"")</f>
        <v/>
      </c>
      <c r="F873" s="29"/>
      <c r="G873" s="29"/>
      <c r="H873" s="30" t="str">
        <f ca="1">IFERROR(__xludf.DUMMYFUNCTION("""COMPUTED_VALUE"""),"activo")</f>
        <v>activo</v>
      </c>
      <c r="I873" s="29"/>
      <c r="J873" s="29"/>
      <c r="K873" s="29"/>
      <c r="L873" s="30" t="str">
        <f ca="1">IFERROR(__xludf.DUMMYFUNCTION("""COMPUTED_VALUE"""),"No")</f>
        <v>No</v>
      </c>
      <c r="M873" s="30" t="str">
        <f ca="1">IFERROR(__xludf.DUMMYFUNCTION("""COMPUTED_VALUE"""),"18084020000")</f>
        <v>18084020000</v>
      </c>
      <c r="N873" s="30" t="str">
        <f ca="1">IFERROR(__xludf.DUMMYFUNCTION("""COMPUTED_VALUE"""),"ITUZAINGO")</f>
        <v>ITUZAINGO</v>
      </c>
      <c r="O873" s="30" t="str">
        <f ca="1">IFERROR(__xludf.DUMMYFUNCTION("""COMPUTED_VALUE"""),"1884")</f>
        <v>1884</v>
      </c>
      <c r="P873" s="30" t="str">
        <f ca="1">IFERROR(__xludf.DUMMYFUNCTION("""COMPUTED_VALUE"""),"ITUZAINGÓ")</f>
        <v>ITUZAINGÓ</v>
      </c>
      <c r="Q873" s="30" t="str">
        <f ca="1">IFERROR(__xludf.DUMMYFUNCTION("""COMPUTED_VALUE"""),"-27.5890886")</f>
        <v>-27.5890886</v>
      </c>
      <c r="R873" s="30" t="str">
        <f ca="1">IFERROR(__xludf.DUMMYFUNCTION("""COMPUTED_VALUE"""),"-56.68430328")</f>
        <v>-56.68430328</v>
      </c>
      <c r="S873" s="30" t="str">
        <f ca="1">IFERROR(__xludf.DUMMYFUNCTION("""COMPUTED_VALUE"""),"Provincial")</f>
        <v>Provincial</v>
      </c>
      <c r="T873" s="30" t="str">
        <f ca="1">IFERROR(__xludf.DUMMYFUNCTION("""COMPUTED_VALUE"""),"-")</f>
        <v>-</v>
      </c>
    </row>
    <row r="874" spans="1:20" ht="15.75" customHeight="1" x14ac:dyDescent="0.25">
      <c r="A874" s="30" t="str">
        <f ca="1">IFERROR(__xludf.DUMMYFUNCTION("""COMPUTED_VALUE"""),"50180842139356")</f>
        <v>50180842139356</v>
      </c>
      <c r="B874" s="30" t="str">
        <f ca="1">IFERROR(__xludf.DUMMYFUNCTION("""COMPUTED_VALUE"""),"ESTACION SANITARIA APIPE GRANDE DE SAN ANTONIO")</f>
        <v>ESTACION SANITARIA APIPE GRANDE DE SAN ANTONIO</v>
      </c>
      <c r="C874" s="30" t="str">
        <f ca="1">IFERROR(__xludf.DUMMYFUNCTION("""COMPUTED_VALUE"""),"Corrientes")</f>
        <v>Corrientes</v>
      </c>
      <c r="D874" s="30" t="str">
        <f ca="1">IFERROR(__xludf.DUMMYFUNCTION("""COMPUTED_VALUE"""),"18")</f>
        <v>18</v>
      </c>
      <c r="E874" s="30" t="str">
        <f ca="1">IFERROR(__xludf.DUMMYFUNCTION("""COMPUTED_VALUE"""),"")</f>
        <v/>
      </c>
      <c r="F874" s="29"/>
      <c r="G874" s="29"/>
      <c r="H874" s="30" t="str">
        <f ca="1">IFERROR(__xludf.DUMMYFUNCTION("""COMPUTED_VALUE"""),"inactivo")</f>
        <v>inactivo</v>
      </c>
      <c r="I874" s="29"/>
      <c r="J874" s="29"/>
      <c r="K874" s="29"/>
      <c r="L874" s="30" t="str">
        <f ca="1">IFERROR(__xludf.DUMMYFUNCTION("""COMPUTED_VALUE"""),"No")</f>
        <v>No</v>
      </c>
      <c r="M874" s="30" t="str">
        <f ca="1">IFERROR(__xludf.DUMMYFUNCTION("""COMPUTED_VALUE"""),"18084020000")</f>
        <v>18084020000</v>
      </c>
      <c r="N874" s="30" t="str">
        <f ca="1">IFERROR(__xludf.DUMMYFUNCTION("""COMPUTED_VALUE"""),"ITUZAINGO")</f>
        <v>ITUZAINGO</v>
      </c>
      <c r="O874" s="30" t="str">
        <f ca="1">IFERROR(__xludf.DUMMYFUNCTION("""COMPUTED_VALUE"""),"1884")</f>
        <v>1884</v>
      </c>
      <c r="P874" s="30" t="str">
        <f ca="1">IFERROR(__xludf.DUMMYFUNCTION("""COMPUTED_VALUE"""),"ITUZAINGÓ")</f>
        <v>ITUZAINGÓ</v>
      </c>
      <c r="Q874" s="30" t="str">
        <f ca="1">IFERROR(__xludf.DUMMYFUNCTION("""COMPUTED_VALUE"""),"-27.5899088")</f>
        <v>-27.5899088</v>
      </c>
      <c r="R874" s="30" t="str">
        <f ca="1">IFERROR(__xludf.DUMMYFUNCTION("""COMPUTED_VALUE"""),"-56.6892701")</f>
        <v>-56.6892701</v>
      </c>
      <c r="S874" s="30" t="str">
        <f ca="1">IFERROR(__xludf.DUMMYFUNCTION("""COMPUTED_VALUE"""),"Provincial")</f>
        <v>Provincial</v>
      </c>
      <c r="T874" s="30" t="str">
        <f ca="1">IFERROR(__xludf.DUMMYFUNCTION("""COMPUTED_VALUE"""),"-")</f>
        <v>-</v>
      </c>
    </row>
    <row r="875" spans="1:20" ht="15.75" customHeight="1" x14ac:dyDescent="0.25">
      <c r="A875" s="30" t="str">
        <f ca="1">IFERROR(__xludf.DUMMYFUNCTION("""COMPUTED_VALUE"""),"50180842139509")</f>
        <v>50180842139509</v>
      </c>
      <c r="B875" s="30" t="str">
        <f ca="1">IFERROR(__xludf.DUMMYFUNCTION("""COMPUTED_VALUE"""),"CAPS GENARO LEIVA")</f>
        <v>CAPS GENARO LEIVA</v>
      </c>
      <c r="C875" s="30" t="str">
        <f ca="1">IFERROR(__xludf.DUMMYFUNCTION("""COMPUTED_VALUE"""),"Corrientes")</f>
        <v>Corrientes</v>
      </c>
      <c r="D875" s="30" t="str">
        <f ca="1">IFERROR(__xludf.DUMMYFUNCTION("""COMPUTED_VALUE"""),"18")</f>
        <v>18</v>
      </c>
      <c r="E875" s="30" t="str">
        <f ca="1">IFERROR(__xludf.DUMMYFUNCTION("""COMPUTED_VALUE"""),"si")</f>
        <v>si</v>
      </c>
      <c r="F875" s="29"/>
      <c r="G875" s="29"/>
      <c r="H875" s="30" t="str">
        <f ca="1">IFERROR(__xludf.DUMMYFUNCTION("""COMPUTED_VALUE"""),"activo")</f>
        <v>activo</v>
      </c>
      <c r="I875" s="29"/>
      <c r="J875" s="29"/>
      <c r="K875" s="29"/>
      <c r="L875" s="30" t="str">
        <f ca="1">IFERROR(__xludf.DUMMYFUNCTION("""COMPUTED_VALUE"""),"No")</f>
        <v>No</v>
      </c>
      <c r="M875" s="30" t="str">
        <f ca="1">IFERROR(__xludf.DUMMYFUNCTION("""COMPUTED_VALUE"""),"18084020000")</f>
        <v>18084020000</v>
      </c>
      <c r="N875" s="30" t="str">
        <f ca="1">IFERROR(__xludf.DUMMYFUNCTION("""COMPUTED_VALUE"""),"ITUZAINGO")</f>
        <v>ITUZAINGO</v>
      </c>
      <c r="O875" s="30" t="str">
        <f ca="1">IFERROR(__xludf.DUMMYFUNCTION("""COMPUTED_VALUE"""),"1884")</f>
        <v>1884</v>
      </c>
      <c r="P875" s="30" t="str">
        <f ca="1">IFERROR(__xludf.DUMMYFUNCTION("""COMPUTED_VALUE"""),"ITUZAINGÓ")</f>
        <v>ITUZAINGÓ</v>
      </c>
      <c r="Q875" s="30" t="str">
        <f ca="1">IFERROR(__xludf.DUMMYFUNCTION("""COMPUTED_VALUE"""),"-27.5899088")</f>
        <v>-27.5899088</v>
      </c>
      <c r="R875" s="30" t="str">
        <f ca="1">IFERROR(__xludf.DUMMYFUNCTION("""COMPUTED_VALUE"""),"-56.6892701")</f>
        <v>-56.6892701</v>
      </c>
      <c r="S875" s="30" t="str">
        <f ca="1">IFERROR(__xludf.DUMMYFUNCTION("""COMPUTED_VALUE"""),"Provincial")</f>
        <v>Provincial</v>
      </c>
      <c r="T875" s="30" t="str">
        <f ca="1">IFERROR(__xludf.DUMMYFUNCTION("""COMPUTED_VALUE"""),"-")</f>
        <v>-</v>
      </c>
    </row>
    <row r="876" spans="1:20" ht="15.75" customHeight="1" x14ac:dyDescent="0.25">
      <c r="A876" s="30" t="str">
        <f ca="1">IFERROR(__xludf.DUMMYFUNCTION("""COMPUTED_VALUE"""),"50180912139148")</f>
        <v>50180912139148</v>
      </c>
      <c r="B876" s="30" t="str">
        <f ca="1">IFERROR(__xludf.DUMMYFUNCTION("""COMPUTED_VALUE"""),"CENTRO DE SALUD CRUZ DE LOS MILAGROS")</f>
        <v>CENTRO DE SALUD CRUZ DE LOS MILAGROS</v>
      </c>
      <c r="C876" s="30" t="str">
        <f ca="1">IFERROR(__xludf.DUMMYFUNCTION("""COMPUTED_VALUE"""),"Corrientes")</f>
        <v>Corrientes</v>
      </c>
      <c r="D876" s="30" t="str">
        <f ca="1">IFERROR(__xludf.DUMMYFUNCTION("""COMPUTED_VALUE"""),"18")</f>
        <v>18</v>
      </c>
      <c r="E876" s="30" t="str">
        <f ca="1">IFERROR(__xludf.DUMMYFUNCTION("""COMPUTED_VALUE"""),"")</f>
        <v/>
      </c>
      <c r="F876" s="29"/>
      <c r="G876" s="29"/>
      <c r="H876" s="30" t="str">
        <f ca="1">IFERROR(__xludf.DUMMYFUNCTION("""COMPUTED_VALUE"""),"activo")</f>
        <v>activo</v>
      </c>
      <c r="I876" s="29"/>
      <c r="J876" s="29"/>
      <c r="K876" s="29"/>
      <c r="L876" s="30" t="str">
        <f ca="1">IFERROR(__xludf.DUMMYFUNCTION("""COMPUTED_VALUE"""),"No")</f>
        <v>No</v>
      </c>
      <c r="M876" s="30" t="str">
        <f ca="1">IFERROR(__xludf.DUMMYFUNCTION("""COMPUTED_VALUE"""),"18091010000")</f>
        <v>18091010000</v>
      </c>
      <c r="N876" s="30" t="str">
        <f ca="1">IFERROR(__xludf.DUMMYFUNCTION("""COMPUTED_VALUE"""),"CRUZ DE LOS MILAGROS")</f>
        <v>CRUZ DE LOS MILAGROS</v>
      </c>
      <c r="O876" s="30" t="str">
        <f ca="1">IFERROR(__xludf.DUMMYFUNCTION("""COMPUTED_VALUE"""),"1891")</f>
        <v>1891</v>
      </c>
      <c r="P876" s="30" t="str">
        <f ca="1">IFERROR(__xludf.DUMMYFUNCTION("""COMPUTED_VALUE"""),"LAVALLE")</f>
        <v>LAVALLE</v>
      </c>
      <c r="Q876" s="30" t="str">
        <f ca="1">IFERROR(__xludf.DUMMYFUNCTION("""COMPUTED_VALUE"""),"-28.82542537")</f>
        <v>-28.82542537</v>
      </c>
      <c r="R876" s="30" t="str">
        <f ca="1">IFERROR(__xludf.DUMMYFUNCTION("""COMPUTED_VALUE"""),"-59.01855469")</f>
        <v>-59.01855469</v>
      </c>
      <c r="S876" s="30" t="str">
        <f ca="1">IFERROR(__xludf.DUMMYFUNCTION("""COMPUTED_VALUE"""),"Provincial")</f>
        <v>Provincial</v>
      </c>
      <c r="T876" s="30" t="str">
        <f ca="1">IFERROR(__xludf.DUMMYFUNCTION("""COMPUTED_VALUE"""),"-")</f>
        <v>-</v>
      </c>
    </row>
    <row r="877" spans="1:20" ht="15.75" customHeight="1" x14ac:dyDescent="0.25">
      <c r="A877" s="30" t="str">
        <f ca="1">IFERROR(__xludf.DUMMYFUNCTION("""COMPUTED_VALUE"""),"50181052139153")</f>
        <v>50181052139153</v>
      </c>
      <c r="B877" s="30" t="str">
        <f ca="1">IFERROR(__xludf.DUMMYFUNCTION("""COMPUTED_VALUE"""),"CENTRO DE SALUD FELIPE YOFRE")</f>
        <v>CENTRO DE SALUD FELIPE YOFRE</v>
      </c>
      <c r="C877" s="30" t="str">
        <f ca="1">IFERROR(__xludf.DUMMYFUNCTION("""COMPUTED_VALUE"""),"Corrientes")</f>
        <v>Corrientes</v>
      </c>
      <c r="D877" s="30" t="str">
        <f ca="1">IFERROR(__xludf.DUMMYFUNCTION("""COMPUTED_VALUE"""),"18")</f>
        <v>18</v>
      </c>
      <c r="E877" s="30" t="str">
        <f ca="1">IFERROR(__xludf.DUMMYFUNCTION("""COMPUTED_VALUE"""),"")</f>
        <v/>
      </c>
      <c r="F877" s="29"/>
      <c r="G877" s="29"/>
      <c r="H877" s="30" t="str">
        <f ca="1">IFERROR(__xludf.DUMMYFUNCTION("""COMPUTED_VALUE"""),"activo")</f>
        <v>activo</v>
      </c>
      <c r="I877" s="29"/>
      <c r="J877" s="29"/>
      <c r="K877" s="29"/>
      <c r="L877" s="30" t="str">
        <f ca="1">IFERROR(__xludf.DUMMYFUNCTION("""COMPUTED_VALUE"""),"No")</f>
        <v>No</v>
      </c>
      <c r="M877" s="30" t="str">
        <f ca="1">IFERROR(__xludf.DUMMYFUNCTION("""COMPUTED_VALUE"""),"18105010000")</f>
        <v>18105010000</v>
      </c>
      <c r="N877" s="30" t="str">
        <f ca="1">IFERROR(__xludf.DUMMYFUNCTION("""COMPUTED_VALUE"""),"FELIPE YOFRE")</f>
        <v>FELIPE YOFRE</v>
      </c>
      <c r="O877" s="30" t="str">
        <f ca="1">IFERROR(__xludf.DUMMYFUNCTION("""COMPUTED_VALUE"""),"18105")</f>
        <v>18105</v>
      </c>
      <c r="P877" s="30" t="str">
        <f ca="1">IFERROR(__xludf.DUMMYFUNCTION("""COMPUTED_VALUE"""),"MERCEDES")</f>
        <v>MERCEDES</v>
      </c>
      <c r="Q877" s="30" t="str">
        <f ca="1">IFERROR(__xludf.DUMMYFUNCTION("""COMPUTED_VALUE"""),"-29.1027317")</f>
        <v>-29.1027317</v>
      </c>
      <c r="R877" s="30" t="str">
        <f ca="1">IFERROR(__xludf.DUMMYFUNCTION("""COMPUTED_VALUE"""),"-58.341526")</f>
        <v>-58.341526</v>
      </c>
      <c r="S877" s="30" t="str">
        <f ca="1">IFERROR(__xludf.DUMMYFUNCTION("""COMPUTED_VALUE"""),"Provincial")</f>
        <v>Provincial</v>
      </c>
      <c r="T877" s="30" t="str">
        <f ca="1">IFERROR(__xludf.DUMMYFUNCTION("""COMPUTED_VALUE"""),"-")</f>
        <v>-</v>
      </c>
    </row>
    <row r="878" spans="1:20" ht="15.75" customHeight="1" x14ac:dyDescent="0.25">
      <c r="A878" s="30" t="str">
        <f ca="1">IFERROR(__xludf.DUMMYFUNCTION("""COMPUTED_VALUE"""),"50181052139199")</f>
        <v>50181052139199</v>
      </c>
      <c r="B878" s="30" t="str">
        <f ca="1">IFERROR(__xludf.DUMMYFUNCTION("""COMPUTED_VALUE"""),"DR. OMAR ELIAS")</f>
        <v>DR. OMAR ELIAS</v>
      </c>
      <c r="C878" s="30" t="str">
        <f ca="1">IFERROR(__xludf.DUMMYFUNCTION("""COMPUTED_VALUE"""),"Corrientes")</f>
        <v>Corrientes</v>
      </c>
      <c r="D878" s="30" t="str">
        <f ca="1">IFERROR(__xludf.DUMMYFUNCTION("""COMPUTED_VALUE"""),"18")</f>
        <v>18</v>
      </c>
      <c r="E878" s="30" t="str">
        <f ca="1">IFERROR(__xludf.DUMMYFUNCTION("""COMPUTED_VALUE"""),"")</f>
        <v/>
      </c>
      <c r="F878" s="29"/>
      <c r="G878" s="29"/>
      <c r="H878" s="30" t="str">
        <f ca="1">IFERROR(__xludf.DUMMYFUNCTION("""COMPUTED_VALUE"""),"activo")</f>
        <v>activo</v>
      </c>
      <c r="I878" s="29"/>
      <c r="J878" s="29"/>
      <c r="K878" s="29"/>
      <c r="L878" s="30" t="str">
        <f ca="1">IFERROR(__xludf.DUMMYFUNCTION("""COMPUTED_VALUE"""),"No")</f>
        <v>No</v>
      </c>
      <c r="M878" s="30" t="str">
        <f ca="1">IFERROR(__xludf.DUMMYFUNCTION("""COMPUTED_VALUE"""),"18105030000")</f>
        <v>18105030000</v>
      </c>
      <c r="N878" s="30" t="str">
        <f ca="1">IFERROR(__xludf.DUMMYFUNCTION("""COMPUTED_VALUE"""),"MERCEDES")</f>
        <v>MERCEDES</v>
      </c>
      <c r="O878" s="30" t="str">
        <f ca="1">IFERROR(__xludf.DUMMYFUNCTION("""COMPUTED_VALUE"""),"18105")</f>
        <v>18105</v>
      </c>
      <c r="P878" s="30" t="str">
        <f ca="1">IFERROR(__xludf.DUMMYFUNCTION("""COMPUTED_VALUE"""),"MERCEDES")</f>
        <v>MERCEDES</v>
      </c>
      <c r="Q878" s="30" t="str">
        <f ca="1">IFERROR(__xludf.DUMMYFUNCTION("""COMPUTED_VALUE"""),"-29.1755583")</f>
        <v>-29.1755583</v>
      </c>
      <c r="R878" s="30" t="str">
        <f ca="1">IFERROR(__xludf.DUMMYFUNCTION("""COMPUTED_VALUE"""),"-58.0811491")</f>
        <v>-58.0811491</v>
      </c>
      <c r="S878" s="30" t="str">
        <f ca="1">IFERROR(__xludf.DUMMYFUNCTION("""COMPUTED_VALUE"""),"Provincial")</f>
        <v>Provincial</v>
      </c>
      <c r="T878" s="30" t="str">
        <f ca="1">IFERROR(__xludf.DUMMYFUNCTION("""COMPUTED_VALUE"""),"-")</f>
        <v>-</v>
      </c>
    </row>
    <row r="879" spans="1:20" ht="15.75" customHeight="1" x14ac:dyDescent="0.25">
      <c r="A879" s="30" t="str">
        <f ca="1">IFERROR(__xludf.DUMMYFUNCTION("""COMPUTED_VALUE"""),"50181053039085")</f>
        <v>50181053039085</v>
      </c>
      <c r="B879" s="30" t="str">
        <f ca="1">IFERROR(__xludf.DUMMYFUNCTION("""COMPUTED_VALUE"""),"ALFREDO TRESENS")</f>
        <v>ALFREDO TRESENS</v>
      </c>
      <c r="C879" s="30" t="str">
        <f ca="1">IFERROR(__xludf.DUMMYFUNCTION("""COMPUTED_VALUE"""),"Corrientes")</f>
        <v>Corrientes</v>
      </c>
      <c r="D879" s="30" t="str">
        <f ca="1">IFERROR(__xludf.DUMMYFUNCTION("""COMPUTED_VALUE"""),"18")</f>
        <v>18</v>
      </c>
      <c r="E879" s="30" t="str">
        <f ca="1">IFERROR(__xludf.DUMMYFUNCTION("""COMPUTED_VALUE"""),"")</f>
        <v/>
      </c>
      <c r="F879" s="29"/>
      <c r="G879" s="29"/>
      <c r="H879" s="30" t="str">
        <f ca="1">IFERROR(__xludf.DUMMYFUNCTION("""COMPUTED_VALUE"""),"activo")</f>
        <v>activo</v>
      </c>
      <c r="I879" s="29"/>
      <c r="J879" s="29"/>
      <c r="K879" s="29"/>
      <c r="L879" s="30" t="str">
        <f ca="1">IFERROR(__xludf.DUMMYFUNCTION("""COMPUTED_VALUE"""),"No")</f>
        <v>No</v>
      </c>
      <c r="M879" s="30" t="str">
        <f ca="1">IFERROR(__xludf.DUMMYFUNCTION("""COMPUTED_VALUE"""),"18105030000")</f>
        <v>18105030000</v>
      </c>
      <c r="N879" s="30" t="str">
        <f ca="1">IFERROR(__xludf.DUMMYFUNCTION("""COMPUTED_VALUE"""),"MERCEDES")</f>
        <v>MERCEDES</v>
      </c>
      <c r="O879" s="30" t="str">
        <f ca="1">IFERROR(__xludf.DUMMYFUNCTION("""COMPUTED_VALUE"""),"18105")</f>
        <v>18105</v>
      </c>
      <c r="P879" s="30" t="str">
        <f ca="1">IFERROR(__xludf.DUMMYFUNCTION("""COMPUTED_VALUE"""),"MERCEDES")</f>
        <v>MERCEDES</v>
      </c>
      <c r="Q879" s="30" t="str">
        <f ca="1">IFERROR(__xludf.DUMMYFUNCTION("""COMPUTED_VALUE"""),"-29.1826935")</f>
        <v>-29.1826935</v>
      </c>
      <c r="R879" s="30" t="str">
        <f ca="1">IFERROR(__xludf.DUMMYFUNCTION("""COMPUTED_VALUE"""),"-58.0789719")</f>
        <v>-58.0789719</v>
      </c>
      <c r="S879" s="30" t="str">
        <f ca="1">IFERROR(__xludf.DUMMYFUNCTION("""COMPUTED_VALUE"""),"Otros")</f>
        <v>Otros</v>
      </c>
      <c r="T879" s="30" t="str">
        <f ca="1">IFERROR(__xludf.DUMMYFUNCTION("""COMPUTED_VALUE"""),"-")</f>
        <v>-</v>
      </c>
    </row>
    <row r="880" spans="1:20" ht="15.75" customHeight="1" x14ac:dyDescent="0.25">
      <c r="A880" s="30" t="str">
        <f ca="1">IFERROR(__xludf.DUMMYFUNCTION("""COMPUTED_VALUE"""),"50181052239087")</f>
        <v>50181052239087</v>
      </c>
      <c r="B880" s="30" t="str">
        <f ca="1">IFERROR(__xludf.DUMMYFUNCTION("""COMPUTED_VALUE"""),"ANFITEATRO")</f>
        <v>ANFITEATRO</v>
      </c>
      <c r="C880" s="30" t="str">
        <f ca="1">IFERROR(__xludf.DUMMYFUNCTION("""COMPUTED_VALUE"""),"Corrientes")</f>
        <v>Corrientes</v>
      </c>
      <c r="D880" s="30" t="str">
        <f ca="1">IFERROR(__xludf.DUMMYFUNCTION("""COMPUTED_VALUE"""),"18")</f>
        <v>18</v>
      </c>
      <c r="E880" s="30" t="str">
        <f ca="1">IFERROR(__xludf.DUMMYFUNCTION("""COMPUTED_VALUE"""),"")</f>
        <v/>
      </c>
      <c r="F880" s="29"/>
      <c r="G880" s="29"/>
      <c r="H880" s="30" t="str">
        <f ca="1">IFERROR(__xludf.DUMMYFUNCTION("""COMPUTED_VALUE"""),"activo")</f>
        <v>activo</v>
      </c>
      <c r="I880" s="29"/>
      <c r="J880" s="29"/>
      <c r="K880" s="29"/>
      <c r="L880" s="30" t="str">
        <f ca="1">IFERROR(__xludf.DUMMYFUNCTION("""COMPUTED_VALUE"""),"No")</f>
        <v>No</v>
      </c>
      <c r="M880" s="30" t="str">
        <f ca="1">IFERROR(__xludf.DUMMYFUNCTION("""COMPUTED_VALUE"""),"18105030000")</f>
        <v>18105030000</v>
      </c>
      <c r="N880" s="30" t="str">
        <f ca="1">IFERROR(__xludf.DUMMYFUNCTION("""COMPUTED_VALUE"""),"MERCEDES")</f>
        <v>MERCEDES</v>
      </c>
      <c r="O880" s="30" t="str">
        <f ca="1">IFERROR(__xludf.DUMMYFUNCTION("""COMPUTED_VALUE"""),"18105")</f>
        <v>18105</v>
      </c>
      <c r="P880" s="30" t="str">
        <f ca="1">IFERROR(__xludf.DUMMYFUNCTION("""COMPUTED_VALUE"""),"MERCEDES")</f>
        <v>MERCEDES</v>
      </c>
      <c r="Q880" s="30" t="str">
        <f ca="1">IFERROR(__xludf.DUMMYFUNCTION("""COMPUTED_VALUE"""),"-29.1826935")</f>
        <v>-29.1826935</v>
      </c>
      <c r="R880" s="30" t="str">
        <f ca="1">IFERROR(__xludf.DUMMYFUNCTION("""COMPUTED_VALUE"""),"-58.0789719")</f>
        <v>-58.0789719</v>
      </c>
      <c r="S880" s="30" t="str">
        <f ca="1">IFERROR(__xludf.DUMMYFUNCTION("""COMPUTED_VALUE"""),"Municipal")</f>
        <v>Municipal</v>
      </c>
      <c r="T880" s="29"/>
    </row>
    <row r="881" spans="1:20" ht="15.75" customHeight="1" x14ac:dyDescent="0.25">
      <c r="A881" s="30" t="str">
        <f ca="1">IFERROR(__xludf.DUMMYFUNCTION("""COMPUTED_VALUE"""),"50181052239090")</f>
        <v>50181052239090</v>
      </c>
      <c r="B881" s="30" t="str">
        <f ca="1">IFERROR(__xludf.DUMMYFUNCTION("""COMPUTED_VALUE"""),"AXEL VERON")</f>
        <v>AXEL VERON</v>
      </c>
      <c r="C881" s="30" t="str">
        <f ca="1">IFERROR(__xludf.DUMMYFUNCTION("""COMPUTED_VALUE"""),"Corrientes")</f>
        <v>Corrientes</v>
      </c>
      <c r="D881" s="30" t="str">
        <f ca="1">IFERROR(__xludf.DUMMYFUNCTION("""COMPUTED_VALUE"""),"18")</f>
        <v>18</v>
      </c>
      <c r="E881" s="30" t="str">
        <f ca="1">IFERROR(__xludf.DUMMYFUNCTION("""COMPUTED_VALUE"""),"")</f>
        <v/>
      </c>
      <c r="F881" s="29"/>
      <c r="G881" s="29"/>
      <c r="H881" s="30" t="str">
        <f ca="1">IFERROR(__xludf.DUMMYFUNCTION("""COMPUTED_VALUE"""),"activo")</f>
        <v>activo</v>
      </c>
      <c r="I881" s="29"/>
      <c r="J881" s="29"/>
      <c r="K881" s="29"/>
      <c r="L881" s="30" t="str">
        <f ca="1">IFERROR(__xludf.DUMMYFUNCTION("""COMPUTED_VALUE"""),"No")</f>
        <v>No</v>
      </c>
      <c r="M881" s="30" t="str">
        <f ca="1">IFERROR(__xludf.DUMMYFUNCTION("""COMPUTED_VALUE"""),"18105030000")</f>
        <v>18105030000</v>
      </c>
      <c r="N881" s="30" t="str">
        <f ca="1">IFERROR(__xludf.DUMMYFUNCTION("""COMPUTED_VALUE"""),"MERCEDES")</f>
        <v>MERCEDES</v>
      </c>
      <c r="O881" s="30" t="str">
        <f ca="1">IFERROR(__xludf.DUMMYFUNCTION("""COMPUTED_VALUE"""),"18105")</f>
        <v>18105</v>
      </c>
      <c r="P881" s="30" t="str">
        <f ca="1">IFERROR(__xludf.DUMMYFUNCTION("""COMPUTED_VALUE"""),"MERCEDES")</f>
        <v>MERCEDES</v>
      </c>
      <c r="Q881" s="30" t="str">
        <f ca="1">IFERROR(__xludf.DUMMYFUNCTION("""COMPUTED_VALUE"""),"-29.1826935")</f>
        <v>-29.1826935</v>
      </c>
      <c r="R881" s="30" t="str">
        <f ca="1">IFERROR(__xludf.DUMMYFUNCTION("""COMPUTED_VALUE"""),"-58.0789719")</f>
        <v>-58.0789719</v>
      </c>
      <c r="S881" s="30" t="str">
        <f ca="1">IFERROR(__xludf.DUMMYFUNCTION("""COMPUTED_VALUE"""),"Municipal")</f>
        <v>Municipal</v>
      </c>
      <c r="T881" s="29"/>
    </row>
    <row r="882" spans="1:20" ht="15.75" customHeight="1" x14ac:dyDescent="0.25">
      <c r="A882" s="30" t="str">
        <f ca="1">IFERROR(__xludf.DUMMYFUNCTION("""COMPUTED_VALUE"""),"50181052239129")</f>
        <v>50181052239129</v>
      </c>
      <c r="B882" s="30" t="str">
        <f ca="1">IFERROR(__xludf.DUMMYFUNCTION("""COMPUTED_VALUE"""),"CAPS CASTELLO")</f>
        <v>CAPS CASTELLO</v>
      </c>
      <c r="C882" s="30" t="str">
        <f ca="1">IFERROR(__xludf.DUMMYFUNCTION("""COMPUTED_VALUE"""),"Corrientes")</f>
        <v>Corrientes</v>
      </c>
      <c r="D882" s="30" t="str">
        <f ca="1">IFERROR(__xludf.DUMMYFUNCTION("""COMPUTED_VALUE"""),"18")</f>
        <v>18</v>
      </c>
      <c r="E882" s="30" t="str">
        <f ca="1">IFERROR(__xludf.DUMMYFUNCTION("""COMPUTED_VALUE"""),"")</f>
        <v/>
      </c>
      <c r="F882" s="29"/>
      <c r="G882" s="30" t="str">
        <f ca="1">IFERROR(__xludf.DUMMYFUNCTION("""COMPUTED_VALUE"""),"10180912139034")</f>
        <v>10180912139034</v>
      </c>
      <c r="H882" s="30" t="str">
        <f ca="1">IFERROR(__xludf.DUMMYFUNCTION("""COMPUTED_VALUE"""),"inactivo")</f>
        <v>inactivo</v>
      </c>
      <c r="I882" s="29"/>
      <c r="J882" s="29"/>
      <c r="K882" s="29"/>
      <c r="L882" s="30" t="str">
        <f ca="1">IFERROR(__xludf.DUMMYFUNCTION("""COMPUTED_VALUE"""),"No")</f>
        <v>No</v>
      </c>
      <c r="M882" s="30" t="str">
        <f ca="1">IFERROR(__xludf.DUMMYFUNCTION("""COMPUTED_VALUE"""),"18105030000")</f>
        <v>18105030000</v>
      </c>
      <c r="N882" s="30" t="str">
        <f ca="1">IFERROR(__xludf.DUMMYFUNCTION("""COMPUTED_VALUE"""),"MERCEDES")</f>
        <v>MERCEDES</v>
      </c>
      <c r="O882" s="30" t="str">
        <f ca="1">IFERROR(__xludf.DUMMYFUNCTION("""COMPUTED_VALUE"""),"18105")</f>
        <v>18105</v>
      </c>
      <c r="P882" s="30" t="str">
        <f ca="1">IFERROR(__xludf.DUMMYFUNCTION("""COMPUTED_VALUE"""),"MERCEDES")</f>
        <v>MERCEDES</v>
      </c>
      <c r="Q882" s="30" t="str">
        <f ca="1">IFERROR(__xludf.DUMMYFUNCTION("""COMPUTED_VALUE"""),"-29.1826935")</f>
        <v>-29.1826935</v>
      </c>
      <c r="R882" s="30" t="str">
        <f ca="1">IFERROR(__xludf.DUMMYFUNCTION("""COMPUTED_VALUE"""),"-58.0789719")</f>
        <v>-58.0789719</v>
      </c>
      <c r="S882" s="30" t="str">
        <f ca="1">IFERROR(__xludf.DUMMYFUNCTION("""COMPUTED_VALUE"""),"Municipal")</f>
        <v>Municipal</v>
      </c>
      <c r="T882" s="29"/>
    </row>
    <row r="883" spans="1:20" ht="15.75" customHeight="1" x14ac:dyDescent="0.25">
      <c r="A883" s="30" t="str">
        <f ca="1">IFERROR(__xludf.DUMMYFUNCTION("""COMPUTED_VALUE"""),"10180912139034")</f>
        <v>10180912139034</v>
      </c>
      <c r="B883" s="30" t="str">
        <f ca="1">IFERROR(__xludf.DUMMYFUNCTION("""COMPUTED_VALUE"""),"HOSPITAL DR. JUAN RAMON GOMEZ")</f>
        <v>HOSPITAL DR. JUAN RAMON GOMEZ</v>
      </c>
      <c r="C883" s="30" t="str">
        <f ca="1">IFERROR(__xludf.DUMMYFUNCTION("""COMPUTED_VALUE"""),"Corrientes")</f>
        <v>Corrientes</v>
      </c>
      <c r="D883" s="30" t="str">
        <f ca="1">IFERROR(__xludf.DUMMYFUNCTION("""COMPUTED_VALUE"""),"18")</f>
        <v>18</v>
      </c>
      <c r="E883" s="30" t="str">
        <f ca="1">IFERROR(__xludf.DUMMYFUNCTION("""COMPUTED_VALUE"""),"")</f>
        <v/>
      </c>
      <c r="F883" s="30" t="str">
        <f ca="1">IFERROR(__xludf.DUMMYFUNCTION("""COMPUTED_VALUE"""),"50181052239129")</f>
        <v>50181052239129</v>
      </c>
      <c r="G883" s="29"/>
      <c r="H883" s="30" t="str">
        <f ca="1">IFERROR(__xludf.DUMMYFUNCTION("""COMPUTED_VALUE"""),"activo")</f>
        <v>activo</v>
      </c>
      <c r="I883" s="29"/>
      <c r="J883" s="29"/>
      <c r="K883" s="29"/>
      <c r="L883" s="30" t="str">
        <f ca="1">IFERROR(__xludf.DUMMYFUNCTION("""COMPUTED_VALUE"""),"No")</f>
        <v>No</v>
      </c>
      <c r="M883" s="30" t="str">
        <f ca="1">IFERROR(__xludf.DUMMYFUNCTION("""COMPUTED_VALUE"""),"18091040000")</f>
        <v>18091040000</v>
      </c>
      <c r="N883" s="30" t="str">
        <f ca="1">IFERROR(__xludf.DUMMYFUNCTION("""COMPUTED_VALUE"""),"SANTA LUCIA")</f>
        <v>SANTA LUCIA</v>
      </c>
      <c r="O883" s="30" t="str">
        <f ca="1">IFERROR(__xludf.DUMMYFUNCTION("""COMPUTED_VALUE"""),"1891")</f>
        <v>1891</v>
      </c>
      <c r="P883" s="30" t="str">
        <f ca="1">IFERROR(__xludf.DUMMYFUNCTION("""COMPUTED_VALUE"""),"LAVALLE")</f>
        <v>LAVALLE</v>
      </c>
      <c r="Q883" s="30" t="str">
        <f ca="1">IFERROR(__xludf.DUMMYFUNCTION("""COMPUTED_VALUE"""),"-28.990673")</f>
        <v>-28.990673</v>
      </c>
      <c r="R883" s="30" t="str">
        <f ca="1">IFERROR(__xludf.DUMMYFUNCTION("""COMPUTED_VALUE"""),"-59.103502")</f>
        <v>-59.103502</v>
      </c>
      <c r="S883" s="30" t="str">
        <f ca="1">IFERROR(__xludf.DUMMYFUNCTION("""COMPUTED_VALUE"""),"Provincial")</f>
        <v>Provincial</v>
      </c>
      <c r="T883" s="30" t="str">
        <f ca="1">IFERROR(__xludf.DUMMYFUNCTION("""COMPUTED_VALUE"""),"-")</f>
        <v>-</v>
      </c>
    </row>
    <row r="884" spans="1:20" ht="15.75" customHeight="1" x14ac:dyDescent="0.25">
      <c r="A884" s="30" t="str">
        <f ca="1">IFERROR(__xludf.DUMMYFUNCTION("""COMPUTED_VALUE"""),"50181052239192")</f>
        <v>50181052239192</v>
      </c>
      <c r="B884" s="30" t="str">
        <f ca="1">IFERROR(__xludf.DUMMYFUNCTION("""COMPUTED_VALUE"""),"COTY YUNES")</f>
        <v>COTY YUNES</v>
      </c>
      <c r="C884" s="30" t="str">
        <f ca="1">IFERROR(__xludf.DUMMYFUNCTION("""COMPUTED_VALUE"""),"Corrientes")</f>
        <v>Corrientes</v>
      </c>
      <c r="D884" s="30" t="str">
        <f ca="1">IFERROR(__xludf.DUMMYFUNCTION("""COMPUTED_VALUE"""),"18")</f>
        <v>18</v>
      </c>
      <c r="E884" s="30" t="str">
        <f ca="1">IFERROR(__xludf.DUMMYFUNCTION("""COMPUTED_VALUE"""),"")</f>
        <v/>
      </c>
      <c r="F884" s="29"/>
      <c r="G884" s="29"/>
      <c r="H884" s="30" t="str">
        <f ca="1">IFERROR(__xludf.DUMMYFUNCTION("""COMPUTED_VALUE"""),"activo")</f>
        <v>activo</v>
      </c>
      <c r="I884" s="29"/>
      <c r="J884" s="29"/>
      <c r="K884" s="29"/>
      <c r="L884" s="30" t="str">
        <f ca="1">IFERROR(__xludf.DUMMYFUNCTION("""COMPUTED_VALUE"""),"No")</f>
        <v>No</v>
      </c>
      <c r="M884" s="30" t="str">
        <f ca="1">IFERROR(__xludf.DUMMYFUNCTION("""COMPUTED_VALUE"""),"18105030000")</f>
        <v>18105030000</v>
      </c>
      <c r="N884" s="30" t="str">
        <f ca="1">IFERROR(__xludf.DUMMYFUNCTION("""COMPUTED_VALUE"""),"MERCEDES")</f>
        <v>MERCEDES</v>
      </c>
      <c r="O884" s="30" t="str">
        <f ca="1">IFERROR(__xludf.DUMMYFUNCTION("""COMPUTED_VALUE"""),"18105")</f>
        <v>18105</v>
      </c>
      <c r="P884" s="30" t="str">
        <f ca="1">IFERROR(__xludf.DUMMYFUNCTION("""COMPUTED_VALUE"""),"MERCEDES")</f>
        <v>MERCEDES</v>
      </c>
      <c r="Q884" s="30" t="str">
        <f ca="1">IFERROR(__xludf.DUMMYFUNCTION("""COMPUTED_VALUE"""),"-29.1826935")</f>
        <v>-29.1826935</v>
      </c>
      <c r="R884" s="30" t="str">
        <f ca="1">IFERROR(__xludf.DUMMYFUNCTION("""COMPUTED_VALUE"""),"-58.0789719")</f>
        <v>-58.0789719</v>
      </c>
      <c r="S884" s="30" t="str">
        <f ca="1">IFERROR(__xludf.DUMMYFUNCTION("""COMPUTED_VALUE"""),"Municipal")</f>
        <v>Municipal</v>
      </c>
      <c r="T884" s="29"/>
    </row>
    <row r="885" spans="1:20" ht="15.75" customHeight="1" x14ac:dyDescent="0.25">
      <c r="A885" s="30" t="str">
        <f ca="1">IFERROR(__xludf.DUMMYFUNCTION("""COMPUTED_VALUE"""),"50181052239444")</f>
        <v>50181052239444</v>
      </c>
      <c r="B885" s="30" t="str">
        <f ca="1">IFERROR(__xludf.DUMMYFUNCTION("""COMPUTED_VALUE"""),"SOCIEDAD RURAL")</f>
        <v>SOCIEDAD RURAL</v>
      </c>
      <c r="C885" s="30" t="str">
        <f ca="1">IFERROR(__xludf.DUMMYFUNCTION("""COMPUTED_VALUE"""),"Corrientes")</f>
        <v>Corrientes</v>
      </c>
      <c r="D885" s="30" t="str">
        <f ca="1">IFERROR(__xludf.DUMMYFUNCTION("""COMPUTED_VALUE"""),"18")</f>
        <v>18</v>
      </c>
      <c r="E885" s="30" t="str">
        <f ca="1">IFERROR(__xludf.DUMMYFUNCTION("""COMPUTED_VALUE"""),"")</f>
        <v/>
      </c>
      <c r="F885" s="29"/>
      <c r="G885" s="29"/>
      <c r="H885" s="30" t="str">
        <f ca="1">IFERROR(__xludf.DUMMYFUNCTION("""COMPUTED_VALUE"""),"activo")</f>
        <v>activo</v>
      </c>
      <c r="I885" s="29"/>
      <c r="J885" s="29"/>
      <c r="K885" s="29"/>
      <c r="L885" s="30" t="str">
        <f ca="1">IFERROR(__xludf.DUMMYFUNCTION("""COMPUTED_VALUE"""),"No")</f>
        <v>No</v>
      </c>
      <c r="M885" s="30" t="str">
        <f ca="1">IFERROR(__xludf.DUMMYFUNCTION("""COMPUTED_VALUE"""),"18105030000")</f>
        <v>18105030000</v>
      </c>
      <c r="N885" s="30" t="str">
        <f ca="1">IFERROR(__xludf.DUMMYFUNCTION("""COMPUTED_VALUE"""),"MERCEDES")</f>
        <v>MERCEDES</v>
      </c>
      <c r="O885" s="30" t="str">
        <f ca="1">IFERROR(__xludf.DUMMYFUNCTION("""COMPUTED_VALUE"""),"18105")</f>
        <v>18105</v>
      </c>
      <c r="P885" s="30" t="str">
        <f ca="1">IFERROR(__xludf.DUMMYFUNCTION("""COMPUTED_VALUE"""),"MERCEDES")</f>
        <v>MERCEDES</v>
      </c>
      <c r="Q885" s="30" t="str">
        <f ca="1">IFERROR(__xludf.DUMMYFUNCTION("""COMPUTED_VALUE"""),"-29.1826935")</f>
        <v>-29.1826935</v>
      </c>
      <c r="R885" s="30" t="str">
        <f ca="1">IFERROR(__xludf.DUMMYFUNCTION("""COMPUTED_VALUE"""),"-58.0789719")</f>
        <v>-58.0789719</v>
      </c>
      <c r="S885" s="30" t="str">
        <f ca="1">IFERROR(__xludf.DUMMYFUNCTION("""COMPUTED_VALUE"""),"Municipal")</f>
        <v>Municipal</v>
      </c>
      <c r="T885" s="29"/>
    </row>
    <row r="886" spans="1:20" ht="15.75" customHeight="1" x14ac:dyDescent="0.25">
      <c r="A886" s="30" t="str">
        <f ca="1">IFERROR(__xludf.DUMMYFUNCTION("""COMPUTED_VALUE"""),"50181122139096")</f>
        <v>50181122139096</v>
      </c>
      <c r="B886" s="30" t="str">
        <f ca="1">IFERROR(__xludf.DUMMYFUNCTION("""COMPUTED_VALUE"""),"CAPS BELGRANO")</f>
        <v>CAPS BELGRANO</v>
      </c>
      <c r="C886" s="30" t="str">
        <f ca="1">IFERROR(__xludf.DUMMYFUNCTION("""COMPUTED_VALUE"""),"Corrientes")</f>
        <v>Corrientes</v>
      </c>
      <c r="D886" s="30" t="str">
        <f ca="1">IFERROR(__xludf.DUMMYFUNCTION("""COMPUTED_VALUE"""),"18")</f>
        <v>18</v>
      </c>
      <c r="E886" s="30" t="str">
        <f ca="1">IFERROR(__xludf.DUMMYFUNCTION("""COMPUTED_VALUE"""),"")</f>
        <v/>
      </c>
      <c r="F886" s="29"/>
      <c r="G886" s="29"/>
      <c r="H886" s="30" t="str">
        <f ca="1">IFERROR(__xludf.DUMMYFUNCTION("""COMPUTED_VALUE"""),"activo")</f>
        <v>activo</v>
      </c>
      <c r="I886" s="29"/>
      <c r="J886" s="29"/>
      <c r="K886" s="29"/>
      <c r="L886" s="30" t="str">
        <f ca="1">IFERROR(__xludf.DUMMYFUNCTION("""COMPUTED_VALUE"""),"No")</f>
        <v>No</v>
      </c>
      <c r="M886" s="30" t="str">
        <f ca="1">IFERROR(__xludf.DUMMYFUNCTION("""COMPUTED_VALUE"""),"18112050000")</f>
        <v>18112050000</v>
      </c>
      <c r="N886" s="30" t="str">
        <f ca="1">IFERROR(__xludf.DUMMYFUNCTION("""COMPUTED_VALUE"""),"MONTE CASEROS")</f>
        <v>MONTE CASEROS</v>
      </c>
      <c r="O886" s="30" t="str">
        <f ca="1">IFERROR(__xludf.DUMMYFUNCTION("""COMPUTED_VALUE"""),"18112")</f>
        <v>18112</v>
      </c>
      <c r="P886" s="30" t="str">
        <f ca="1">IFERROR(__xludf.DUMMYFUNCTION("""COMPUTED_VALUE"""),"MONTE CASEROS")</f>
        <v>MONTE CASEROS</v>
      </c>
      <c r="Q886" s="30" t="str">
        <f ca="1">IFERROR(__xludf.DUMMYFUNCTION("""COMPUTED_VALUE"""),"-30.2451285")</f>
        <v>-30.2451285</v>
      </c>
      <c r="R886" s="30" t="str">
        <f ca="1">IFERROR(__xludf.DUMMYFUNCTION("""COMPUTED_VALUE"""),"-57.68062592")</f>
        <v>-57.68062592</v>
      </c>
      <c r="S886" s="30" t="str">
        <f ca="1">IFERROR(__xludf.DUMMYFUNCTION("""COMPUTED_VALUE"""),"Provincial")</f>
        <v>Provincial</v>
      </c>
      <c r="T886" s="30" t="str">
        <f ca="1">IFERROR(__xludf.DUMMYFUNCTION("""COMPUTED_VALUE"""),"-")</f>
        <v>-</v>
      </c>
    </row>
    <row r="887" spans="1:20" ht="15.75" customHeight="1" x14ac:dyDescent="0.25">
      <c r="A887" s="30" t="str">
        <f ca="1">IFERROR(__xludf.DUMMYFUNCTION("""COMPUTED_VALUE"""),"50181122139196")</f>
        <v>50181122139196</v>
      </c>
      <c r="B887" s="30" t="str">
        <f ca="1">IFERROR(__xludf.DUMMYFUNCTION("""COMPUTED_VALUE"""),"DON MIGUEL ROSBACO")</f>
        <v>DON MIGUEL ROSBACO</v>
      </c>
      <c r="C887" s="30" t="str">
        <f ca="1">IFERROR(__xludf.DUMMYFUNCTION("""COMPUTED_VALUE"""),"Corrientes")</f>
        <v>Corrientes</v>
      </c>
      <c r="D887" s="30" t="str">
        <f ca="1">IFERROR(__xludf.DUMMYFUNCTION("""COMPUTED_VALUE"""),"18")</f>
        <v>18</v>
      </c>
      <c r="E887" s="30" t="str">
        <f ca="1">IFERROR(__xludf.DUMMYFUNCTION("""COMPUTED_VALUE"""),"")</f>
        <v/>
      </c>
      <c r="F887" s="29"/>
      <c r="G887" s="29"/>
      <c r="H887" s="30" t="str">
        <f ca="1">IFERROR(__xludf.DUMMYFUNCTION("""COMPUTED_VALUE"""),"activo")</f>
        <v>activo</v>
      </c>
      <c r="I887" s="29"/>
      <c r="J887" s="29"/>
      <c r="K887" s="29"/>
      <c r="L887" s="30" t="str">
        <f ca="1">IFERROR(__xludf.DUMMYFUNCTION("""COMPUTED_VALUE"""),"No")</f>
        <v>No</v>
      </c>
      <c r="M887" s="30" t="str">
        <f ca="1">IFERROR(__xludf.DUMMYFUNCTION("""COMPUTED_VALUE"""),"18112050000")</f>
        <v>18112050000</v>
      </c>
      <c r="N887" s="30" t="str">
        <f ca="1">IFERROR(__xludf.DUMMYFUNCTION("""COMPUTED_VALUE"""),"MONTE CASEROS")</f>
        <v>MONTE CASEROS</v>
      </c>
      <c r="O887" s="30" t="str">
        <f ca="1">IFERROR(__xludf.DUMMYFUNCTION("""COMPUTED_VALUE"""),"18112")</f>
        <v>18112</v>
      </c>
      <c r="P887" s="30" t="str">
        <f ca="1">IFERROR(__xludf.DUMMYFUNCTION("""COMPUTED_VALUE"""),"MONTE CASEROS")</f>
        <v>MONTE CASEROS</v>
      </c>
      <c r="Q887" s="30" t="str">
        <f ca="1">IFERROR(__xludf.DUMMYFUNCTION("""COMPUTED_VALUE"""),"-30.2557076")</f>
        <v>-30.2557076</v>
      </c>
      <c r="R887" s="30" t="str">
        <f ca="1">IFERROR(__xludf.DUMMYFUNCTION("""COMPUTED_VALUE"""),"-57.6493048")</f>
        <v>-57.6493048</v>
      </c>
      <c r="S887" s="30" t="str">
        <f ca="1">IFERROR(__xludf.DUMMYFUNCTION("""COMPUTED_VALUE"""),"Provincial")</f>
        <v>Provincial</v>
      </c>
      <c r="T887" s="30" t="str">
        <f ca="1">IFERROR(__xludf.DUMMYFUNCTION("""COMPUTED_VALUE"""),"-")</f>
        <v>-</v>
      </c>
    </row>
    <row r="888" spans="1:20" ht="15.75" customHeight="1" x14ac:dyDescent="0.25">
      <c r="A888" s="30" t="str">
        <f ca="1">IFERROR(__xludf.DUMMYFUNCTION("""COMPUTED_VALUE"""),"50181122139201")</f>
        <v>50181122139201</v>
      </c>
      <c r="B888" s="30" t="str">
        <f ca="1">IFERROR(__xludf.DUMMYFUNCTION("""COMPUTED_VALUE"""),"DR. RAMON CARRILLO")</f>
        <v>DR. RAMON CARRILLO</v>
      </c>
      <c r="C888" s="30" t="str">
        <f ca="1">IFERROR(__xludf.DUMMYFUNCTION("""COMPUTED_VALUE"""),"Corrientes")</f>
        <v>Corrientes</v>
      </c>
      <c r="D888" s="30" t="str">
        <f ca="1">IFERROR(__xludf.DUMMYFUNCTION("""COMPUTED_VALUE"""),"18")</f>
        <v>18</v>
      </c>
      <c r="E888" s="30" t="str">
        <f ca="1">IFERROR(__xludf.DUMMYFUNCTION("""COMPUTED_VALUE"""),"")</f>
        <v/>
      </c>
      <c r="F888" s="29"/>
      <c r="G888" s="29"/>
      <c r="H888" s="30" t="str">
        <f ca="1">IFERROR(__xludf.DUMMYFUNCTION("""COMPUTED_VALUE"""),"activo")</f>
        <v>activo</v>
      </c>
      <c r="I888" s="29"/>
      <c r="J888" s="29"/>
      <c r="K888" s="29"/>
      <c r="L888" s="30" t="str">
        <f ca="1">IFERROR(__xludf.DUMMYFUNCTION("""COMPUTED_VALUE"""),"No")</f>
        <v>No</v>
      </c>
      <c r="M888" s="30" t="str">
        <f ca="1">IFERROR(__xludf.DUMMYFUNCTION("""COMPUTED_VALUE"""),"18112050000")</f>
        <v>18112050000</v>
      </c>
      <c r="N888" s="30" t="str">
        <f ca="1">IFERROR(__xludf.DUMMYFUNCTION("""COMPUTED_VALUE"""),"MONTE CASEROS")</f>
        <v>MONTE CASEROS</v>
      </c>
      <c r="O888" s="30" t="str">
        <f ca="1">IFERROR(__xludf.DUMMYFUNCTION("""COMPUTED_VALUE"""),"18112")</f>
        <v>18112</v>
      </c>
      <c r="P888" s="30" t="str">
        <f ca="1">IFERROR(__xludf.DUMMYFUNCTION("""COMPUTED_VALUE"""),"MONTE CASEROS")</f>
        <v>MONTE CASEROS</v>
      </c>
      <c r="Q888" s="30" t="str">
        <f ca="1">IFERROR(__xludf.DUMMYFUNCTION("""COMPUTED_VALUE"""),"-30.256745")</f>
        <v>-30.256745</v>
      </c>
      <c r="R888" s="30" t="str">
        <f ca="1">IFERROR(__xludf.DUMMYFUNCTION("""COMPUTED_VALUE"""),"-57.653799")</f>
        <v>-57.653799</v>
      </c>
      <c r="S888" s="30" t="str">
        <f ca="1">IFERROR(__xludf.DUMMYFUNCTION("""COMPUTED_VALUE"""),"Provincial")</f>
        <v>Provincial</v>
      </c>
      <c r="T888" s="30" t="str">
        <f ca="1">IFERROR(__xludf.DUMMYFUNCTION("""COMPUTED_VALUE"""),"-")</f>
        <v>-</v>
      </c>
    </row>
    <row r="889" spans="1:20" ht="15.75" customHeight="1" x14ac:dyDescent="0.25">
      <c r="A889" s="30" t="str">
        <f ca="1">IFERROR(__xludf.DUMMYFUNCTION("""COMPUTED_VALUE"""),"50181122139205")</f>
        <v>50181122139205</v>
      </c>
      <c r="B889" s="30" t="str">
        <f ca="1">IFERROR(__xludf.DUMMYFUNCTION("""COMPUTED_VALUE"""),"ESTACION SANITARIA DE JUAN PUJOL")</f>
        <v>ESTACION SANITARIA DE JUAN PUJOL</v>
      </c>
      <c r="C889" s="30" t="str">
        <f ca="1">IFERROR(__xludf.DUMMYFUNCTION("""COMPUTED_VALUE"""),"Corrientes")</f>
        <v>Corrientes</v>
      </c>
      <c r="D889" s="30" t="str">
        <f ca="1">IFERROR(__xludf.DUMMYFUNCTION("""COMPUTED_VALUE"""),"18")</f>
        <v>18</v>
      </c>
      <c r="E889" s="30" t="str">
        <f ca="1">IFERROR(__xludf.DUMMYFUNCTION("""COMPUTED_VALUE"""),"")</f>
        <v/>
      </c>
      <c r="F889" s="29"/>
      <c r="G889" s="29"/>
      <c r="H889" s="30" t="str">
        <f ca="1">IFERROR(__xludf.DUMMYFUNCTION("""COMPUTED_VALUE"""),"activo")</f>
        <v>activo</v>
      </c>
      <c r="I889" s="29"/>
      <c r="J889" s="29"/>
      <c r="K889" s="29"/>
      <c r="L889" s="30" t="str">
        <f ca="1">IFERROR(__xludf.DUMMYFUNCTION("""COMPUTED_VALUE"""),"No")</f>
        <v>No</v>
      </c>
      <c r="M889" s="30" t="str">
        <f ca="1">IFERROR(__xludf.DUMMYFUNCTION("""COMPUTED_VALUE"""),"18112050000")</f>
        <v>18112050000</v>
      </c>
      <c r="N889" s="30" t="str">
        <f ca="1">IFERROR(__xludf.DUMMYFUNCTION("""COMPUTED_VALUE"""),"MONTE CASEROS")</f>
        <v>MONTE CASEROS</v>
      </c>
      <c r="O889" s="30" t="str">
        <f ca="1">IFERROR(__xludf.DUMMYFUNCTION("""COMPUTED_VALUE"""),"18112")</f>
        <v>18112</v>
      </c>
      <c r="P889" s="30" t="str">
        <f ca="1">IFERROR(__xludf.DUMMYFUNCTION("""COMPUTED_VALUE"""),"MONTE CASEROS")</f>
        <v>MONTE CASEROS</v>
      </c>
      <c r="Q889" s="30" t="str">
        <f ca="1">IFERROR(__xludf.DUMMYFUNCTION("""COMPUTED_VALUE"""),"-30.2451285")</f>
        <v>-30.2451285</v>
      </c>
      <c r="R889" s="30" t="str">
        <f ca="1">IFERROR(__xludf.DUMMYFUNCTION("""COMPUTED_VALUE"""),"-57.68062592")</f>
        <v>-57.68062592</v>
      </c>
      <c r="S889" s="30" t="str">
        <f ca="1">IFERROR(__xludf.DUMMYFUNCTION("""COMPUTED_VALUE"""),"Provincial")</f>
        <v>Provincial</v>
      </c>
      <c r="T889" s="30" t="str">
        <f ca="1">IFERROR(__xludf.DUMMYFUNCTION("""COMPUTED_VALUE"""),"-")</f>
        <v>-</v>
      </c>
    </row>
    <row r="890" spans="1:20" ht="15.75" customHeight="1" x14ac:dyDescent="0.25">
      <c r="A890" s="30" t="str">
        <f ca="1">IFERROR(__xludf.DUMMYFUNCTION("""COMPUTED_VALUE"""),"50181122139224")</f>
        <v>50181122139224</v>
      </c>
      <c r="B890" s="30" t="str">
        <f ca="1">IFERROR(__xludf.DUMMYFUNCTION("""COMPUTED_VALUE"""),"JUAN DE LA ROSA - TIRO FEDERAL")</f>
        <v>JUAN DE LA ROSA - TIRO FEDERAL</v>
      </c>
      <c r="C890" s="30" t="str">
        <f ca="1">IFERROR(__xludf.DUMMYFUNCTION("""COMPUTED_VALUE"""),"Corrientes")</f>
        <v>Corrientes</v>
      </c>
      <c r="D890" s="30" t="str">
        <f ca="1">IFERROR(__xludf.DUMMYFUNCTION("""COMPUTED_VALUE"""),"18")</f>
        <v>18</v>
      </c>
      <c r="E890" s="30" t="str">
        <f ca="1">IFERROR(__xludf.DUMMYFUNCTION("""COMPUTED_VALUE"""),"")</f>
        <v/>
      </c>
      <c r="F890" s="29"/>
      <c r="G890" s="29"/>
      <c r="H890" s="30" t="str">
        <f ca="1">IFERROR(__xludf.DUMMYFUNCTION("""COMPUTED_VALUE"""),"inactivo")</f>
        <v>inactivo</v>
      </c>
      <c r="I890" s="30" t="str">
        <f ca="1">IFERROR(__xludf.DUMMYFUNCTION("""COMPUTED_VALUE"""),"baja solicitada por la provincia, nota 28-7-2022")</f>
        <v>baja solicitada por la provincia, nota 28-7-2022</v>
      </c>
      <c r="J890" s="29"/>
      <c r="K890" s="29"/>
      <c r="L890" s="30" t="str">
        <f ca="1">IFERROR(__xludf.DUMMYFUNCTION("""COMPUTED_VALUE"""),"No")</f>
        <v>No</v>
      </c>
      <c r="M890" s="30" t="str">
        <f ca="1">IFERROR(__xludf.DUMMYFUNCTION("""COMPUTED_VALUE"""),"18112050000")</f>
        <v>18112050000</v>
      </c>
      <c r="N890" s="30" t="str">
        <f ca="1">IFERROR(__xludf.DUMMYFUNCTION("""COMPUTED_VALUE"""),"MONTE CASEROS")</f>
        <v>MONTE CASEROS</v>
      </c>
      <c r="O890" s="30" t="str">
        <f ca="1">IFERROR(__xludf.DUMMYFUNCTION("""COMPUTED_VALUE"""),"18112")</f>
        <v>18112</v>
      </c>
      <c r="P890" s="30" t="str">
        <f ca="1">IFERROR(__xludf.DUMMYFUNCTION("""COMPUTED_VALUE"""),"MONTE CASEROS")</f>
        <v>MONTE CASEROS</v>
      </c>
      <c r="Q890" s="30" t="str">
        <f ca="1">IFERROR(__xludf.DUMMYFUNCTION("""COMPUTED_VALUE"""),"-30.2451285")</f>
        <v>-30.2451285</v>
      </c>
      <c r="R890" s="30" t="str">
        <f ca="1">IFERROR(__xludf.DUMMYFUNCTION("""COMPUTED_VALUE"""),"-57.68062592")</f>
        <v>-57.68062592</v>
      </c>
      <c r="S890" s="30" t="str">
        <f ca="1">IFERROR(__xludf.DUMMYFUNCTION("""COMPUTED_VALUE"""),"Provincial")</f>
        <v>Provincial</v>
      </c>
      <c r="T890" s="30" t="str">
        <f ca="1">IFERROR(__xludf.DUMMYFUNCTION("""COMPUTED_VALUE"""),"-")</f>
        <v>-</v>
      </c>
    </row>
    <row r="891" spans="1:20" ht="15.75" customHeight="1" x14ac:dyDescent="0.25">
      <c r="A891" s="30" t="str">
        <f ca="1">IFERROR(__xludf.DUMMYFUNCTION("""COMPUTED_VALUE"""),"50181122139225")</f>
        <v>50181122139225</v>
      </c>
      <c r="B891" s="30" t="str">
        <f ca="1">IFERROR(__xludf.DUMMYFUNCTION("""COMPUTED_VALUE"""),"JUAN F. ARETA")</f>
        <v>JUAN F. ARETA</v>
      </c>
      <c r="C891" s="30" t="str">
        <f ca="1">IFERROR(__xludf.DUMMYFUNCTION("""COMPUTED_VALUE"""),"Corrientes")</f>
        <v>Corrientes</v>
      </c>
      <c r="D891" s="30" t="str">
        <f ca="1">IFERROR(__xludf.DUMMYFUNCTION("""COMPUTED_VALUE"""),"18")</f>
        <v>18</v>
      </c>
      <c r="E891" s="30" t="str">
        <f ca="1">IFERROR(__xludf.DUMMYFUNCTION("""COMPUTED_VALUE"""),"")</f>
        <v/>
      </c>
      <c r="F891" s="29"/>
      <c r="G891" s="29"/>
      <c r="H891" s="30" t="str">
        <f ca="1">IFERROR(__xludf.DUMMYFUNCTION("""COMPUTED_VALUE"""),"inactivo")</f>
        <v>inactivo</v>
      </c>
      <c r="I891" s="30" t="str">
        <f ca="1">IFERROR(__xludf.DUMMYFUNCTION("""COMPUTED_VALUE"""),"baja solicitada por la provincia, nota 28-7-2022")</f>
        <v>baja solicitada por la provincia, nota 28-7-2022</v>
      </c>
      <c r="J891" s="29"/>
      <c r="K891" s="29"/>
      <c r="L891" s="30" t="str">
        <f ca="1">IFERROR(__xludf.DUMMYFUNCTION("""COMPUTED_VALUE"""),"No")</f>
        <v>No</v>
      </c>
      <c r="M891" s="30" t="str">
        <f ca="1">IFERROR(__xludf.DUMMYFUNCTION("""COMPUTED_VALUE"""),"18112050000")</f>
        <v>18112050000</v>
      </c>
      <c r="N891" s="30" t="str">
        <f ca="1">IFERROR(__xludf.DUMMYFUNCTION("""COMPUTED_VALUE"""),"MONTE CASEROS")</f>
        <v>MONTE CASEROS</v>
      </c>
      <c r="O891" s="30" t="str">
        <f ca="1">IFERROR(__xludf.DUMMYFUNCTION("""COMPUTED_VALUE"""),"18112")</f>
        <v>18112</v>
      </c>
      <c r="P891" s="30" t="str">
        <f ca="1">IFERROR(__xludf.DUMMYFUNCTION("""COMPUTED_VALUE"""),"MONTE CASEROS")</f>
        <v>MONTE CASEROS</v>
      </c>
      <c r="Q891" s="30" t="str">
        <f ca="1">IFERROR(__xludf.DUMMYFUNCTION("""COMPUTED_VALUE"""),"-30.2451285")</f>
        <v>-30.2451285</v>
      </c>
      <c r="R891" s="30" t="str">
        <f ca="1">IFERROR(__xludf.DUMMYFUNCTION("""COMPUTED_VALUE"""),"-57.68062592")</f>
        <v>-57.68062592</v>
      </c>
      <c r="S891" s="30" t="str">
        <f ca="1">IFERROR(__xludf.DUMMYFUNCTION("""COMPUTED_VALUE"""),"Provincial")</f>
        <v>Provincial</v>
      </c>
      <c r="T891" s="30" t="str">
        <f ca="1">IFERROR(__xludf.DUMMYFUNCTION("""COMPUTED_VALUE"""),"-")</f>
        <v>-</v>
      </c>
    </row>
    <row r="892" spans="1:20" ht="15.75" customHeight="1" x14ac:dyDescent="0.25">
      <c r="A892" s="30" t="str">
        <f ca="1">IFERROR(__xludf.DUMMYFUNCTION("""COMPUTED_VALUE"""),"50181122239226")</f>
        <v>50181122239226</v>
      </c>
      <c r="B892" s="30" t="str">
        <f ca="1">IFERROR(__xludf.DUMMYFUNCTION("""COMPUTED_VALUE"""),"JUAN JOSE ENRIORI")</f>
        <v>JUAN JOSE ENRIORI</v>
      </c>
      <c r="C892" s="30" t="str">
        <f ca="1">IFERROR(__xludf.DUMMYFUNCTION("""COMPUTED_VALUE"""),"Corrientes")</f>
        <v>Corrientes</v>
      </c>
      <c r="D892" s="30" t="str">
        <f ca="1">IFERROR(__xludf.DUMMYFUNCTION("""COMPUTED_VALUE"""),"18")</f>
        <v>18</v>
      </c>
      <c r="E892" s="30" t="str">
        <f ca="1">IFERROR(__xludf.DUMMYFUNCTION("""COMPUTED_VALUE"""),"")</f>
        <v/>
      </c>
      <c r="F892" s="29"/>
      <c r="G892" s="29"/>
      <c r="H892" s="30" t="str">
        <f ca="1">IFERROR(__xludf.DUMMYFUNCTION("""COMPUTED_VALUE"""),"activo")</f>
        <v>activo</v>
      </c>
      <c r="I892" s="29"/>
      <c r="J892" s="29"/>
      <c r="K892" s="29"/>
      <c r="L892" s="30" t="str">
        <f ca="1">IFERROR(__xludf.DUMMYFUNCTION("""COMPUTED_VALUE"""),"No")</f>
        <v>No</v>
      </c>
      <c r="M892" s="30" t="str">
        <f ca="1">IFERROR(__xludf.DUMMYFUNCTION("""COMPUTED_VALUE"""),"18112050000")</f>
        <v>18112050000</v>
      </c>
      <c r="N892" s="30" t="str">
        <f ca="1">IFERROR(__xludf.DUMMYFUNCTION("""COMPUTED_VALUE"""),"MONTE CASEROS")</f>
        <v>MONTE CASEROS</v>
      </c>
      <c r="O892" s="30" t="str">
        <f ca="1">IFERROR(__xludf.DUMMYFUNCTION("""COMPUTED_VALUE"""),"18112")</f>
        <v>18112</v>
      </c>
      <c r="P892" s="30" t="str">
        <f ca="1">IFERROR(__xludf.DUMMYFUNCTION("""COMPUTED_VALUE"""),"MONTE CASEROS")</f>
        <v>MONTE CASEROS</v>
      </c>
      <c r="Q892" s="30" t="str">
        <f ca="1">IFERROR(__xludf.DUMMYFUNCTION("""COMPUTED_VALUE"""),"-30.2451285")</f>
        <v>-30.2451285</v>
      </c>
      <c r="R892" s="30" t="str">
        <f ca="1">IFERROR(__xludf.DUMMYFUNCTION("""COMPUTED_VALUE"""),"-57.68062592")</f>
        <v>-57.68062592</v>
      </c>
      <c r="S892" s="30" t="str">
        <f ca="1">IFERROR(__xludf.DUMMYFUNCTION("""COMPUTED_VALUE"""),"Municipal")</f>
        <v>Municipal</v>
      </c>
      <c r="T892" s="29"/>
    </row>
    <row r="893" spans="1:20" ht="15.75" customHeight="1" x14ac:dyDescent="0.25">
      <c r="A893" s="30" t="str">
        <f ca="1">IFERROR(__xludf.DUMMYFUNCTION("""COMPUTED_VALUE"""),"50181122239442")</f>
        <v>50181122239442</v>
      </c>
      <c r="B893" s="30" t="str">
        <f ca="1">IFERROR(__xludf.DUMMYFUNCTION("""COMPUTED_VALUE"""),"SARGENTO HUGO W. GOMEZ")</f>
        <v>SARGENTO HUGO W. GOMEZ</v>
      </c>
      <c r="C893" s="30" t="str">
        <f ca="1">IFERROR(__xludf.DUMMYFUNCTION("""COMPUTED_VALUE"""),"Corrientes")</f>
        <v>Corrientes</v>
      </c>
      <c r="D893" s="30" t="str">
        <f ca="1">IFERROR(__xludf.DUMMYFUNCTION("""COMPUTED_VALUE"""),"18")</f>
        <v>18</v>
      </c>
      <c r="E893" s="30" t="str">
        <f ca="1">IFERROR(__xludf.DUMMYFUNCTION("""COMPUTED_VALUE"""),"")</f>
        <v/>
      </c>
      <c r="F893" s="29"/>
      <c r="G893" s="29"/>
      <c r="H893" s="30" t="str">
        <f ca="1">IFERROR(__xludf.DUMMYFUNCTION("""COMPUTED_VALUE"""),"activo")</f>
        <v>activo</v>
      </c>
      <c r="I893" s="29"/>
      <c r="J893" s="29"/>
      <c r="K893" s="29"/>
      <c r="L893" s="30" t="str">
        <f ca="1">IFERROR(__xludf.DUMMYFUNCTION("""COMPUTED_VALUE"""),"No")</f>
        <v>No</v>
      </c>
      <c r="M893" s="30" t="str">
        <f ca="1">IFERROR(__xludf.DUMMYFUNCTION("""COMPUTED_VALUE"""),"18112050000")</f>
        <v>18112050000</v>
      </c>
      <c r="N893" s="30" t="str">
        <f ca="1">IFERROR(__xludf.DUMMYFUNCTION("""COMPUTED_VALUE"""),"MONTE CASEROS")</f>
        <v>MONTE CASEROS</v>
      </c>
      <c r="O893" s="30" t="str">
        <f ca="1">IFERROR(__xludf.DUMMYFUNCTION("""COMPUTED_VALUE"""),"18112")</f>
        <v>18112</v>
      </c>
      <c r="P893" s="30" t="str">
        <f ca="1">IFERROR(__xludf.DUMMYFUNCTION("""COMPUTED_VALUE"""),"MONTE CASEROS")</f>
        <v>MONTE CASEROS</v>
      </c>
      <c r="Q893" s="30" t="str">
        <f ca="1">IFERROR(__xludf.DUMMYFUNCTION("""COMPUTED_VALUE"""),"-30.2451285")</f>
        <v>-30.2451285</v>
      </c>
      <c r="R893" s="30" t="str">
        <f ca="1">IFERROR(__xludf.DUMMYFUNCTION("""COMPUTED_VALUE"""),"-57.68062592")</f>
        <v>-57.68062592</v>
      </c>
      <c r="S893" s="30" t="str">
        <f ca="1">IFERROR(__xludf.DUMMYFUNCTION("""COMPUTED_VALUE"""),"Municipal")</f>
        <v>Municipal</v>
      </c>
      <c r="T893" s="29"/>
    </row>
    <row r="894" spans="1:20" ht="15.75" customHeight="1" x14ac:dyDescent="0.25">
      <c r="A894" s="30" t="str">
        <f ca="1">IFERROR(__xludf.DUMMYFUNCTION("""COMPUTED_VALUE"""),"50181122239447")</f>
        <v>50181122239447</v>
      </c>
      <c r="B894" s="30" t="str">
        <f ca="1">IFERROR(__xludf.DUMMYFUNCTION("""COMPUTED_VALUE"""),"CIC VICENTE MENDIETA")</f>
        <v>CIC VICENTE MENDIETA</v>
      </c>
      <c r="C894" s="30" t="str">
        <f ca="1">IFERROR(__xludf.DUMMYFUNCTION("""COMPUTED_VALUE"""),"Corrientes")</f>
        <v>Corrientes</v>
      </c>
      <c r="D894" s="30" t="str">
        <f ca="1">IFERROR(__xludf.DUMMYFUNCTION("""COMPUTED_VALUE"""),"18")</f>
        <v>18</v>
      </c>
      <c r="E894" s="30" t="str">
        <f ca="1">IFERROR(__xludf.DUMMYFUNCTION("""COMPUTED_VALUE"""),"")</f>
        <v/>
      </c>
      <c r="F894" s="29"/>
      <c r="G894" s="29"/>
      <c r="H894" s="30" t="str">
        <f ca="1">IFERROR(__xludf.DUMMYFUNCTION("""COMPUTED_VALUE"""),"inactivo")</f>
        <v>inactivo</v>
      </c>
      <c r="I894" s="30" t="str">
        <f ca="1">IFERROR(__xludf.DUMMYFUNCTION("""COMPUTED_VALUE"""),"baja solicitada por la provincia mail 16/03/2020")</f>
        <v>baja solicitada por la provincia mail 16/03/2020</v>
      </c>
      <c r="J894" s="29"/>
      <c r="K894" s="29"/>
      <c r="L894" s="30" t="str">
        <f ca="1">IFERROR(__xludf.DUMMYFUNCTION("""COMPUTED_VALUE"""),"No")</f>
        <v>No</v>
      </c>
      <c r="M894" s="30" t="str">
        <f ca="1">IFERROR(__xludf.DUMMYFUNCTION("""COMPUTED_VALUE"""),"18112050000")</f>
        <v>18112050000</v>
      </c>
      <c r="N894" s="30" t="str">
        <f ca="1">IFERROR(__xludf.DUMMYFUNCTION("""COMPUTED_VALUE"""),"MONTE CASEROS")</f>
        <v>MONTE CASEROS</v>
      </c>
      <c r="O894" s="30" t="str">
        <f ca="1">IFERROR(__xludf.DUMMYFUNCTION("""COMPUTED_VALUE"""),"18112")</f>
        <v>18112</v>
      </c>
      <c r="P894" s="30" t="str">
        <f ca="1">IFERROR(__xludf.DUMMYFUNCTION("""COMPUTED_VALUE"""),"MONTE CASEROS")</f>
        <v>MONTE CASEROS</v>
      </c>
      <c r="Q894" s="30" t="str">
        <f ca="1">IFERROR(__xludf.DUMMYFUNCTION("""COMPUTED_VALUE"""),"-30.2451285")</f>
        <v>-30.2451285</v>
      </c>
      <c r="R894" s="30" t="str">
        <f ca="1">IFERROR(__xludf.DUMMYFUNCTION("""COMPUTED_VALUE"""),"-57.68062592")</f>
        <v>-57.68062592</v>
      </c>
      <c r="S894" s="30" t="str">
        <f ca="1">IFERROR(__xludf.DUMMYFUNCTION("""COMPUTED_VALUE"""),"Municipal")</f>
        <v>Municipal</v>
      </c>
      <c r="T894" s="29"/>
    </row>
    <row r="895" spans="1:20" ht="15.75" customHeight="1" x14ac:dyDescent="0.25">
      <c r="A895" s="30" t="str">
        <f ca="1">IFERROR(__xludf.DUMMYFUNCTION("""COMPUTED_VALUE"""),"50180212140282")</f>
        <v>50180212140282</v>
      </c>
      <c r="B895" s="30" t="str">
        <f ca="1">IFERROR(__xludf.DUMMYFUNCTION("""COMPUTED_VALUE"""),"CAPS XVII PIRAGINE NIVEYRO")</f>
        <v>CAPS XVII PIRAGINE NIVEYRO</v>
      </c>
      <c r="C895" s="30" t="str">
        <f ca="1">IFERROR(__xludf.DUMMYFUNCTION("""COMPUTED_VALUE"""),"Corrientes")</f>
        <v>Corrientes</v>
      </c>
      <c r="D895" s="30">
        <f ca="1">IFERROR(__xludf.DUMMYFUNCTION("""COMPUTED_VALUE"""),18)</f>
        <v>18</v>
      </c>
      <c r="E895" s="30" t="str">
        <f ca="1">IFERROR(__xludf.DUMMYFUNCTION("""COMPUTED_VALUE"""),"")</f>
        <v/>
      </c>
      <c r="F895" s="29"/>
      <c r="G895" s="29"/>
      <c r="H895" s="30" t="str">
        <f ca="1">IFERROR(__xludf.DUMMYFUNCTION("""COMPUTED_VALUE"""),"activo")</f>
        <v>activo</v>
      </c>
      <c r="I895" s="30" t="str">
        <f ca="1">IFERROR(__xludf.DUMMYFUNCTION("""COMPUTED_VALUE"""),"alta solicitada por la provincia mail 16/03/2020")</f>
        <v>alta solicitada por la provincia mail 16/03/2020</v>
      </c>
      <c r="J895" s="29"/>
      <c r="K895" s="29"/>
      <c r="L895" s="30" t="str">
        <f ca="1">IFERROR(__xludf.DUMMYFUNCTION("""COMPUTED_VALUE"""),"No")</f>
        <v>No</v>
      </c>
      <c r="M895" s="30">
        <f ca="1">IFERROR(__xludf.DUMMYFUNCTION("""COMPUTED_VALUE"""),18021020000)</f>
        <v>18021020000</v>
      </c>
      <c r="N895" s="30" t="str">
        <f ca="1">IFERROR(__xludf.DUMMYFUNCTION("""COMPUTED_VALUE"""),"CORRIENTES")</f>
        <v>CORRIENTES</v>
      </c>
      <c r="O895" s="30" t="str">
        <f ca="1">IFERROR(__xludf.DUMMYFUNCTION("""COMPUTED_VALUE"""),"#N/A")</f>
        <v>#N/A</v>
      </c>
      <c r="P895" s="30" t="str">
        <f ca="1">IFERROR(__xludf.DUMMYFUNCTION("""COMPUTED_VALUE"""),"#N/A")</f>
        <v>#N/A</v>
      </c>
      <c r="Q895" s="30"/>
      <c r="R895" s="30"/>
      <c r="S895" s="30" t="str">
        <f ca="1">IFERROR(__xludf.DUMMYFUNCTION("""COMPUTED_VALUE"""),"Provincial")</f>
        <v>Provincial</v>
      </c>
      <c r="T895" s="30" t="str">
        <f ca="1">IFERROR(__xludf.DUMMYFUNCTION("""COMPUTED_VALUE"""),"-")</f>
        <v>-</v>
      </c>
    </row>
    <row r="896" spans="1:20" ht="15.75" customHeight="1" x14ac:dyDescent="0.25">
      <c r="A896" s="30" t="str">
        <f ca="1">IFERROR(__xludf.DUMMYFUNCTION("""COMPUTED_VALUE"""),"10181122139027")</f>
        <v>10181122139027</v>
      </c>
      <c r="B896" s="30" t="str">
        <f ca="1">IFERROR(__xludf.DUMMYFUNCTION("""COMPUTED_VALUE"""),"HOSPITAL BASE MOCORETA SANTA CATALINA")</f>
        <v>HOSPITAL BASE MOCORETA SANTA CATALINA</v>
      </c>
      <c r="C896" s="30" t="str">
        <f ca="1">IFERROR(__xludf.DUMMYFUNCTION("""COMPUTED_VALUE"""),"Corrientes")</f>
        <v>Corrientes</v>
      </c>
      <c r="D896" s="30" t="str">
        <f ca="1">IFERROR(__xludf.DUMMYFUNCTION("""COMPUTED_VALUE"""),"18")</f>
        <v>18</v>
      </c>
      <c r="E896" s="30" t="str">
        <f ca="1">IFERROR(__xludf.DUMMYFUNCTION("""COMPUTED_VALUE"""),"")</f>
        <v/>
      </c>
      <c r="F896" s="29"/>
      <c r="G896" s="30" t="str">
        <f ca="1">IFERROR(__xludf.DUMMYFUNCTION("""COMPUTED_VALUE"""),"10181612139001")</f>
        <v>10181612139001</v>
      </c>
      <c r="H896" s="30" t="str">
        <f ca="1">IFERROR(__xludf.DUMMYFUNCTION("""COMPUTED_VALUE"""),"inactivo")</f>
        <v>inactivo</v>
      </c>
      <c r="I896" s="29"/>
      <c r="J896" s="29"/>
      <c r="K896" s="29"/>
      <c r="L896" s="30" t="str">
        <f ca="1">IFERROR(__xludf.DUMMYFUNCTION("""COMPUTED_VALUE"""),"No")</f>
        <v>No</v>
      </c>
      <c r="M896" s="30" t="str">
        <f ca="1">IFERROR(__xludf.DUMMYFUNCTION("""COMPUTED_VALUE"""),"18112040000")</f>
        <v>18112040000</v>
      </c>
      <c r="N896" s="30" t="str">
        <f ca="1">IFERROR(__xludf.DUMMYFUNCTION("""COMPUTED_VALUE"""),"MOCORETA")</f>
        <v>MOCORETA</v>
      </c>
      <c r="O896" s="30" t="str">
        <f ca="1">IFERROR(__xludf.DUMMYFUNCTION("""COMPUTED_VALUE"""),"18112")</f>
        <v>18112</v>
      </c>
      <c r="P896" s="30" t="str">
        <f ca="1">IFERROR(__xludf.DUMMYFUNCTION("""COMPUTED_VALUE"""),"MONTE CASEROS")</f>
        <v>MONTE CASEROS</v>
      </c>
      <c r="Q896" s="30" t="str">
        <f ca="1">IFERROR(__xludf.DUMMYFUNCTION("""COMPUTED_VALUE"""),"-30.620562")</f>
        <v>-30.620562</v>
      </c>
      <c r="R896" s="30" t="str">
        <f ca="1">IFERROR(__xludf.DUMMYFUNCTION("""COMPUTED_VALUE"""),"-57.964187")</f>
        <v>-57.964187</v>
      </c>
      <c r="S896" s="30" t="str">
        <f ca="1">IFERROR(__xludf.DUMMYFUNCTION("""COMPUTED_VALUE"""),"Provincial")</f>
        <v>Provincial</v>
      </c>
      <c r="T896" s="30" t="str">
        <f ca="1">IFERROR(__xludf.DUMMYFUNCTION("""COMPUTED_VALUE"""),"-")</f>
        <v>-</v>
      </c>
    </row>
    <row r="897" spans="1:20" ht="15.75" customHeight="1" x14ac:dyDescent="0.25">
      <c r="A897" s="30" t="str">
        <f ca="1">IFERROR(__xludf.DUMMYFUNCTION("""COMPUTED_VALUE"""),"10181612139001")</f>
        <v>10181612139001</v>
      </c>
      <c r="B897" s="30" t="str">
        <f ca="1">IFERROR(__xludf.DUMMYFUNCTION("""COMPUTED_VALUE"""),"CENTRO DE SALUD CHAVARRIA")</f>
        <v>CENTRO DE SALUD CHAVARRIA</v>
      </c>
      <c r="C897" s="30" t="str">
        <f ca="1">IFERROR(__xludf.DUMMYFUNCTION("""COMPUTED_VALUE"""),"Corrientes")</f>
        <v>Corrientes</v>
      </c>
      <c r="D897" s="30" t="str">
        <f ca="1">IFERROR(__xludf.DUMMYFUNCTION("""COMPUTED_VALUE"""),"18")</f>
        <v>18</v>
      </c>
      <c r="E897" s="30" t="str">
        <f ca="1">IFERROR(__xludf.DUMMYFUNCTION("""COMPUTED_VALUE"""),"")</f>
        <v/>
      </c>
      <c r="F897" s="30" t="str">
        <f ca="1">IFERROR(__xludf.DUMMYFUNCTION("""COMPUTED_VALUE"""),"10181122139027")</f>
        <v>10181122139027</v>
      </c>
      <c r="G897" s="29"/>
      <c r="H897" s="30" t="str">
        <f ca="1">IFERROR(__xludf.DUMMYFUNCTION("""COMPUTED_VALUE"""),"activo")</f>
        <v>activo</v>
      </c>
      <c r="I897" s="29"/>
      <c r="J897" s="29"/>
      <c r="K897" s="29"/>
      <c r="L897" s="30" t="str">
        <f ca="1">IFERROR(__xludf.DUMMYFUNCTION("""COMPUTED_VALUE"""),"No")</f>
        <v>No</v>
      </c>
      <c r="M897" s="30" t="str">
        <f ca="1">IFERROR(__xludf.DUMMYFUNCTION("""COMPUTED_VALUE"""),"18161010000")</f>
        <v>18161010000</v>
      </c>
      <c r="N897" s="30" t="str">
        <f ca="1">IFERROR(__xludf.DUMMYFUNCTION("""COMPUTED_VALUE"""),"CHAVARRIA")</f>
        <v>CHAVARRIA</v>
      </c>
      <c r="O897" s="30" t="str">
        <f ca="1">IFERROR(__xludf.DUMMYFUNCTION("""COMPUTED_VALUE"""),"18161")</f>
        <v>18161</v>
      </c>
      <c r="P897" s="30" t="str">
        <f ca="1">IFERROR(__xludf.DUMMYFUNCTION("""COMPUTED_VALUE"""),"SAN ROQUE")</f>
        <v>SAN ROQUE</v>
      </c>
      <c r="Q897" s="30" t="str">
        <f ca="1">IFERROR(__xludf.DUMMYFUNCTION("""COMPUTED_VALUE"""),"-28.9624918")</f>
        <v>-28.9624918</v>
      </c>
      <c r="R897" s="30" t="str">
        <f ca="1">IFERROR(__xludf.DUMMYFUNCTION("""COMPUTED_VALUE"""),"-58.58047485")</f>
        <v>-58.58047485</v>
      </c>
      <c r="S897" s="30" t="str">
        <f ca="1">IFERROR(__xludf.DUMMYFUNCTION("""COMPUTED_VALUE"""),"Provincial")</f>
        <v>Provincial</v>
      </c>
      <c r="T897" s="30" t="str">
        <f ca="1">IFERROR(__xludf.DUMMYFUNCTION("""COMPUTED_VALUE"""),"-")</f>
        <v>-</v>
      </c>
    </row>
    <row r="898" spans="1:20" ht="15.75" customHeight="1" x14ac:dyDescent="0.25">
      <c r="A898" s="30" t="str">
        <f ca="1">IFERROR(__xludf.DUMMYFUNCTION("""COMPUTED_VALUE"""),"50181262139146")</f>
        <v>50181262139146</v>
      </c>
      <c r="B898" s="30" t="str">
        <f ca="1">IFERROR(__xludf.DUMMYFUNCTION("""COMPUTED_VALUE"""),"CENTRO DE SALUD BARRIO ESTACION")</f>
        <v>CENTRO DE SALUD BARRIO ESTACION</v>
      </c>
      <c r="C898" s="30" t="str">
        <f ca="1">IFERROR(__xludf.DUMMYFUNCTION("""COMPUTED_VALUE"""),"Corrientes")</f>
        <v>Corrientes</v>
      </c>
      <c r="D898" s="30" t="str">
        <f ca="1">IFERROR(__xludf.DUMMYFUNCTION("""COMPUTED_VALUE"""),"18")</f>
        <v>18</v>
      </c>
      <c r="E898" s="30" t="str">
        <f ca="1">IFERROR(__xludf.DUMMYFUNCTION("""COMPUTED_VALUE"""),"")</f>
        <v/>
      </c>
      <c r="F898" s="29"/>
      <c r="G898" s="29"/>
      <c r="H898" s="30" t="str">
        <f ca="1">IFERROR(__xludf.DUMMYFUNCTION("""COMPUTED_VALUE"""),"activo")</f>
        <v>activo</v>
      </c>
      <c r="I898" s="29"/>
      <c r="J898" s="29"/>
      <c r="K898" s="29"/>
      <c r="L898" s="30" t="str">
        <f ca="1">IFERROR(__xludf.DUMMYFUNCTION("""COMPUTED_VALUE"""),"No")</f>
        <v>No</v>
      </c>
      <c r="M898" s="30" t="str">
        <f ca="1">IFERROR(__xludf.DUMMYFUNCTION("""COMPUTED_VALUE"""),"18126010000")</f>
        <v>18126010000</v>
      </c>
      <c r="N898" s="30" t="str">
        <f ca="1">IFERROR(__xludf.DUMMYFUNCTION("""COMPUTED_VALUE"""),"SALADAS")</f>
        <v>SALADAS</v>
      </c>
      <c r="O898" s="30" t="str">
        <f ca="1">IFERROR(__xludf.DUMMYFUNCTION("""COMPUTED_VALUE"""),"18126")</f>
        <v>18126</v>
      </c>
      <c r="P898" s="30" t="str">
        <f ca="1">IFERROR(__xludf.DUMMYFUNCTION("""COMPUTED_VALUE"""),"SALADAS")</f>
        <v>SALADAS</v>
      </c>
      <c r="Q898" s="30" t="str">
        <f ca="1">IFERROR(__xludf.DUMMYFUNCTION("""COMPUTED_VALUE"""),"-28.25524959")</f>
        <v>-28.25524959</v>
      </c>
      <c r="R898" s="30" t="str">
        <f ca="1">IFERROR(__xludf.DUMMYFUNCTION("""COMPUTED_VALUE"""),"-58.62356186")</f>
        <v>-58.62356186</v>
      </c>
      <c r="S898" s="30" t="str">
        <f ca="1">IFERROR(__xludf.DUMMYFUNCTION("""COMPUTED_VALUE"""),"Provincial")</f>
        <v>Provincial</v>
      </c>
      <c r="T898" s="30" t="str">
        <f ca="1">IFERROR(__xludf.DUMMYFUNCTION("""COMPUTED_VALUE"""),"-")</f>
        <v>-</v>
      </c>
    </row>
    <row r="899" spans="1:20" ht="15.75" customHeight="1" x14ac:dyDescent="0.25">
      <c r="A899" s="30" t="str">
        <f ca="1">IFERROR(__xludf.DUMMYFUNCTION("""COMPUTED_VALUE"""),"50181262139239")</f>
        <v>50181262139239</v>
      </c>
      <c r="B899" s="30" t="str">
        <f ca="1">IFERROR(__xludf.DUMMYFUNCTION("""COMPUTED_VALUE"""),"PAGO DE LOS DESEOS")</f>
        <v>PAGO DE LOS DESEOS</v>
      </c>
      <c r="C899" s="30" t="str">
        <f ca="1">IFERROR(__xludf.DUMMYFUNCTION("""COMPUTED_VALUE"""),"Corrientes")</f>
        <v>Corrientes</v>
      </c>
      <c r="D899" s="30" t="str">
        <f ca="1">IFERROR(__xludf.DUMMYFUNCTION("""COMPUTED_VALUE"""),"18")</f>
        <v>18</v>
      </c>
      <c r="E899" s="30" t="str">
        <f ca="1">IFERROR(__xludf.DUMMYFUNCTION("""COMPUTED_VALUE"""),"")</f>
        <v/>
      </c>
      <c r="F899" s="29"/>
      <c r="G899" s="29"/>
      <c r="H899" s="30" t="str">
        <f ca="1">IFERROR(__xludf.DUMMYFUNCTION("""COMPUTED_VALUE"""),"inactivo")</f>
        <v>inactivo</v>
      </c>
      <c r="I899" s="29"/>
      <c r="J899" s="29"/>
      <c r="K899" s="29"/>
      <c r="L899" s="30" t="str">
        <f ca="1">IFERROR(__xludf.DUMMYFUNCTION("""COMPUTED_VALUE"""),"No")</f>
        <v>No</v>
      </c>
      <c r="M899" s="30" t="str">
        <f ca="1">IFERROR(__xludf.DUMMYFUNCTION("""COMPUTED_VALUE"""),"18126010000")</f>
        <v>18126010000</v>
      </c>
      <c r="N899" s="30" t="str">
        <f ca="1">IFERROR(__xludf.DUMMYFUNCTION("""COMPUTED_VALUE"""),"SALADAS")</f>
        <v>SALADAS</v>
      </c>
      <c r="O899" s="30" t="str">
        <f ca="1">IFERROR(__xludf.DUMMYFUNCTION("""COMPUTED_VALUE"""),"18126")</f>
        <v>18126</v>
      </c>
      <c r="P899" s="30" t="str">
        <f ca="1">IFERROR(__xludf.DUMMYFUNCTION("""COMPUTED_VALUE"""),"SALADAS")</f>
        <v>SALADAS</v>
      </c>
      <c r="Q899" s="30" t="str">
        <f ca="1">IFERROR(__xludf.DUMMYFUNCTION("""COMPUTED_VALUE"""),"-28.25963451")</f>
        <v>-28.25963451</v>
      </c>
      <c r="R899" s="30" t="str">
        <f ca="1">IFERROR(__xludf.DUMMYFUNCTION("""COMPUTED_VALUE"""),"-58.62373352")</f>
        <v>-58.62373352</v>
      </c>
      <c r="S899" s="30" t="str">
        <f ca="1">IFERROR(__xludf.DUMMYFUNCTION("""COMPUTED_VALUE"""),"Provincial")</f>
        <v>Provincial</v>
      </c>
      <c r="T899" s="30" t="str">
        <f ca="1">IFERROR(__xludf.DUMMYFUNCTION("""COMPUTED_VALUE"""),"-")</f>
        <v>-</v>
      </c>
    </row>
    <row r="900" spans="1:20" ht="15.75" customHeight="1" x14ac:dyDescent="0.25">
      <c r="A900" s="30" t="str">
        <f ca="1">IFERROR(__xludf.DUMMYFUNCTION("""COMPUTED_VALUE"""),"50181262139351")</f>
        <v>50181262139351</v>
      </c>
      <c r="B900" s="30" t="str">
        <f ca="1">IFERROR(__xludf.DUMMYFUNCTION("""COMPUTED_VALUE"""),"SALA COLONIA CABRAL")</f>
        <v>SALA COLONIA CABRAL</v>
      </c>
      <c r="C900" s="30" t="str">
        <f ca="1">IFERROR(__xludf.DUMMYFUNCTION("""COMPUTED_VALUE"""),"Corrientes")</f>
        <v>Corrientes</v>
      </c>
      <c r="D900" s="30" t="str">
        <f ca="1">IFERROR(__xludf.DUMMYFUNCTION("""COMPUTED_VALUE"""),"18")</f>
        <v>18</v>
      </c>
      <c r="E900" s="30" t="str">
        <f ca="1">IFERROR(__xludf.DUMMYFUNCTION("""COMPUTED_VALUE"""),"")</f>
        <v/>
      </c>
      <c r="F900" s="29"/>
      <c r="G900" s="29"/>
      <c r="H900" s="30" t="str">
        <f ca="1">IFERROR(__xludf.DUMMYFUNCTION("""COMPUTED_VALUE"""),"inactivo")</f>
        <v>inactivo</v>
      </c>
      <c r="I900" s="29"/>
      <c r="J900" s="29"/>
      <c r="K900" s="29"/>
      <c r="L900" s="30" t="str">
        <f ca="1">IFERROR(__xludf.DUMMYFUNCTION("""COMPUTED_VALUE"""),"No")</f>
        <v>No</v>
      </c>
      <c r="M900" s="30" t="str">
        <f ca="1">IFERROR(__xludf.DUMMYFUNCTION("""COMPUTED_VALUE"""),"18126010000")</f>
        <v>18126010000</v>
      </c>
      <c r="N900" s="30" t="str">
        <f ca="1">IFERROR(__xludf.DUMMYFUNCTION("""COMPUTED_VALUE"""),"SALADAS")</f>
        <v>SALADAS</v>
      </c>
      <c r="O900" s="30" t="str">
        <f ca="1">IFERROR(__xludf.DUMMYFUNCTION("""COMPUTED_VALUE"""),"18126")</f>
        <v>18126</v>
      </c>
      <c r="P900" s="30" t="str">
        <f ca="1">IFERROR(__xludf.DUMMYFUNCTION("""COMPUTED_VALUE"""),"SALADAS")</f>
        <v>SALADAS</v>
      </c>
      <c r="Q900" s="30" t="str">
        <f ca="1">IFERROR(__xludf.DUMMYFUNCTION("""COMPUTED_VALUE"""),"-28.25661044")</f>
        <v>-28.25661044</v>
      </c>
      <c r="R900" s="30" t="str">
        <f ca="1">IFERROR(__xludf.DUMMYFUNCTION("""COMPUTED_VALUE"""),"-58.62304688")</f>
        <v>-58.62304688</v>
      </c>
      <c r="S900" s="30" t="str">
        <f ca="1">IFERROR(__xludf.DUMMYFUNCTION("""COMPUTED_VALUE"""),"Provincial")</f>
        <v>Provincial</v>
      </c>
      <c r="T900" s="30" t="str">
        <f ca="1">IFERROR(__xludf.DUMMYFUNCTION("""COMPUTED_VALUE"""),"-")</f>
        <v>-</v>
      </c>
    </row>
    <row r="901" spans="1:20" ht="15.75" customHeight="1" x14ac:dyDescent="0.25">
      <c r="A901" s="30" t="str">
        <f ca="1">IFERROR(__xludf.DUMMYFUNCTION("""COMPUTED_VALUE"""),"50181332139210")</f>
        <v>50181332139210</v>
      </c>
      <c r="B901" s="30" t="str">
        <f ca="1">IFERROR(__xludf.DUMMYFUNCTION("""COMPUTED_VALUE"""),"ESTACION SANITARIA SANTA MARIA AUXILIADORA")</f>
        <v>ESTACION SANITARIA SANTA MARIA AUXILIADORA</v>
      </c>
      <c r="C901" s="30" t="str">
        <f ca="1">IFERROR(__xludf.DUMMYFUNCTION("""COMPUTED_VALUE"""),"Corrientes")</f>
        <v>Corrientes</v>
      </c>
      <c r="D901" s="30" t="str">
        <f ca="1">IFERROR(__xludf.DUMMYFUNCTION("""COMPUTED_VALUE"""),"18")</f>
        <v>18</v>
      </c>
      <c r="E901" s="30" t="str">
        <f ca="1">IFERROR(__xludf.DUMMYFUNCTION("""COMPUTED_VALUE"""),"")</f>
        <v/>
      </c>
      <c r="F901" s="29"/>
      <c r="G901" s="29"/>
      <c r="H901" s="30" t="str">
        <f ca="1">IFERROR(__xludf.DUMMYFUNCTION("""COMPUTED_VALUE"""),"activo")</f>
        <v>activo</v>
      </c>
      <c r="I901" s="29"/>
      <c r="J901" s="29"/>
      <c r="K901" s="29"/>
      <c r="L901" s="30" t="str">
        <f ca="1">IFERROR(__xludf.DUMMYFUNCTION("""COMPUTED_VALUE"""),"No")</f>
        <v>No</v>
      </c>
      <c r="M901" s="30" t="str">
        <f ca="1">IFERROR(__xludf.DUMMYFUNCTION("""COMPUTED_VALUE"""),"18133030000")</f>
        <v>18133030000</v>
      </c>
      <c r="N901" s="30" t="str">
        <f ca="1">IFERROR(__xludf.DUMMYFUNCTION("""COMPUTED_VALUE"""),"SAN COSME")</f>
        <v>SAN COSME</v>
      </c>
      <c r="O901" s="30" t="str">
        <f ca="1">IFERROR(__xludf.DUMMYFUNCTION("""COMPUTED_VALUE"""),"18133")</f>
        <v>18133</v>
      </c>
      <c r="P901" s="30" t="str">
        <f ca="1">IFERROR(__xludf.DUMMYFUNCTION("""COMPUTED_VALUE"""),"SAN COSME")</f>
        <v>SAN COSME</v>
      </c>
      <c r="Q901" s="30" t="str">
        <f ca="1">IFERROR(__xludf.DUMMYFUNCTION("""COMPUTED_VALUE"""),"-27.370151")</f>
        <v>-27.370151</v>
      </c>
      <c r="R901" s="30" t="str">
        <f ca="1">IFERROR(__xludf.DUMMYFUNCTION("""COMPUTED_VALUE"""),"-58.512554")</f>
        <v>-58.512554</v>
      </c>
      <c r="S901" s="30" t="str">
        <f ca="1">IFERROR(__xludf.DUMMYFUNCTION("""COMPUTED_VALUE"""),"Provincial")</f>
        <v>Provincial</v>
      </c>
      <c r="T901" s="30" t="str">
        <f ca="1">IFERROR(__xludf.DUMMYFUNCTION("""COMPUTED_VALUE"""),"-")</f>
        <v>-</v>
      </c>
    </row>
    <row r="902" spans="1:20" ht="15.75" customHeight="1" x14ac:dyDescent="0.25">
      <c r="A902" s="30" t="str">
        <f ca="1">IFERROR(__xludf.DUMMYFUNCTION("""COMPUTED_VALUE"""),"10181332139031")</f>
        <v>10181332139031</v>
      </c>
      <c r="B902" s="30" t="str">
        <f ca="1">IFERROR(__xludf.DUMMYFUNCTION("""COMPUTED_VALUE"""),"HOSPITAL DR. EDUARDO ANDRES CICCONETTI")</f>
        <v>HOSPITAL DR. EDUARDO ANDRES CICCONETTI</v>
      </c>
      <c r="C902" s="30" t="str">
        <f ca="1">IFERROR(__xludf.DUMMYFUNCTION("""COMPUTED_VALUE"""),"Corrientes")</f>
        <v>Corrientes</v>
      </c>
      <c r="D902" s="30" t="str">
        <f ca="1">IFERROR(__xludf.DUMMYFUNCTION("""COMPUTED_VALUE"""),"18")</f>
        <v>18</v>
      </c>
      <c r="E902" s="30" t="str">
        <f ca="1">IFERROR(__xludf.DUMMYFUNCTION("""COMPUTED_VALUE"""),"")</f>
        <v/>
      </c>
      <c r="F902" s="29"/>
      <c r="G902" s="29"/>
      <c r="H902" s="30" t="str">
        <f ca="1">IFERROR(__xludf.DUMMYFUNCTION("""COMPUTED_VALUE"""),"inactivo")</f>
        <v>inactivo</v>
      </c>
      <c r="I902" s="29"/>
      <c r="J902" s="29"/>
      <c r="K902" s="29"/>
      <c r="L902" s="30" t="str">
        <f ca="1">IFERROR(__xludf.DUMMYFUNCTION("""COMPUTED_VALUE"""),"No")</f>
        <v>No</v>
      </c>
      <c r="M902" s="30" t="str">
        <f ca="1">IFERROR(__xludf.DUMMYFUNCTION("""COMPUTED_VALUE"""),"18133020000")</f>
        <v>18133020000</v>
      </c>
      <c r="N902" s="30" t="str">
        <f ca="1">IFERROR(__xludf.DUMMYFUNCTION("""COMPUTED_VALUE"""),"PASO DE LA PATRIA")</f>
        <v>PASO DE LA PATRIA</v>
      </c>
      <c r="O902" s="30" t="str">
        <f ca="1">IFERROR(__xludf.DUMMYFUNCTION("""COMPUTED_VALUE"""),"18133")</f>
        <v>18133</v>
      </c>
      <c r="P902" s="30" t="str">
        <f ca="1">IFERROR(__xludf.DUMMYFUNCTION("""COMPUTED_VALUE"""),"SAN COSME")</f>
        <v>SAN COSME</v>
      </c>
      <c r="Q902" s="30" t="str">
        <f ca="1">IFERROR(__xludf.DUMMYFUNCTION("""COMPUTED_VALUE"""),"-27.32048")</f>
        <v>-27.32048</v>
      </c>
      <c r="R902" s="30" t="str">
        <f ca="1">IFERROR(__xludf.DUMMYFUNCTION("""COMPUTED_VALUE"""),"-58.575931")</f>
        <v>-58.575931</v>
      </c>
      <c r="S902" s="30" t="str">
        <f ca="1">IFERROR(__xludf.DUMMYFUNCTION("""COMPUTED_VALUE"""),"Provincial")</f>
        <v>Provincial</v>
      </c>
      <c r="T902" s="30" t="str">
        <f ca="1">IFERROR(__xludf.DUMMYFUNCTION("""COMPUTED_VALUE"""),"-")</f>
        <v>-</v>
      </c>
    </row>
    <row r="903" spans="1:20" ht="15.75" customHeight="1" x14ac:dyDescent="0.25">
      <c r="A903" s="30" t="str">
        <f ca="1">IFERROR(__xludf.DUMMYFUNCTION("""COMPUTED_VALUE"""),"50181402139337")</f>
        <v>50181402139337</v>
      </c>
      <c r="B903" s="30" t="str">
        <f ca="1">IFERROR(__xludf.DUMMYFUNCTION("""COMPUTED_VALUE"""),"PUESTO SANITARIO LOMAS DE GONZALEZ")</f>
        <v>PUESTO SANITARIO LOMAS DE GONZALEZ</v>
      </c>
      <c r="C903" s="30" t="str">
        <f ca="1">IFERROR(__xludf.DUMMYFUNCTION("""COMPUTED_VALUE"""),"Corrientes")</f>
        <v>Corrientes</v>
      </c>
      <c r="D903" s="30" t="str">
        <f ca="1">IFERROR(__xludf.DUMMYFUNCTION("""COMPUTED_VALUE"""),"18")</f>
        <v>18</v>
      </c>
      <c r="E903" s="30" t="str">
        <f ca="1">IFERROR(__xludf.DUMMYFUNCTION("""COMPUTED_VALUE"""),"")</f>
        <v/>
      </c>
      <c r="F903" s="29"/>
      <c r="G903" s="29"/>
      <c r="H903" s="30" t="str">
        <f ca="1">IFERROR(__xludf.DUMMYFUNCTION("""COMPUTED_VALUE"""),"activo")</f>
        <v>activo</v>
      </c>
      <c r="I903" s="29"/>
      <c r="J903" s="29"/>
      <c r="K903" s="29"/>
      <c r="L903" s="30" t="str">
        <f ca="1">IFERROR(__xludf.DUMMYFUNCTION("""COMPUTED_VALUE"""),"No")</f>
        <v>No</v>
      </c>
      <c r="M903" s="30" t="str">
        <f ca="1">IFERROR(__xludf.DUMMYFUNCTION("""COMPUTED_VALUE"""),"18140010000")</f>
        <v>18140010000</v>
      </c>
      <c r="N903" s="30" t="str">
        <f ca="1">IFERROR(__xludf.DUMMYFUNCTION("""COMPUTED_VALUE"""),"SAN LUIS DEL PALMAR")</f>
        <v>SAN LUIS DEL PALMAR</v>
      </c>
      <c r="O903" s="30" t="str">
        <f ca="1">IFERROR(__xludf.DUMMYFUNCTION("""COMPUTED_VALUE"""),"18140")</f>
        <v>18140</v>
      </c>
      <c r="P903" s="30" t="str">
        <f ca="1">IFERROR(__xludf.DUMMYFUNCTION("""COMPUTED_VALUE"""),"SAN LUIS DEL PALMAR")</f>
        <v>SAN LUIS DEL PALMAR</v>
      </c>
      <c r="Q903" s="30" t="str">
        <f ca="1">IFERROR(__xludf.DUMMYFUNCTION("""COMPUTED_VALUE"""),"-27.511361")</f>
        <v>-27.511361</v>
      </c>
      <c r="R903" s="30" t="str">
        <f ca="1">IFERROR(__xludf.DUMMYFUNCTION("""COMPUTED_VALUE"""),"-58.556818")</f>
        <v>-58.556818</v>
      </c>
      <c r="S903" s="30" t="str">
        <f ca="1">IFERROR(__xludf.DUMMYFUNCTION("""COMPUTED_VALUE"""),"Provincial")</f>
        <v>Provincial</v>
      </c>
      <c r="T903" s="30" t="str">
        <f ca="1">IFERROR(__xludf.DUMMYFUNCTION("""COMPUTED_VALUE"""),"-")</f>
        <v>-</v>
      </c>
    </row>
    <row r="904" spans="1:20" ht="15.75" customHeight="1" x14ac:dyDescent="0.25">
      <c r="A904" s="30" t="str">
        <f ca="1">IFERROR(__xludf.DUMMYFUNCTION("""COMPUTED_VALUE"""),"50181402139399")</f>
        <v>50181402139399</v>
      </c>
      <c r="B904" s="30" t="str">
        <f ca="1">IFERROR(__xludf.DUMMYFUNCTION("""COMPUTED_VALUE"""),"SAPS DIOS CON NOSOTROS")</f>
        <v>SAPS DIOS CON NOSOTROS</v>
      </c>
      <c r="C904" s="30" t="str">
        <f ca="1">IFERROR(__xludf.DUMMYFUNCTION("""COMPUTED_VALUE"""),"Corrientes")</f>
        <v>Corrientes</v>
      </c>
      <c r="D904" s="30" t="str">
        <f ca="1">IFERROR(__xludf.DUMMYFUNCTION("""COMPUTED_VALUE"""),"18")</f>
        <v>18</v>
      </c>
      <c r="E904" s="30" t="str">
        <f ca="1">IFERROR(__xludf.DUMMYFUNCTION("""COMPUTED_VALUE"""),"")</f>
        <v/>
      </c>
      <c r="F904" s="29"/>
      <c r="G904" s="29"/>
      <c r="H904" s="30" t="str">
        <f ca="1">IFERROR(__xludf.DUMMYFUNCTION("""COMPUTED_VALUE"""),"activo")</f>
        <v>activo</v>
      </c>
      <c r="I904" s="29"/>
      <c r="J904" s="29"/>
      <c r="K904" s="29"/>
      <c r="L904" s="30" t="str">
        <f ca="1">IFERROR(__xludf.DUMMYFUNCTION("""COMPUTED_VALUE"""),"No")</f>
        <v>No</v>
      </c>
      <c r="M904" s="30" t="str">
        <f ca="1">IFERROR(__xludf.DUMMYFUNCTION("""COMPUTED_VALUE"""),"18140010000")</f>
        <v>18140010000</v>
      </c>
      <c r="N904" s="30" t="str">
        <f ca="1">IFERROR(__xludf.DUMMYFUNCTION("""COMPUTED_VALUE"""),"SAN LUIS DEL PALMAR")</f>
        <v>SAN LUIS DEL PALMAR</v>
      </c>
      <c r="O904" s="30" t="str">
        <f ca="1">IFERROR(__xludf.DUMMYFUNCTION("""COMPUTED_VALUE"""),"18140")</f>
        <v>18140</v>
      </c>
      <c r="P904" s="30" t="str">
        <f ca="1">IFERROR(__xludf.DUMMYFUNCTION("""COMPUTED_VALUE"""),"SAN LUIS DEL PALMAR")</f>
        <v>SAN LUIS DEL PALMAR</v>
      </c>
      <c r="Q904" s="30" t="str">
        <f ca="1">IFERROR(__xludf.DUMMYFUNCTION("""COMPUTED_VALUE"""),"-27.509094")</f>
        <v>-27.509094</v>
      </c>
      <c r="R904" s="30" t="str">
        <f ca="1">IFERROR(__xludf.DUMMYFUNCTION("""COMPUTED_VALUE"""),"-58.556499")</f>
        <v>-58.556499</v>
      </c>
      <c r="S904" s="30" t="str">
        <f ca="1">IFERROR(__xludf.DUMMYFUNCTION("""COMPUTED_VALUE"""),"Provincial")</f>
        <v>Provincial</v>
      </c>
      <c r="T904" s="30" t="str">
        <f ca="1">IFERROR(__xludf.DUMMYFUNCTION("""COMPUTED_VALUE"""),"-")</f>
        <v>-</v>
      </c>
    </row>
    <row r="905" spans="1:20" ht="15.75" customHeight="1" x14ac:dyDescent="0.25">
      <c r="A905" s="30" t="str">
        <f ca="1">IFERROR(__xludf.DUMMYFUNCTION("""COMPUTED_VALUE"""),"50181402140181")</f>
        <v>50181402140181</v>
      </c>
      <c r="B905" s="30" t="str">
        <f ca="1">IFERROR(__xludf.DUMMYFUNCTION("""COMPUTED_VALUE"""),"SALA DE PRIMEROS AUXILIOS SPONTON")</f>
        <v>SALA DE PRIMEROS AUXILIOS SPONTON</v>
      </c>
      <c r="C905" s="30" t="str">
        <f ca="1">IFERROR(__xludf.DUMMYFUNCTION("""COMPUTED_VALUE"""),"Corrientes")</f>
        <v>Corrientes</v>
      </c>
      <c r="D905" s="30" t="str">
        <f ca="1">IFERROR(__xludf.DUMMYFUNCTION("""COMPUTED_VALUE"""),"18")</f>
        <v>18</v>
      </c>
      <c r="E905" s="30" t="str">
        <f ca="1">IFERROR(__xludf.DUMMYFUNCTION("""COMPUTED_VALUE"""),"")</f>
        <v/>
      </c>
      <c r="F905" s="29"/>
      <c r="G905" s="29"/>
      <c r="H905" s="30" t="str">
        <f ca="1">IFERROR(__xludf.DUMMYFUNCTION("""COMPUTED_VALUE"""),"inactivo")</f>
        <v>inactivo</v>
      </c>
      <c r="I905" s="29"/>
      <c r="J905" s="29"/>
      <c r="K905" s="29"/>
      <c r="L905" s="30" t="str">
        <f ca="1">IFERROR(__xludf.DUMMYFUNCTION("""COMPUTED_VALUE"""),"No")</f>
        <v>No</v>
      </c>
      <c r="M905" s="30" t="str">
        <f ca="1">IFERROR(__xludf.DUMMYFUNCTION("""COMPUTED_VALUE"""),"18140010000")</f>
        <v>18140010000</v>
      </c>
      <c r="N905" s="30" t="str">
        <f ca="1">IFERROR(__xludf.DUMMYFUNCTION("""COMPUTED_VALUE"""),"SAN LUIS DEL PALMAR")</f>
        <v>SAN LUIS DEL PALMAR</v>
      </c>
      <c r="O905" s="30" t="str">
        <f ca="1">IFERROR(__xludf.DUMMYFUNCTION("""COMPUTED_VALUE"""),"18140")</f>
        <v>18140</v>
      </c>
      <c r="P905" s="30" t="str">
        <f ca="1">IFERROR(__xludf.DUMMYFUNCTION("""COMPUTED_VALUE"""),"SAN LUIS DEL PALMAR")</f>
        <v>SAN LUIS DEL PALMAR</v>
      </c>
      <c r="Q905" s="30" t="str">
        <f ca="1">IFERROR(__xludf.DUMMYFUNCTION("""COMPUTED_VALUE"""),"-27.50339918")</f>
        <v>-27.50339918</v>
      </c>
      <c r="R905" s="30" t="str">
        <f ca="1">IFERROR(__xludf.DUMMYFUNCTION("""COMPUTED_VALUE"""),"-58.55163574")</f>
        <v>-58.55163574</v>
      </c>
      <c r="S905" s="30" t="str">
        <f ca="1">IFERROR(__xludf.DUMMYFUNCTION("""COMPUTED_VALUE"""),"Provincial")</f>
        <v>Provincial</v>
      </c>
      <c r="T905" s="30" t="str">
        <f ca="1">IFERROR(__xludf.DUMMYFUNCTION("""COMPUTED_VALUE"""),"-")</f>
        <v>-</v>
      </c>
    </row>
    <row r="906" spans="1:20" ht="15.75" customHeight="1" x14ac:dyDescent="0.25">
      <c r="A906" s="30" t="str">
        <f ca="1">IFERROR(__xludf.DUMMYFUNCTION("""COMPUTED_VALUE"""),"10181402139053")</f>
        <v>10181402139053</v>
      </c>
      <c r="B906" s="30" t="str">
        <f ca="1">IFERROR(__xludf.DUMMYFUNCTION("""COMPUTED_VALUE"""),"HOSPITAL BASE SAN LUIS DEL PALMAR")</f>
        <v>HOSPITAL BASE SAN LUIS DEL PALMAR</v>
      </c>
      <c r="C906" s="30" t="str">
        <f ca="1">IFERROR(__xludf.DUMMYFUNCTION("""COMPUTED_VALUE"""),"Corrientes")</f>
        <v>Corrientes</v>
      </c>
      <c r="D906" s="30" t="str">
        <f ca="1">IFERROR(__xludf.DUMMYFUNCTION("""COMPUTED_VALUE"""),"18")</f>
        <v>18</v>
      </c>
      <c r="E906" s="30" t="str">
        <f ca="1">IFERROR(__xludf.DUMMYFUNCTION("""COMPUTED_VALUE"""),"")</f>
        <v/>
      </c>
      <c r="F906" s="29"/>
      <c r="G906" s="29"/>
      <c r="H906" s="30" t="str">
        <f ca="1">IFERROR(__xludf.DUMMYFUNCTION("""COMPUTED_VALUE"""),"activo")</f>
        <v>activo</v>
      </c>
      <c r="I906" s="29"/>
      <c r="J906" s="29"/>
      <c r="K906" s="29"/>
      <c r="L906" s="30" t="str">
        <f ca="1">IFERROR(__xludf.DUMMYFUNCTION("""COMPUTED_VALUE"""),"No")</f>
        <v>No</v>
      </c>
      <c r="M906" s="30" t="str">
        <f ca="1">IFERROR(__xludf.DUMMYFUNCTION("""COMPUTED_VALUE"""),"18140010000")</f>
        <v>18140010000</v>
      </c>
      <c r="N906" s="30" t="str">
        <f ca="1">IFERROR(__xludf.DUMMYFUNCTION("""COMPUTED_VALUE"""),"SAN LUIS DEL PALMAR")</f>
        <v>SAN LUIS DEL PALMAR</v>
      </c>
      <c r="O906" s="30" t="str">
        <f ca="1">IFERROR(__xludf.DUMMYFUNCTION("""COMPUTED_VALUE"""),"18140")</f>
        <v>18140</v>
      </c>
      <c r="P906" s="30" t="str">
        <f ca="1">IFERROR(__xludf.DUMMYFUNCTION("""COMPUTED_VALUE"""),"SAN LUIS DEL PALMAR")</f>
        <v>SAN LUIS DEL PALMAR</v>
      </c>
      <c r="Q906" s="30" t="str">
        <f ca="1">IFERROR(__xludf.DUMMYFUNCTION("""COMPUTED_VALUE"""),"-27.5090861")</f>
        <v>-27.5090861</v>
      </c>
      <c r="R906" s="30" t="str">
        <f ca="1">IFERROR(__xludf.DUMMYFUNCTION("""COMPUTED_VALUE"""),"-58.5574489")</f>
        <v>-58.5574489</v>
      </c>
      <c r="S906" s="30" t="str">
        <f ca="1">IFERROR(__xludf.DUMMYFUNCTION("""COMPUTED_VALUE"""),"Provincial")</f>
        <v>Provincial</v>
      </c>
      <c r="T906" s="30" t="str">
        <f ca="1">IFERROR(__xludf.DUMMYFUNCTION("""COMPUTED_VALUE"""),"-")</f>
        <v>-</v>
      </c>
    </row>
    <row r="907" spans="1:20" ht="15.75" customHeight="1" x14ac:dyDescent="0.25">
      <c r="A907" s="30" t="str">
        <f ca="1">IFERROR(__xludf.DUMMYFUNCTION("""COMPUTED_VALUE"""),"50181542239366")</f>
        <v>50181542239366</v>
      </c>
      <c r="B907" s="30" t="str">
        <f ca="1">IFERROR(__xludf.DUMMYFUNCTION("""COMPUTED_VALUE"""),"SALA DE PRIMEROS AUXILIOS EL CAIMAN")</f>
        <v>SALA DE PRIMEROS AUXILIOS EL CAIMAN</v>
      </c>
      <c r="C907" s="30" t="str">
        <f ca="1">IFERROR(__xludf.DUMMYFUNCTION("""COMPUTED_VALUE"""),"Corrientes")</f>
        <v>Corrientes</v>
      </c>
      <c r="D907" s="30" t="str">
        <f ca="1">IFERROR(__xludf.DUMMYFUNCTION("""COMPUTED_VALUE"""),"18")</f>
        <v>18</v>
      </c>
      <c r="E907" s="30" t="str">
        <f ca="1">IFERROR(__xludf.DUMMYFUNCTION("""COMPUTED_VALUE"""),"")</f>
        <v/>
      </c>
      <c r="F907" s="29"/>
      <c r="G907" s="29"/>
      <c r="H907" s="30" t="str">
        <f ca="1">IFERROR(__xludf.DUMMYFUNCTION("""COMPUTED_VALUE"""),"inactivo")</f>
        <v>inactivo</v>
      </c>
      <c r="I907" s="29"/>
      <c r="J907" s="29"/>
      <c r="K907" s="29"/>
      <c r="L907" s="30" t="str">
        <f ca="1">IFERROR(__xludf.DUMMYFUNCTION("""COMPUTED_VALUE"""),"No")</f>
        <v>No</v>
      </c>
      <c r="M907" s="30" t="str">
        <f ca="1">IFERROR(__xludf.DUMMYFUNCTION("""COMPUTED_VALUE"""),"18154020000")</f>
        <v>18154020000</v>
      </c>
      <c r="N907" s="30" t="str">
        <f ca="1">IFERROR(__xludf.DUMMYFUNCTION("""COMPUTED_VALUE"""),"SAN MIGUEL")</f>
        <v>SAN MIGUEL</v>
      </c>
      <c r="O907" s="30" t="str">
        <f ca="1">IFERROR(__xludf.DUMMYFUNCTION("""COMPUTED_VALUE"""),"18154")</f>
        <v>18154</v>
      </c>
      <c r="P907" s="30" t="str">
        <f ca="1">IFERROR(__xludf.DUMMYFUNCTION("""COMPUTED_VALUE"""),"SAN MIGUEL")</f>
        <v>SAN MIGUEL</v>
      </c>
      <c r="Q907" s="30" t="str">
        <f ca="1">IFERROR(__xludf.DUMMYFUNCTION("""COMPUTED_VALUE"""),"-27.990612")</f>
        <v>-27.990612</v>
      </c>
      <c r="R907" s="30" t="str">
        <f ca="1">IFERROR(__xludf.DUMMYFUNCTION("""COMPUTED_VALUE"""),"-57.588873")</f>
        <v>-57.588873</v>
      </c>
      <c r="S907" s="30" t="str">
        <f ca="1">IFERROR(__xludf.DUMMYFUNCTION("""COMPUTED_VALUE"""),"Municipal")</f>
        <v>Municipal</v>
      </c>
      <c r="T907" s="29"/>
    </row>
    <row r="908" spans="1:20" ht="15.75" customHeight="1" x14ac:dyDescent="0.25">
      <c r="A908" s="30" t="str">
        <f ca="1">IFERROR(__xludf.DUMMYFUNCTION("""COMPUTED_VALUE"""),"10181542139022")</f>
        <v>10181542139022</v>
      </c>
      <c r="B908" s="30" t="str">
        <f ca="1">IFERROR(__xludf.DUMMYFUNCTION("""COMPUTED_VALUE"""),"HOSPITAL  DR. JOSE RODOLFO PIÑEIRO LORETO")</f>
        <v>HOSPITAL  DR. JOSE RODOLFO PIÑEIRO LORETO</v>
      </c>
      <c r="C908" s="30" t="str">
        <f ca="1">IFERROR(__xludf.DUMMYFUNCTION("""COMPUTED_VALUE"""),"Corrientes")</f>
        <v>Corrientes</v>
      </c>
      <c r="D908" s="30" t="str">
        <f ca="1">IFERROR(__xludf.DUMMYFUNCTION("""COMPUTED_VALUE"""),"18")</f>
        <v>18</v>
      </c>
      <c r="E908" s="30" t="str">
        <f ca="1">IFERROR(__xludf.DUMMYFUNCTION("""COMPUTED_VALUE"""),"")</f>
        <v/>
      </c>
      <c r="F908" s="29"/>
      <c r="G908" s="29"/>
      <c r="H908" s="30" t="str">
        <f ca="1">IFERROR(__xludf.DUMMYFUNCTION("""COMPUTED_VALUE"""),"inactivo")</f>
        <v>inactivo</v>
      </c>
      <c r="I908" s="29"/>
      <c r="J908" s="29"/>
      <c r="K908" s="29"/>
      <c r="L908" s="30" t="str">
        <f ca="1">IFERROR(__xludf.DUMMYFUNCTION("""COMPUTED_VALUE"""),"No")</f>
        <v>No</v>
      </c>
      <c r="M908" s="30" t="str">
        <f ca="1">IFERROR(__xludf.DUMMYFUNCTION("""COMPUTED_VALUE"""),"18154010000")</f>
        <v>18154010000</v>
      </c>
      <c r="N908" s="30" t="str">
        <f ca="1">IFERROR(__xludf.DUMMYFUNCTION("""COMPUTED_VALUE"""),"LORETO")</f>
        <v>LORETO</v>
      </c>
      <c r="O908" s="30" t="str">
        <f ca="1">IFERROR(__xludf.DUMMYFUNCTION("""COMPUTED_VALUE"""),"18154")</f>
        <v>18154</v>
      </c>
      <c r="P908" s="30" t="str">
        <f ca="1">IFERROR(__xludf.DUMMYFUNCTION("""COMPUTED_VALUE"""),"SAN MIGUEL")</f>
        <v>SAN MIGUEL</v>
      </c>
      <c r="Q908" s="30" t="str">
        <f ca="1">IFERROR(__xludf.DUMMYFUNCTION("""COMPUTED_VALUE"""),"-27.76382227")</f>
        <v>-27.76382227</v>
      </c>
      <c r="R908" s="30" t="str">
        <f ca="1">IFERROR(__xludf.DUMMYFUNCTION("""COMPUTED_VALUE"""),"-57.27511245")</f>
        <v>-57.27511245</v>
      </c>
      <c r="S908" s="30" t="str">
        <f ca="1">IFERROR(__xludf.DUMMYFUNCTION("""COMPUTED_VALUE"""),"Provincial")</f>
        <v>Provincial</v>
      </c>
      <c r="T908" s="30" t="str">
        <f ca="1">IFERROR(__xludf.DUMMYFUNCTION("""COMPUTED_VALUE"""),"-")</f>
        <v>-</v>
      </c>
    </row>
    <row r="909" spans="1:20" ht="15.75" customHeight="1" x14ac:dyDescent="0.25">
      <c r="A909" s="30" t="str">
        <f ca="1">IFERROR(__xludf.DUMMYFUNCTION("""COMPUTED_VALUE"""),"10181612139055")</f>
        <v>10181612139055</v>
      </c>
      <c r="B909" s="30" t="str">
        <f ca="1">IFERROR(__xludf.DUMMYFUNCTION("""COMPUTED_VALUE"""),"HOSPITAL SAN ROQUE - DANIEL ARTAZA 811")</f>
        <v>HOSPITAL SAN ROQUE - DANIEL ARTAZA 811</v>
      </c>
      <c r="C909" s="30" t="str">
        <f ca="1">IFERROR(__xludf.DUMMYFUNCTION("""COMPUTED_VALUE"""),"Corrientes")</f>
        <v>Corrientes</v>
      </c>
      <c r="D909" s="30" t="str">
        <f ca="1">IFERROR(__xludf.DUMMYFUNCTION("""COMPUTED_VALUE"""),"18")</f>
        <v>18</v>
      </c>
      <c r="E909" s="30" t="str">
        <f ca="1">IFERROR(__xludf.DUMMYFUNCTION("""COMPUTED_VALUE"""),"")</f>
        <v/>
      </c>
      <c r="F909" s="29"/>
      <c r="G909" s="29"/>
      <c r="H909" s="30" t="str">
        <f ca="1">IFERROR(__xludf.DUMMYFUNCTION("""COMPUTED_VALUE"""),"inactivo")</f>
        <v>inactivo</v>
      </c>
      <c r="I909" s="29"/>
      <c r="J909" s="29"/>
      <c r="K909" s="29"/>
      <c r="L909" s="30" t="str">
        <f ca="1">IFERROR(__xludf.DUMMYFUNCTION("""COMPUTED_VALUE"""),"No")</f>
        <v>No</v>
      </c>
      <c r="M909" s="30" t="str">
        <f ca="1">IFERROR(__xludf.DUMMYFUNCTION("""COMPUTED_VALUE"""),"18161050000")</f>
        <v>18161050000</v>
      </c>
      <c r="N909" s="30" t="str">
        <f ca="1">IFERROR(__xludf.DUMMYFUNCTION("""COMPUTED_VALUE"""),"SAN ROQUE")</f>
        <v>SAN ROQUE</v>
      </c>
      <c r="O909" s="30" t="str">
        <f ca="1">IFERROR(__xludf.DUMMYFUNCTION("""COMPUTED_VALUE"""),"18161")</f>
        <v>18161</v>
      </c>
      <c r="P909" s="30" t="str">
        <f ca="1">IFERROR(__xludf.DUMMYFUNCTION("""COMPUTED_VALUE"""),"SAN ROQUE")</f>
        <v>SAN ROQUE</v>
      </c>
      <c r="Q909" s="30" t="str">
        <f ca="1">IFERROR(__xludf.DUMMYFUNCTION("""COMPUTED_VALUE"""),"-28.578282")</f>
        <v>-28.578282</v>
      </c>
      <c r="R909" s="30" t="str">
        <f ca="1">IFERROR(__xludf.DUMMYFUNCTION("""COMPUTED_VALUE"""),"-58.708979")</f>
        <v>-58.708979</v>
      </c>
      <c r="S909" s="30" t="str">
        <f ca="1">IFERROR(__xludf.DUMMYFUNCTION("""COMPUTED_VALUE"""),"Provincial")</f>
        <v>Provincial</v>
      </c>
      <c r="T909" s="30" t="str">
        <f ca="1">IFERROR(__xludf.DUMMYFUNCTION("""COMPUTED_VALUE"""),"-")</f>
        <v>-</v>
      </c>
    </row>
    <row r="910" spans="1:20" ht="15.75" customHeight="1" x14ac:dyDescent="0.25">
      <c r="A910" s="30" t="str">
        <f ca="1">IFERROR(__xludf.DUMMYFUNCTION("""COMPUTED_VALUE"""),"50181682139084")</f>
        <v>50181682139084</v>
      </c>
      <c r="B910" s="30" t="str">
        <f ca="1">IFERROR(__xludf.DUMMYFUNCTION("""COMPUTED_VALUE"""),"AGUSTIN GOMEZ")</f>
        <v>AGUSTIN GOMEZ</v>
      </c>
      <c r="C910" s="30" t="str">
        <f ca="1">IFERROR(__xludf.DUMMYFUNCTION("""COMPUTED_VALUE"""),"Corrientes")</f>
        <v>Corrientes</v>
      </c>
      <c r="D910" s="30" t="str">
        <f ca="1">IFERROR(__xludf.DUMMYFUNCTION("""COMPUTED_VALUE"""),"18")</f>
        <v>18</v>
      </c>
      <c r="E910" s="30" t="str">
        <f ca="1">IFERROR(__xludf.DUMMYFUNCTION("""COMPUTED_VALUE"""),"")</f>
        <v/>
      </c>
      <c r="F910" s="29"/>
      <c r="G910" s="29"/>
      <c r="H910" s="30" t="str">
        <f ca="1">IFERROR(__xludf.DUMMYFUNCTION("""COMPUTED_VALUE"""),"inactivo")</f>
        <v>inactivo</v>
      </c>
      <c r="I910" s="29"/>
      <c r="J910" s="29"/>
      <c r="K910" s="29"/>
      <c r="L910" s="30" t="str">
        <f ca="1">IFERROR(__xludf.DUMMYFUNCTION("""COMPUTED_VALUE"""),"No")</f>
        <v>No</v>
      </c>
      <c r="M910" s="30" t="str">
        <f ca="1">IFERROR(__xludf.DUMMYFUNCTION("""COMPUTED_VALUE"""),"18168040000")</f>
        <v>18168040000</v>
      </c>
      <c r="N910" s="30" t="str">
        <f ca="1">IFERROR(__xludf.DUMMYFUNCTION("""COMPUTED_VALUE"""),"SANTO TOME")</f>
        <v>SANTO TOME</v>
      </c>
      <c r="O910" s="30" t="str">
        <f ca="1">IFERROR(__xludf.DUMMYFUNCTION("""COMPUTED_VALUE"""),"18168")</f>
        <v>18168</v>
      </c>
      <c r="P910" s="30" t="str">
        <f ca="1">IFERROR(__xludf.DUMMYFUNCTION("""COMPUTED_VALUE"""),"SANTO TOMÉ")</f>
        <v>SANTO TOMÉ</v>
      </c>
      <c r="Q910" s="30" t="str">
        <f ca="1">IFERROR(__xludf.DUMMYFUNCTION("""COMPUTED_VALUE"""),"-28.549205")</f>
        <v>-28.549205</v>
      </c>
      <c r="R910" s="30" t="str">
        <f ca="1">IFERROR(__xludf.DUMMYFUNCTION("""COMPUTED_VALUE"""),"-56.051527")</f>
        <v>-56.051527</v>
      </c>
      <c r="S910" s="30" t="str">
        <f ca="1">IFERROR(__xludf.DUMMYFUNCTION("""COMPUTED_VALUE"""),"Provincial")</f>
        <v>Provincial</v>
      </c>
      <c r="T910" s="30" t="str">
        <f ca="1">IFERROR(__xludf.DUMMYFUNCTION("""COMPUTED_VALUE"""),"-")</f>
        <v>-</v>
      </c>
    </row>
    <row r="911" spans="1:20" ht="15.75" customHeight="1" x14ac:dyDescent="0.25">
      <c r="A911" s="30" t="str">
        <f ca="1">IFERROR(__xludf.DUMMYFUNCTION("""COMPUTED_VALUE"""),"50181682139155")</f>
        <v>50181682139155</v>
      </c>
      <c r="B911" s="30" t="str">
        <f ca="1">IFERROR(__xludf.DUMMYFUNCTION("""COMPUTED_VALUE"""),"CENTRO DE SALUD LA TABLADA")</f>
        <v>CENTRO DE SALUD LA TABLADA</v>
      </c>
      <c r="C911" s="30" t="str">
        <f ca="1">IFERROR(__xludf.DUMMYFUNCTION("""COMPUTED_VALUE"""),"Corrientes")</f>
        <v>Corrientes</v>
      </c>
      <c r="D911" s="30" t="str">
        <f ca="1">IFERROR(__xludf.DUMMYFUNCTION("""COMPUTED_VALUE"""),"18")</f>
        <v>18</v>
      </c>
      <c r="E911" s="30" t="str">
        <f ca="1">IFERROR(__xludf.DUMMYFUNCTION("""COMPUTED_VALUE"""),"")</f>
        <v/>
      </c>
      <c r="F911" s="29"/>
      <c r="G911" s="29"/>
      <c r="H911" s="30" t="str">
        <f ca="1">IFERROR(__xludf.DUMMYFUNCTION("""COMPUTED_VALUE"""),"inactivo")</f>
        <v>inactivo</v>
      </c>
      <c r="I911" s="29"/>
      <c r="J911" s="29"/>
      <c r="K911" s="29"/>
      <c r="L911" s="30" t="str">
        <f ca="1">IFERROR(__xludf.DUMMYFUNCTION("""COMPUTED_VALUE"""),"No")</f>
        <v>No</v>
      </c>
      <c r="M911" s="30" t="str">
        <f ca="1">IFERROR(__xludf.DUMMYFUNCTION("""COMPUTED_VALUE"""),"18168040000")</f>
        <v>18168040000</v>
      </c>
      <c r="N911" s="30" t="str">
        <f ca="1">IFERROR(__xludf.DUMMYFUNCTION("""COMPUTED_VALUE"""),"SANTO TOME")</f>
        <v>SANTO TOME</v>
      </c>
      <c r="O911" s="30" t="str">
        <f ca="1">IFERROR(__xludf.DUMMYFUNCTION("""COMPUTED_VALUE"""),"18168")</f>
        <v>18168</v>
      </c>
      <c r="P911" s="30" t="str">
        <f ca="1">IFERROR(__xludf.DUMMYFUNCTION("""COMPUTED_VALUE"""),"SANTO TOMÉ")</f>
        <v>SANTO TOMÉ</v>
      </c>
      <c r="Q911" s="30" t="str">
        <f ca="1">IFERROR(__xludf.DUMMYFUNCTION("""COMPUTED_VALUE"""),"-28.556658")</f>
        <v>-28.556658</v>
      </c>
      <c r="R911" s="30" t="str">
        <f ca="1">IFERROR(__xludf.DUMMYFUNCTION("""COMPUTED_VALUE"""),"-56.041595")</f>
        <v>-56.041595</v>
      </c>
      <c r="S911" s="30" t="str">
        <f ca="1">IFERROR(__xludf.DUMMYFUNCTION("""COMPUTED_VALUE"""),"Provincial")</f>
        <v>Provincial</v>
      </c>
      <c r="T911" s="30" t="str">
        <f ca="1">IFERROR(__xludf.DUMMYFUNCTION("""COMPUTED_VALUE"""),"-")</f>
        <v>-</v>
      </c>
    </row>
    <row r="912" spans="1:20" ht="15.75" customHeight="1" x14ac:dyDescent="0.25">
      <c r="A912" s="30" t="str">
        <f ca="1">IFERROR(__xludf.DUMMYFUNCTION("""COMPUTED_VALUE"""),"50181682139346")</f>
        <v>50181682139346</v>
      </c>
      <c r="B912" s="30" t="str">
        <f ca="1">IFERROR(__xludf.DUMMYFUNCTION("""COMPUTED_VALUE"""),"SAPS TOMAS SILVANO BARRIO ESTACION")</f>
        <v>SAPS TOMAS SILVANO BARRIO ESTACION</v>
      </c>
      <c r="C912" s="30" t="str">
        <f ca="1">IFERROR(__xludf.DUMMYFUNCTION("""COMPUTED_VALUE"""),"Corrientes")</f>
        <v>Corrientes</v>
      </c>
      <c r="D912" s="30" t="str">
        <f ca="1">IFERROR(__xludf.DUMMYFUNCTION("""COMPUTED_VALUE"""),"18")</f>
        <v>18</v>
      </c>
      <c r="E912" s="30" t="str">
        <f ca="1">IFERROR(__xludf.DUMMYFUNCTION("""COMPUTED_VALUE"""),"")</f>
        <v/>
      </c>
      <c r="F912" s="29"/>
      <c r="G912" s="29"/>
      <c r="H912" s="30" t="str">
        <f ca="1">IFERROR(__xludf.DUMMYFUNCTION("""COMPUTED_VALUE"""),"inactivo")</f>
        <v>inactivo</v>
      </c>
      <c r="I912" s="29"/>
      <c r="J912" s="29"/>
      <c r="K912" s="29"/>
      <c r="L912" s="30" t="str">
        <f ca="1">IFERROR(__xludf.DUMMYFUNCTION("""COMPUTED_VALUE"""),"No")</f>
        <v>No</v>
      </c>
      <c r="M912" s="30" t="str">
        <f ca="1">IFERROR(__xludf.DUMMYFUNCTION("""COMPUTED_VALUE"""),"18168040000")</f>
        <v>18168040000</v>
      </c>
      <c r="N912" s="30" t="str">
        <f ca="1">IFERROR(__xludf.DUMMYFUNCTION("""COMPUTED_VALUE"""),"SANTO TOME")</f>
        <v>SANTO TOME</v>
      </c>
      <c r="O912" s="30" t="str">
        <f ca="1">IFERROR(__xludf.DUMMYFUNCTION("""COMPUTED_VALUE"""),"18168")</f>
        <v>18168</v>
      </c>
      <c r="P912" s="30" t="str">
        <f ca="1">IFERROR(__xludf.DUMMYFUNCTION("""COMPUTED_VALUE"""),"SANTO TOMÉ")</f>
        <v>SANTO TOMÉ</v>
      </c>
      <c r="Q912" s="30" t="str">
        <f ca="1">IFERROR(__xludf.DUMMYFUNCTION("""COMPUTED_VALUE"""),"-28.5516205")</f>
        <v>-28.5516205</v>
      </c>
      <c r="R912" s="30" t="str">
        <f ca="1">IFERROR(__xludf.DUMMYFUNCTION("""COMPUTED_VALUE"""),"-56.0456352")</f>
        <v>-56.0456352</v>
      </c>
      <c r="S912" s="30" t="str">
        <f ca="1">IFERROR(__xludf.DUMMYFUNCTION("""COMPUTED_VALUE"""),"Provincial")</f>
        <v>Provincial</v>
      </c>
      <c r="T912" s="30" t="str">
        <f ca="1">IFERROR(__xludf.DUMMYFUNCTION("""COMPUTED_VALUE"""),"-")</f>
        <v>-</v>
      </c>
    </row>
    <row r="913" spans="1:20" ht="15.75" customHeight="1" x14ac:dyDescent="0.25">
      <c r="A913" s="30" t="str">
        <f ca="1">IFERROR(__xludf.DUMMYFUNCTION("""COMPUTED_VALUE"""),"50181682139362")</f>
        <v>50181682139362</v>
      </c>
      <c r="B913" s="30" t="str">
        <f ca="1">IFERROR(__xludf.DUMMYFUNCTION("""COMPUTED_VALUE"""),"SALA ITUCUA")</f>
        <v>SALA ITUCUA</v>
      </c>
      <c r="C913" s="30" t="str">
        <f ca="1">IFERROR(__xludf.DUMMYFUNCTION("""COMPUTED_VALUE"""),"Corrientes")</f>
        <v>Corrientes</v>
      </c>
      <c r="D913" s="30" t="str">
        <f ca="1">IFERROR(__xludf.DUMMYFUNCTION("""COMPUTED_VALUE"""),"18")</f>
        <v>18</v>
      </c>
      <c r="E913" s="30" t="str">
        <f ca="1">IFERROR(__xludf.DUMMYFUNCTION("""COMPUTED_VALUE"""),"")</f>
        <v/>
      </c>
      <c r="F913" s="29"/>
      <c r="G913" s="29"/>
      <c r="H913" s="30" t="str">
        <f ca="1">IFERROR(__xludf.DUMMYFUNCTION("""COMPUTED_VALUE"""),"inactivo")</f>
        <v>inactivo</v>
      </c>
      <c r="I913" s="29"/>
      <c r="J913" s="29"/>
      <c r="K913" s="29"/>
      <c r="L913" s="30" t="str">
        <f ca="1">IFERROR(__xludf.DUMMYFUNCTION("""COMPUTED_VALUE"""),"No")</f>
        <v>No</v>
      </c>
      <c r="M913" s="30" t="str">
        <f ca="1">IFERROR(__xludf.DUMMYFUNCTION("""COMPUTED_VALUE"""),"18168040000")</f>
        <v>18168040000</v>
      </c>
      <c r="N913" s="30" t="str">
        <f ca="1">IFERROR(__xludf.DUMMYFUNCTION("""COMPUTED_VALUE"""),"SANTO TOME")</f>
        <v>SANTO TOME</v>
      </c>
      <c r="O913" s="30" t="str">
        <f ca="1">IFERROR(__xludf.DUMMYFUNCTION("""COMPUTED_VALUE"""),"18168")</f>
        <v>18168</v>
      </c>
      <c r="P913" s="30" t="str">
        <f ca="1">IFERROR(__xludf.DUMMYFUNCTION("""COMPUTED_VALUE"""),"SANTO TOMÉ")</f>
        <v>SANTO TOMÉ</v>
      </c>
      <c r="Q913" s="30" t="str">
        <f ca="1">IFERROR(__xludf.DUMMYFUNCTION("""COMPUTED_VALUE"""),"-28.546829")</f>
        <v>-28.546829</v>
      </c>
      <c r="R913" s="30" t="str">
        <f ca="1">IFERROR(__xludf.DUMMYFUNCTION("""COMPUTED_VALUE"""),"-56.0441609")</f>
        <v>-56.0441609</v>
      </c>
      <c r="S913" s="30" t="str">
        <f ca="1">IFERROR(__xludf.DUMMYFUNCTION("""COMPUTED_VALUE"""),"Provincial")</f>
        <v>Provincial</v>
      </c>
      <c r="T913" s="30" t="str">
        <f ca="1">IFERROR(__xludf.DUMMYFUNCTION("""COMPUTED_VALUE"""),"-")</f>
        <v>-</v>
      </c>
    </row>
    <row r="914" spans="1:20" ht="15.75" customHeight="1" x14ac:dyDescent="0.25">
      <c r="A914" s="30" t="str">
        <f ca="1">IFERROR(__xludf.DUMMYFUNCTION("""COMPUTED_VALUE"""),"50180212239390")</f>
        <v>50180212239390</v>
      </c>
      <c r="B914" s="30" t="str">
        <f ca="1">IFERROR(__xludf.DUMMYFUNCTION("""COMPUTED_VALUE"""),"SAPS ANIBAL MALVIDO")</f>
        <v>SAPS ANIBAL MALVIDO</v>
      </c>
      <c r="C914" s="30" t="str">
        <f ca="1">IFERROR(__xludf.DUMMYFUNCTION("""COMPUTED_VALUE"""),"Corrientes")</f>
        <v>Corrientes</v>
      </c>
      <c r="D914" s="30" t="str">
        <f ca="1">IFERROR(__xludf.DUMMYFUNCTION("""COMPUTED_VALUE"""),"18")</f>
        <v>18</v>
      </c>
      <c r="E914" s="30" t="str">
        <f ca="1">IFERROR(__xludf.DUMMYFUNCTION("""COMPUTED_VALUE"""),"")</f>
        <v/>
      </c>
      <c r="F914" s="29"/>
      <c r="G914" s="29"/>
      <c r="H914" s="30" t="str">
        <f ca="1">IFERROR(__xludf.DUMMYFUNCTION("""COMPUTED_VALUE"""),"activo")</f>
        <v>activo</v>
      </c>
      <c r="I914" s="29"/>
      <c r="J914" s="29"/>
      <c r="K914" s="29"/>
      <c r="L914" s="30" t="str">
        <f ca="1">IFERROR(__xludf.DUMMYFUNCTION("""COMPUTED_VALUE"""),"No")</f>
        <v>No</v>
      </c>
      <c r="M914" s="30" t="str">
        <f ca="1">IFERROR(__xludf.DUMMYFUNCTION("""COMPUTED_VALUE"""),"18021020000")</f>
        <v>18021020000</v>
      </c>
      <c r="N914" s="30" t="str">
        <f ca="1">IFERROR(__xludf.DUMMYFUNCTION("""COMPUTED_VALUE"""),"CORRIENTES")</f>
        <v>CORRIENTES</v>
      </c>
      <c r="O914" s="30" t="str">
        <f ca="1">IFERROR(__xludf.DUMMYFUNCTION("""COMPUTED_VALUE"""),"1821")</f>
        <v>1821</v>
      </c>
      <c r="P914" s="30" t="str">
        <f ca="1">IFERROR(__xludf.DUMMYFUNCTION("""COMPUTED_VALUE"""),"CAPITAL")</f>
        <v>CAPITAL</v>
      </c>
      <c r="Q914" s="30" t="str">
        <f ca="1">IFERROR(__xludf.DUMMYFUNCTION("""COMPUTED_VALUE"""),"-27.50456016")</f>
        <v>-27.50456016</v>
      </c>
      <c r="R914" s="30" t="str">
        <f ca="1">IFERROR(__xludf.DUMMYFUNCTION("""COMPUTED_VALUE"""),"-58.78131866")</f>
        <v>-58.78131866</v>
      </c>
      <c r="S914" s="30" t="str">
        <f ca="1">IFERROR(__xludf.DUMMYFUNCTION("""COMPUTED_VALUE"""),"Municipal")</f>
        <v>Municipal</v>
      </c>
      <c r="T914" s="29"/>
    </row>
    <row r="915" spans="1:20" ht="15.75" customHeight="1" x14ac:dyDescent="0.25">
      <c r="A915" s="30" t="str">
        <f ca="1">IFERROR(__xludf.DUMMYFUNCTION("""COMPUTED_VALUE"""),"50180212239391")</f>
        <v>50180212239391</v>
      </c>
      <c r="B915" s="30" t="str">
        <f ca="1">IFERROR(__xludf.DUMMYFUNCTION("""COMPUTED_VALUE"""),"SAPS BARRIO ESPERANZA")</f>
        <v>SAPS BARRIO ESPERANZA</v>
      </c>
      <c r="C915" s="30" t="str">
        <f ca="1">IFERROR(__xludf.DUMMYFUNCTION("""COMPUTED_VALUE"""),"Corrientes")</f>
        <v>Corrientes</v>
      </c>
      <c r="D915" s="30" t="str">
        <f ca="1">IFERROR(__xludf.DUMMYFUNCTION("""COMPUTED_VALUE"""),"18")</f>
        <v>18</v>
      </c>
      <c r="E915" s="30" t="str">
        <f ca="1">IFERROR(__xludf.DUMMYFUNCTION("""COMPUTED_VALUE"""),"")</f>
        <v/>
      </c>
      <c r="F915" s="29"/>
      <c r="G915" s="29"/>
      <c r="H915" s="30" t="str">
        <f ca="1">IFERROR(__xludf.DUMMYFUNCTION("""COMPUTED_VALUE"""),"activo")</f>
        <v>activo</v>
      </c>
      <c r="I915" s="29"/>
      <c r="J915" s="29"/>
      <c r="K915" s="29"/>
      <c r="L915" s="30" t="str">
        <f ca="1">IFERROR(__xludf.DUMMYFUNCTION("""COMPUTED_VALUE"""),"No")</f>
        <v>No</v>
      </c>
      <c r="M915" s="30" t="str">
        <f ca="1">IFERROR(__xludf.DUMMYFUNCTION("""COMPUTED_VALUE"""),"18021020000")</f>
        <v>18021020000</v>
      </c>
      <c r="N915" s="30" t="str">
        <f ca="1">IFERROR(__xludf.DUMMYFUNCTION("""COMPUTED_VALUE"""),"CORRIENTES")</f>
        <v>CORRIENTES</v>
      </c>
      <c r="O915" s="30" t="str">
        <f ca="1">IFERROR(__xludf.DUMMYFUNCTION("""COMPUTED_VALUE"""),"1821")</f>
        <v>1821</v>
      </c>
      <c r="P915" s="30" t="str">
        <f ca="1">IFERROR(__xludf.DUMMYFUNCTION("""COMPUTED_VALUE"""),"CAPITAL")</f>
        <v>CAPITAL</v>
      </c>
      <c r="Q915" s="30" t="str">
        <f ca="1">IFERROR(__xludf.DUMMYFUNCTION("""COMPUTED_VALUE"""),"-27.53871801")</f>
        <v>-27.53871801</v>
      </c>
      <c r="R915" s="30" t="str">
        <f ca="1">IFERROR(__xludf.DUMMYFUNCTION("""COMPUTED_VALUE"""),"-58.77960205")</f>
        <v>-58.77960205</v>
      </c>
      <c r="S915" s="30" t="str">
        <f ca="1">IFERROR(__xludf.DUMMYFUNCTION("""COMPUTED_VALUE"""),"Municipal")</f>
        <v>Municipal</v>
      </c>
      <c r="T915" s="29"/>
    </row>
    <row r="916" spans="1:20" ht="15.75" customHeight="1" x14ac:dyDescent="0.25">
      <c r="A916" s="30" t="str">
        <f ca="1">IFERROR(__xludf.DUMMYFUNCTION("""COMPUTED_VALUE"""),"50180212239405")</f>
        <v>50180212239405</v>
      </c>
      <c r="B916" s="30" t="str">
        <f ca="1">IFERROR(__xludf.DUMMYFUNCTION("""COMPUTED_VALUE"""),"SAPS DR. GUILLERMO RAWSON")</f>
        <v>SAPS DR. GUILLERMO RAWSON</v>
      </c>
      <c r="C916" s="30" t="str">
        <f ca="1">IFERROR(__xludf.DUMMYFUNCTION("""COMPUTED_VALUE"""),"Corrientes")</f>
        <v>Corrientes</v>
      </c>
      <c r="D916" s="30" t="str">
        <f ca="1">IFERROR(__xludf.DUMMYFUNCTION("""COMPUTED_VALUE"""),"18")</f>
        <v>18</v>
      </c>
      <c r="E916" s="30" t="str">
        <f ca="1">IFERROR(__xludf.DUMMYFUNCTION("""COMPUTED_VALUE"""),"")</f>
        <v/>
      </c>
      <c r="F916" s="29"/>
      <c r="G916" s="29"/>
      <c r="H916" s="30" t="str">
        <f ca="1">IFERROR(__xludf.DUMMYFUNCTION("""COMPUTED_VALUE"""),"activo")</f>
        <v>activo</v>
      </c>
      <c r="I916" s="29"/>
      <c r="J916" s="29"/>
      <c r="K916" s="29"/>
      <c r="L916" s="30" t="str">
        <f ca="1">IFERROR(__xludf.DUMMYFUNCTION("""COMPUTED_VALUE"""),"No")</f>
        <v>No</v>
      </c>
      <c r="M916" s="30" t="str">
        <f ca="1">IFERROR(__xludf.DUMMYFUNCTION("""COMPUTED_VALUE"""),"18021020000")</f>
        <v>18021020000</v>
      </c>
      <c r="N916" s="30" t="str">
        <f ca="1">IFERROR(__xludf.DUMMYFUNCTION("""COMPUTED_VALUE"""),"CORRIENTES")</f>
        <v>CORRIENTES</v>
      </c>
      <c r="O916" s="30" t="str">
        <f ca="1">IFERROR(__xludf.DUMMYFUNCTION("""COMPUTED_VALUE"""),"1821")</f>
        <v>1821</v>
      </c>
      <c r="P916" s="30" t="str">
        <f ca="1">IFERROR(__xludf.DUMMYFUNCTION("""COMPUTED_VALUE"""),"CAPITAL")</f>
        <v>CAPITAL</v>
      </c>
      <c r="Q916" s="30" t="str">
        <f ca="1">IFERROR(__xludf.DUMMYFUNCTION("""COMPUTED_VALUE"""),"-27.47636957")</f>
        <v>-27.47636957</v>
      </c>
      <c r="R916" s="30" t="str">
        <f ca="1">IFERROR(__xludf.DUMMYFUNCTION("""COMPUTED_VALUE"""),"-58.78882885")</f>
        <v>-58.78882885</v>
      </c>
      <c r="S916" s="30" t="str">
        <f ca="1">IFERROR(__xludf.DUMMYFUNCTION("""COMPUTED_VALUE"""),"Municipal")</f>
        <v>Municipal</v>
      </c>
      <c r="T916" s="29"/>
    </row>
    <row r="917" spans="1:20" ht="15.75" customHeight="1" x14ac:dyDescent="0.25">
      <c r="A917" s="30" t="str">
        <f ca="1">IFERROR(__xludf.DUMMYFUNCTION("""COMPUTED_VALUE"""),"50180212239408")</f>
        <v>50180212239408</v>
      </c>
      <c r="B917" s="30" t="str">
        <f ca="1">IFERROR(__xludf.DUMMYFUNCTION("""COMPUTED_VALUE"""),"SAPS DR. MANUEL CASUSSO")</f>
        <v>SAPS DR. MANUEL CASUSSO</v>
      </c>
      <c r="C917" s="30" t="str">
        <f ca="1">IFERROR(__xludf.DUMMYFUNCTION("""COMPUTED_VALUE"""),"Corrientes")</f>
        <v>Corrientes</v>
      </c>
      <c r="D917" s="30" t="str">
        <f ca="1">IFERROR(__xludf.DUMMYFUNCTION("""COMPUTED_VALUE"""),"18")</f>
        <v>18</v>
      </c>
      <c r="E917" s="30" t="str">
        <f ca="1">IFERROR(__xludf.DUMMYFUNCTION("""COMPUTED_VALUE"""),"")</f>
        <v/>
      </c>
      <c r="F917" s="29"/>
      <c r="G917" s="29"/>
      <c r="H917" s="30" t="str">
        <f ca="1">IFERROR(__xludf.DUMMYFUNCTION("""COMPUTED_VALUE"""),"activo")</f>
        <v>activo</v>
      </c>
      <c r="I917" s="29"/>
      <c r="J917" s="29"/>
      <c r="K917" s="29"/>
      <c r="L917" s="30" t="str">
        <f ca="1">IFERROR(__xludf.DUMMYFUNCTION("""COMPUTED_VALUE"""),"No")</f>
        <v>No</v>
      </c>
      <c r="M917" s="30" t="str">
        <f ca="1">IFERROR(__xludf.DUMMYFUNCTION("""COMPUTED_VALUE"""),"18021020000")</f>
        <v>18021020000</v>
      </c>
      <c r="N917" s="30" t="str">
        <f ca="1">IFERROR(__xludf.DUMMYFUNCTION("""COMPUTED_VALUE"""),"CORRIENTES")</f>
        <v>CORRIENTES</v>
      </c>
      <c r="O917" s="30" t="str">
        <f ca="1">IFERROR(__xludf.DUMMYFUNCTION("""COMPUTED_VALUE"""),"1821")</f>
        <v>1821</v>
      </c>
      <c r="P917" s="30" t="str">
        <f ca="1">IFERROR(__xludf.DUMMYFUNCTION("""COMPUTED_VALUE"""),"CAPITAL")</f>
        <v>CAPITAL</v>
      </c>
      <c r="Q917" s="30" t="str">
        <f ca="1">IFERROR(__xludf.DUMMYFUNCTION("""COMPUTED_VALUE"""),"-27.51373339")</f>
        <v>-27.51373339</v>
      </c>
      <c r="R917" s="30" t="str">
        <f ca="1">IFERROR(__xludf.DUMMYFUNCTION("""COMPUTED_VALUE"""),"-58.81030798")</f>
        <v>-58.81030798</v>
      </c>
      <c r="S917" s="30" t="str">
        <f ca="1">IFERROR(__xludf.DUMMYFUNCTION("""COMPUTED_VALUE"""),"Municipal")</f>
        <v>Municipal</v>
      </c>
      <c r="T917" s="29"/>
    </row>
    <row r="918" spans="1:20" ht="15.75" customHeight="1" x14ac:dyDescent="0.25">
      <c r="A918" s="30" t="str">
        <f ca="1">IFERROR(__xludf.DUMMYFUNCTION("""COMPUTED_VALUE"""),"50180212239414")</f>
        <v>50180212239414</v>
      </c>
      <c r="B918" s="30" t="str">
        <f ca="1">IFERROR(__xludf.DUMMYFUNCTION("""COMPUTED_VALUE"""),"SAPS ELIAS GALVAN")</f>
        <v>SAPS ELIAS GALVAN</v>
      </c>
      <c r="C918" s="30" t="str">
        <f ca="1">IFERROR(__xludf.DUMMYFUNCTION("""COMPUTED_VALUE"""),"Corrientes")</f>
        <v>Corrientes</v>
      </c>
      <c r="D918" s="30" t="str">
        <f ca="1">IFERROR(__xludf.DUMMYFUNCTION("""COMPUTED_VALUE"""),"18")</f>
        <v>18</v>
      </c>
      <c r="E918" s="30" t="str">
        <f ca="1">IFERROR(__xludf.DUMMYFUNCTION("""COMPUTED_VALUE"""),"")</f>
        <v/>
      </c>
      <c r="F918" s="29"/>
      <c r="G918" s="29"/>
      <c r="H918" s="30" t="str">
        <f ca="1">IFERROR(__xludf.DUMMYFUNCTION("""COMPUTED_VALUE"""),"activo")</f>
        <v>activo</v>
      </c>
      <c r="I918" s="29"/>
      <c r="J918" s="29"/>
      <c r="K918" s="29"/>
      <c r="L918" s="30" t="str">
        <f ca="1">IFERROR(__xludf.DUMMYFUNCTION("""COMPUTED_VALUE"""),"No")</f>
        <v>No</v>
      </c>
      <c r="M918" s="30" t="str">
        <f ca="1">IFERROR(__xludf.DUMMYFUNCTION("""COMPUTED_VALUE"""),"18021020000")</f>
        <v>18021020000</v>
      </c>
      <c r="N918" s="30" t="str">
        <f ca="1">IFERROR(__xludf.DUMMYFUNCTION("""COMPUTED_VALUE"""),"CORRIENTES")</f>
        <v>CORRIENTES</v>
      </c>
      <c r="O918" s="30" t="str">
        <f ca="1">IFERROR(__xludf.DUMMYFUNCTION("""COMPUTED_VALUE"""),"1821")</f>
        <v>1821</v>
      </c>
      <c r="P918" s="30" t="str">
        <f ca="1">IFERROR(__xludf.DUMMYFUNCTION("""COMPUTED_VALUE"""),"CAPITAL")</f>
        <v>CAPITAL</v>
      </c>
      <c r="Q918" s="30" t="str">
        <f ca="1">IFERROR(__xludf.DUMMYFUNCTION("""COMPUTED_VALUE"""),"-27.48550708")</f>
        <v>-27.48550708</v>
      </c>
      <c r="R918" s="30" t="str">
        <f ca="1">IFERROR(__xludf.DUMMYFUNCTION("""COMPUTED_VALUE"""),"-58.84732246")</f>
        <v>-58.84732246</v>
      </c>
      <c r="S918" s="30" t="str">
        <f ca="1">IFERROR(__xludf.DUMMYFUNCTION("""COMPUTED_VALUE"""),"Municipal")</f>
        <v>Municipal</v>
      </c>
      <c r="T918" s="29"/>
    </row>
    <row r="919" spans="1:20" ht="15.75" customHeight="1" x14ac:dyDescent="0.25">
      <c r="A919" s="30" t="str">
        <f ca="1">IFERROR(__xludf.DUMMYFUNCTION("""COMPUTED_VALUE"""),"50180212239419")</f>
        <v>50180212239419</v>
      </c>
      <c r="B919" s="30" t="str">
        <f ca="1">IFERROR(__xludf.DUMMYFUNCTION("""COMPUTED_VALUE"""),"SAPS ALBERTO LIFSCHITZ")</f>
        <v>SAPS ALBERTO LIFSCHITZ</v>
      </c>
      <c r="C919" s="30" t="str">
        <f ca="1">IFERROR(__xludf.DUMMYFUNCTION("""COMPUTED_VALUE"""),"Corrientes")</f>
        <v>Corrientes</v>
      </c>
      <c r="D919" s="30" t="str">
        <f ca="1">IFERROR(__xludf.DUMMYFUNCTION("""COMPUTED_VALUE"""),"18")</f>
        <v>18</v>
      </c>
      <c r="E919" s="30" t="str">
        <f ca="1">IFERROR(__xludf.DUMMYFUNCTION("""COMPUTED_VALUE"""),"")</f>
        <v/>
      </c>
      <c r="F919" s="29"/>
      <c r="G919" s="29"/>
      <c r="H919" s="30" t="str">
        <f ca="1">IFERROR(__xludf.DUMMYFUNCTION("""COMPUTED_VALUE"""),"activo")</f>
        <v>activo</v>
      </c>
      <c r="I919" s="29"/>
      <c r="J919" s="29"/>
      <c r="K919" s="29"/>
      <c r="L919" s="30" t="str">
        <f ca="1">IFERROR(__xludf.DUMMYFUNCTION("""COMPUTED_VALUE"""),"No")</f>
        <v>No</v>
      </c>
      <c r="M919" s="30" t="str">
        <f ca="1">IFERROR(__xludf.DUMMYFUNCTION("""COMPUTED_VALUE"""),"18021020000")</f>
        <v>18021020000</v>
      </c>
      <c r="N919" s="30" t="str">
        <f ca="1">IFERROR(__xludf.DUMMYFUNCTION("""COMPUTED_VALUE"""),"CORRIENTES")</f>
        <v>CORRIENTES</v>
      </c>
      <c r="O919" s="30" t="str">
        <f ca="1">IFERROR(__xludf.DUMMYFUNCTION("""COMPUTED_VALUE"""),"1821")</f>
        <v>1821</v>
      </c>
      <c r="P919" s="30" t="str">
        <f ca="1">IFERROR(__xludf.DUMMYFUNCTION("""COMPUTED_VALUE"""),"CAPITAL")</f>
        <v>CAPITAL</v>
      </c>
      <c r="Q919" s="30" t="str">
        <f ca="1">IFERROR(__xludf.DUMMYFUNCTION("""COMPUTED_VALUE"""),"-27.5059385")</f>
        <v>-27.5059385</v>
      </c>
      <c r="R919" s="30" t="str">
        <f ca="1">IFERROR(__xludf.DUMMYFUNCTION("""COMPUTED_VALUE"""),"-58.8089892")</f>
        <v>-58.8089892</v>
      </c>
      <c r="S919" s="30" t="str">
        <f ca="1">IFERROR(__xludf.DUMMYFUNCTION("""COMPUTED_VALUE"""),"Municipal")</f>
        <v>Municipal</v>
      </c>
      <c r="T919" s="29"/>
    </row>
    <row r="920" spans="1:20" ht="15.75" customHeight="1" x14ac:dyDescent="0.25">
      <c r="A920" s="30" t="str">
        <f ca="1">IFERROR(__xludf.DUMMYFUNCTION("""COMPUTED_VALUE"""),"50180212239421")</f>
        <v>50180212239421</v>
      </c>
      <c r="B920" s="30" t="str">
        <f ca="1">IFERROR(__xludf.DUMMYFUNCTION("""COMPUTED_VALUE"""),"SAPS LOMAS")</f>
        <v>SAPS LOMAS</v>
      </c>
      <c r="C920" s="30" t="str">
        <f ca="1">IFERROR(__xludf.DUMMYFUNCTION("""COMPUTED_VALUE"""),"Corrientes")</f>
        <v>Corrientes</v>
      </c>
      <c r="D920" s="30" t="str">
        <f ca="1">IFERROR(__xludf.DUMMYFUNCTION("""COMPUTED_VALUE"""),"18")</f>
        <v>18</v>
      </c>
      <c r="E920" s="30" t="str">
        <f ca="1">IFERROR(__xludf.DUMMYFUNCTION("""COMPUTED_VALUE"""),"")</f>
        <v/>
      </c>
      <c r="F920" s="29"/>
      <c r="G920" s="29"/>
      <c r="H920" s="30" t="str">
        <f ca="1">IFERROR(__xludf.DUMMYFUNCTION("""COMPUTED_VALUE"""),"activo")</f>
        <v>activo</v>
      </c>
      <c r="I920" s="29"/>
      <c r="J920" s="29"/>
      <c r="K920" s="29"/>
      <c r="L920" s="30" t="str">
        <f ca="1">IFERROR(__xludf.DUMMYFUNCTION("""COMPUTED_VALUE"""),"No")</f>
        <v>No</v>
      </c>
      <c r="M920" s="30" t="str">
        <f ca="1">IFERROR(__xludf.DUMMYFUNCTION("""COMPUTED_VALUE"""),"18021020000")</f>
        <v>18021020000</v>
      </c>
      <c r="N920" s="30" t="str">
        <f ca="1">IFERROR(__xludf.DUMMYFUNCTION("""COMPUTED_VALUE"""),"CORRIENTES")</f>
        <v>CORRIENTES</v>
      </c>
      <c r="O920" s="30" t="str">
        <f ca="1">IFERROR(__xludf.DUMMYFUNCTION("""COMPUTED_VALUE"""),"1821")</f>
        <v>1821</v>
      </c>
      <c r="P920" s="30" t="str">
        <f ca="1">IFERROR(__xludf.DUMMYFUNCTION("""COMPUTED_VALUE"""),"CAPITAL")</f>
        <v>CAPITAL</v>
      </c>
      <c r="Q920" s="30" t="str">
        <f ca="1">IFERROR(__xludf.DUMMYFUNCTION("""COMPUTED_VALUE"""),"-27.48748677")</f>
        <v>-27.48748677</v>
      </c>
      <c r="R920" s="30" t="str">
        <f ca="1">IFERROR(__xludf.DUMMYFUNCTION("""COMPUTED_VALUE"""),"-58.75009775")</f>
        <v>-58.75009775</v>
      </c>
      <c r="S920" s="30" t="str">
        <f ca="1">IFERROR(__xludf.DUMMYFUNCTION("""COMPUTED_VALUE"""),"Municipal")</f>
        <v>Municipal</v>
      </c>
      <c r="T920" s="29"/>
    </row>
    <row r="921" spans="1:20" ht="15.75" customHeight="1" x14ac:dyDescent="0.25">
      <c r="A921" s="30" t="str">
        <f ca="1">IFERROR(__xludf.DUMMYFUNCTION("""COMPUTED_VALUE"""),"50180212239425")</f>
        <v>50180212239425</v>
      </c>
      <c r="B921" s="30" t="str">
        <f ca="1">IFERROR(__xludf.DUMMYFUNCTION("""COMPUTED_VALUE"""),"SAPS Nº 3 DR. MIGUEL ROSSI CANDIA")</f>
        <v>SAPS Nº 3 DR. MIGUEL ROSSI CANDIA</v>
      </c>
      <c r="C921" s="30" t="str">
        <f ca="1">IFERROR(__xludf.DUMMYFUNCTION("""COMPUTED_VALUE"""),"Corrientes")</f>
        <v>Corrientes</v>
      </c>
      <c r="D921" s="30" t="str">
        <f ca="1">IFERROR(__xludf.DUMMYFUNCTION("""COMPUTED_VALUE"""),"18")</f>
        <v>18</v>
      </c>
      <c r="E921" s="30" t="str">
        <f ca="1">IFERROR(__xludf.DUMMYFUNCTION("""COMPUTED_VALUE"""),"")</f>
        <v/>
      </c>
      <c r="F921" s="29"/>
      <c r="G921" s="29"/>
      <c r="H921" s="30" t="str">
        <f ca="1">IFERROR(__xludf.DUMMYFUNCTION("""COMPUTED_VALUE"""),"activo")</f>
        <v>activo</v>
      </c>
      <c r="I921" s="29"/>
      <c r="J921" s="29"/>
      <c r="K921" s="29"/>
      <c r="L921" s="30" t="str">
        <f ca="1">IFERROR(__xludf.DUMMYFUNCTION("""COMPUTED_VALUE"""),"No")</f>
        <v>No</v>
      </c>
      <c r="M921" s="30" t="str">
        <f ca="1">IFERROR(__xludf.DUMMYFUNCTION("""COMPUTED_VALUE"""),"18021020000")</f>
        <v>18021020000</v>
      </c>
      <c r="N921" s="30" t="str">
        <f ca="1">IFERROR(__xludf.DUMMYFUNCTION("""COMPUTED_VALUE"""),"CORRIENTES")</f>
        <v>CORRIENTES</v>
      </c>
      <c r="O921" s="30" t="str">
        <f ca="1">IFERROR(__xludf.DUMMYFUNCTION("""COMPUTED_VALUE"""),"1821")</f>
        <v>1821</v>
      </c>
      <c r="P921" s="30" t="str">
        <f ca="1">IFERROR(__xludf.DUMMYFUNCTION("""COMPUTED_VALUE"""),"CAPITAL")</f>
        <v>CAPITAL</v>
      </c>
      <c r="Q921" s="30" t="str">
        <f ca="1">IFERROR(__xludf.DUMMYFUNCTION("""COMPUTED_VALUE"""),"-27.49685177")</f>
        <v>-27.49685177</v>
      </c>
      <c r="R921" s="30" t="str">
        <f ca="1">IFERROR(__xludf.DUMMYFUNCTION("""COMPUTED_VALUE"""),"-58.82921219")</f>
        <v>-58.82921219</v>
      </c>
      <c r="S921" s="30" t="str">
        <f ca="1">IFERROR(__xludf.DUMMYFUNCTION("""COMPUTED_VALUE"""),"Municipal")</f>
        <v>Municipal</v>
      </c>
      <c r="T921" s="29"/>
    </row>
    <row r="922" spans="1:20" ht="15.75" customHeight="1" x14ac:dyDescent="0.25">
      <c r="A922" s="30" t="str">
        <f ca="1">IFERROR(__xludf.DUMMYFUNCTION("""COMPUTED_VALUE"""),"50180212239435")</f>
        <v>50180212239435</v>
      </c>
      <c r="B922" s="30" t="str">
        <f ca="1">IFERROR(__xludf.DUMMYFUNCTION("""COMPUTED_VALUE"""),"SAPS 29 SANTA MARTA")</f>
        <v>SAPS 29 SANTA MARTA</v>
      </c>
      <c r="C922" s="30" t="str">
        <f ca="1">IFERROR(__xludf.DUMMYFUNCTION("""COMPUTED_VALUE"""),"Corrientes")</f>
        <v>Corrientes</v>
      </c>
      <c r="D922" s="30" t="str">
        <f ca="1">IFERROR(__xludf.DUMMYFUNCTION("""COMPUTED_VALUE"""),"18")</f>
        <v>18</v>
      </c>
      <c r="E922" s="30" t="str">
        <f ca="1">IFERROR(__xludf.DUMMYFUNCTION("""COMPUTED_VALUE"""),"")</f>
        <v/>
      </c>
      <c r="F922" s="29"/>
      <c r="G922" s="29"/>
      <c r="H922" s="30" t="str">
        <f ca="1">IFERROR(__xludf.DUMMYFUNCTION("""COMPUTED_VALUE"""),"activo")</f>
        <v>activo</v>
      </c>
      <c r="I922" s="29"/>
      <c r="J922" s="29"/>
      <c r="K922" s="29"/>
      <c r="L922" s="30" t="str">
        <f ca="1">IFERROR(__xludf.DUMMYFUNCTION("""COMPUTED_VALUE"""),"No")</f>
        <v>No</v>
      </c>
      <c r="M922" s="30" t="str">
        <f ca="1">IFERROR(__xludf.DUMMYFUNCTION("""COMPUTED_VALUE"""),"18021020000")</f>
        <v>18021020000</v>
      </c>
      <c r="N922" s="30" t="str">
        <f ca="1">IFERROR(__xludf.DUMMYFUNCTION("""COMPUTED_VALUE"""),"CORRIENTES")</f>
        <v>CORRIENTES</v>
      </c>
      <c r="O922" s="30" t="str">
        <f ca="1">IFERROR(__xludf.DUMMYFUNCTION("""COMPUTED_VALUE"""),"1821")</f>
        <v>1821</v>
      </c>
      <c r="P922" s="30" t="str">
        <f ca="1">IFERROR(__xludf.DUMMYFUNCTION("""COMPUTED_VALUE"""),"CAPITAL")</f>
        <v>CAPITAL</v>
      </c>
      <c r="Q922" s="30" t="str">
        <f ca="1">IFERROR(__xludf.DUMMYFUNCTION("""COMPUTED_VALUE"""),"-27.4938444")</f>
        <v>-27.4938444</v>
      </c>
      <c r="R922" s="30" t="str">
        <f ca="1">IFERROR(__xludf.DUMMYFUNCTION("""COMPUTED_VALUE"""),"-58.84105682")</f>
        <v>-58.84105682</v>
      </c>
      <c r="S922" s="30" t="str">
        <f ca="1">IFERROR(__xludf.DUMMYFUNCTION("""COMPUTED_VALUE"""),"Municipal")</f>
        <v>Municipal</v>
      </c>
      <c r="T922" s="29"/>
    </row>
    <row r="923" spans="1:20" ht="15.75" customHeight="1" x14ac:dyDescent="0.25">
      <c r="A923" s="30" t="str">
        <f ca="1">IFERROR(__xludf.DUMMYFUNCTION("""COMPUTED_VALUE"""),"50180212139410")</f>
        <v>50180212139410</v>
      </c>
      <c r="B923" s="30" t="str">
        <f ca="1">IFERROR(__xludf.DUMMYFUNCTION("""COMPUTED_VALUE"""),"SAPS DR. MIGUEL SUSSINI")</f>
        <v>SAPS DR. MIGUEL SUSSINI</v>
      </c>
      <c r="C923" s="30" t="str">
        <f ca="1">IFERROR(__xludf.DUMMYFUNCTION("""COMPUTED_VALUE"""),"Corrientes")</f>
        <v>Corrientes</v>
      </c>
      <c r="D923" s="30" t="str">
        <f ca="1">IFERROR(__xludf.DUMMYFUNCTION("""COMPUTED_VALUE"""),"18")</f>
        <v>18</v>
      </c>
      <c r="E923" s="30" t="str">
        <f ca="1">IFERROR(__xludf.DUMMYFUNCTION("""COMPUTED_VALUE"""),"")</f>
        <v/>
      </c>
      <c r="F923" s="29"/>
      <c r="G923" s="29"/>
      <c r="H923" s="30" t="str">
        <f ca="1">IFERROR(__xludf.DUMMYFUNCTION("""COMPUTED_VALUE"""),"activo")</f>
        <v>activo</v>
      </c>
      <c r="I923" s="29"/>
      <c r="J923" s="29"/>
      <c r="K923" s="29"/>
      <c r="L923" s="30" t="str">
        <f ca="1">IFERROR(__xludf.DUMMYFUNCTION("""COMPUTED_VALUE"""),"No")</f>
        <v>No</v>
      </c>
      <c r="M923" s="30" t="str">
        <f ca="1">IFERROR(__xludf.DUMMYFUNCTION("""COMPUTED_VALUE"""),"18021020000")</f>
        <v>18021020000</v>
      </c>
      <c r="N923" s="30" t="str">
        <f ca="1">IFERROR(__xludf.DUMMYFUNCTION("""COMPUTED_VALUE"""),"CORRIENTES")</f>
        <v>CORRIENTES</v>
      </c>
      <c r="O923" s="30" t="str">
        <f ca="1">IFERROR(__xludf.DUMMYFUNCTION("""COMPUTED_VALUE"""),"1821")</f>
        <v>1821</v>
      </c>
      <c r="P923" s="30" t="str">
        <f ca="1">IFERROR(__xludf.DUMMYFUNCTION("""COMPUTED_VALUE"""),"CAPITAL")</f>
        <v>CAPITAL</v>
      </c>
      <c r="Q923" s="30" t="str">
        <f ca="1">IFERROR(__xludf.DUMMYFUNCTION("""COMPUTED_VALUE"""),"-27.4743929")</f>
        <v>-27.4743929</v>
      </c>
      <c r="R923" s="30" t="str">
        <f ca="1">IFERROR(__xludf.DUMMYFUNCTION("""COMPUTED_VALUE"""),"-58.8474402")</f>
        <v>-58.8474402</v>
      </c>
      <c r="S923" s="30" t="str">
        <f ca="1">IFERROR(__xludf.DUMMYFUNCTION("""COMPUTED_VALUE"""),"Provincial")</f>
        <v>Provincial</v>
      </c>
      <c r="T923" s="30" t="str">
        <f ca="1">IFERROR(__xludf.DUMMYFUNCTION("""COMPUTED_VALUE"""),"-")</f>
        <v>-</v>
      </c>
    </row>
    <row r="924" spans="1:20" ht="15.75" customHeight="1" x14ac:dyDescent="0.25">
      <c r="A924" s="30" t="str">
        <f ca="1">IFERROR(__xludf.DUMMYFUNCTION("""COMPUTED_VALUE"""),"50180352239165")</f>
        <v>50180352239165</v>
      </c>
      <c r="B924" s="30" t="str">
        <f ca="1">IFERROR(__xludf.DUMMYFUNCTION("""COMPUTED_VALUE"""),"CENTRO INTEGRADOR COMUNITARIO (CURUZU CUATIA)")</f>
        <v>CENTRO INTEGRADOR COMUNITARIO (CURUZU CUATIA)</v>
      </c>
      <c r="C924" s="30" t="str">
        <f ca="1">IFERROR(__xludf.DUMMYFUNCTION("""COMPUTED_VALUE"""),"Corrientes")</f>
        <v>Corrientes</v>
      </c>
      <c r="D924" s="30" t="str">
        <f ca="1">IFERROR(__xludf.DUMMYFUNCTION("""COMPUTED_VALUE"""),"18")</f>
        <v>18</v>
      </c>
      <c r="E924" s="30" t="str">
        <f ca="1">IFERROR(__xludf.DUMMYFUNCTION("""COMPUTED_VALUE"""),"")</f>
        <v/>
      </c>
      <c r="F924" s="29"/>
      <c r="G924" s="29"/>
      <c r="H924" s="30" t="str">
        <f ca="1">IFERROR(__xludf.DUMMYFUNCTION("""COMPUTED_VALUE"""),"activo")</f>
        <v>activo</v>
      </c>
      <c r="I924" s="29"/>
      <c r="J924" s="29"/>
      <c r="K924" s="29"/>
      <c r="L924" s="30" t="str">
        <f ca="1">IFERROR(__xludf.DUMMYFUNCTION("""COMPUTED_VALUE"""),"No")</f>
        <v>No</v>
      </c>
      <c r="M924" s="30" t="str">
        <f ca="1">IFERROR(__xludf.DUMMYFUNCTION("""COMPUTED_VALUE"""),"18035020000")</f>
        <v>18035020000</v>
      </c>
      <c r="N924" s="30" t="str">
        <f ca="1">IFERROR(__xludf.DUMMYFUNCTION("""COMPUTED_VALUE"""),"CURUZU CUATIA")</f>
        <v>CURUZU CUATIA</v>
      </c>
      <c r="O924" s="30" t="str">
        <f ca="1">IFERROR(__xludf.DUMMYFUNCTION("""COMPUTED_VALUE"""),"1835")</f>
        <v>1835</v>
      </c>
      <c r="P924" s="30" t="str">
        <f ca="1">IFERROR(__xludf.DUMMYFUNCTION("""COMPUTED_VALUE"""),"CURUZÚ CUATIÁ")</f>
        <v>CURUZÚ CUATIÁ</v>
      </c>
      <c r="Q924" s="30" t="str">
        <f ca="1">IFERROR(__xludf.DUMMYFUNCTION("""COMPUTED_VALUE"""),"-29.790601")</f>
        <v>-29.790601</v>
      </c>
      <c r="R924" s="30" t="str">
        <f ca="1">IFERROR(__xludf.DUMMYFUNCTION("""COMPUTED_VALUE"""),"-58.050399")</f>
        <v>-58.050399</v>
      </c>
      <c r="S924" s="30" t="str">
        <f ca="1">IFERROR(__xludf.DUMMYFUNCTION("""COMPUTED_VALUE"""),"Municipal")</f>
        <v>Municipal</v>
      </c>
      <c r="T924" s="29"/>
    </row>
    <row r="925" spans="1:20" ht="15.75" customHeight="1" x14ac:dyDescent="0.25">
      <c r="A925" s="30" t="str">
        <f ca="1">IFERROR(__xludf.DUMMYFUNCTION("""COMPUTED_VALUE"""),"50180352239227")</f>
        <v>50180352239227</v>
      </c>
      <c r="B925" s="30" t="str">
        <f ca="1">IFERROR(__xludf.DUMMYFUNCTION("""COMPUTED_VALUE"""),"JUAN PEDRO SORRIBES")</f>
        <v>JUAN PEDRO SORRIBES</v>
      </c>
      <c r="C925" s="30" t="str">
        <f ca="1">IFERROR(__xludf.DUMMYFUNCTION("""COMPUTED_VALUE"""),"Corrientes")</f>
        <v>Corrientes</v>
      </c>
      <c r="D925" s="30" t="str">
        <f ca="1">IFERROR(__xludf.DUMMYFUNCTION("""COMPUTED_VALUE"""),"18")</f>
        <v>18</v>
      </c>
      <c r="E925" s="30" t="str">
        <f ca="1">IFERROR(__xludf.DUMMYFUNCTION("""COMPUTED_VALUE"""),"")</f>
        <v/>
      </c>
      <c r="F925" s="29"/>
      <c r="G925" s="29"/>
      <c r="H925" s="30" t="str">
        <f ca="1">IFERROR(__xludf.DUMMYFUNCTION("""COMPUTED_VALUE"""),"activo")</f>
        <v>activo</v>
      </c>
      <c r="I925" s="29"/>
      <c r="J925" s="29"/>
      <c r="K925" s="29"/>
      <c r="L925" s="30" t="str">
        <f ca="1">IFERROR(__xludf.DUMMYFUNCTION("""COMPUTED_VALUE"""),"No")</f>
        <v>No</v>
      </c>
      <c r="M925" s="30" t="str">
        <f ca="1">IFERROR(__xludf.DUMMYFUNCTION("""COMPUTED_VALUE"""),"18035020000")</f>
        <v>18035020000</v>
      </c>
      <c r="N925" s="30" t="str">
        <f ca="1">IFERROR(__xludf.DUMMYFUNCTION("""COMPUTED_VALUE"""),"CURUZU CUATIA")</f>
        <v>CURUZU CUATIA</v>
      </c>
      <c r="O925" s="30" t="str">
        <f ca="1">IFERROR(__xludf.DUMMYFUNCTION("""COMPUTED_VALUE"""),"1835")</f>
        <v>1835</v>
      </c>
      <c r="P925" s="30" t="str">
        <f ca="1">IFERROR(__xludf.DUMMYFUNCTION("""COMPUTED_VALUE"""),"CURUZÚ CUATIÁ")</f>
        <v>CURUZÚ CUATIÁ</v>
      </c>
      <c r="Q925" s="30" t="str">
        <f ca="1">IFERROR(__xludf.DUMMYFUNCTION("""COMPUTED_VALUE"""),"-29.7915416")</f>
        <v>-29.7915416</v>
      </c>
      <c r="R925" s="30" t="str">
        <f ca="1">IFERROR(__xludf.DUMMYFUNCTION("""COMPUTED_VALUE"""),"-58.0499307")</f>
        <v>-58.0499307</v>
      </c>
      <c r="S925" s="30" t="str">
        <f ca="1">IFERROR(__xludf.DUMMYFUNCTION("""COMPUTED_VALUE"""),"Municipal")</f>
        <v>Municipal</v>
      </c>
      <c r="T925" s="29"/>
    </row>
    <row r="926" spans="1:20" ht="15.75" customHeight="1" x14ac:dyDescent="0.25">
      <c r="A926" s="30" t="str">
        <f ca="1">IFERROR(__xludf.DUMMYFUNCTION("""COMPUTED_VALUE"""),"50180352239229")</f>
        <v>50180352239229</v>
      </c>
      <c r="B926" s="30" t="str">
        <f ca="1">IFERROR(__xludf.DUMMYFUNCTION("""COMPUTED_VALUE"""),"JUANA GARIN DE BENA")</f>
        <v>JUANA GARIN DE BENA</v>
      </c>
      <c r="C926" s="30" t="str">
        <f ca="1">IFERROR(__xludf.DUMMYFUNCTION("""COMPUTED_VALUE"""),"Corrientes")</f>
        <v>Corrientes</v>
      </c>
      <c r="D926" s="30" t="str">
        <f ca="1">IFERROR(__xludf.DUMMYFUNCTION("""COMPUTED_VALUE"""),"18")</f>
        <v>18</v>
      </c>
      <c r="E926" s="30" t="str">
        <f ca="1">IFERROR(__xludf.DUMMYFUNCTION("""COMPUTED_VALUE"""),"")</f>
        <v/>
      </c>
      <c r="F926" s="29"/>
      <c r="G926" s="29"/>
      <c r="H926" s="30" t="str">
        <f ca="1">IFERROR(__xludf.DUMMYFUNCTION("""COMPUTED_VALUE"""),"inactivo")</f>
        <v>inactivo</v>
      </c>
      <c r="I926" s="30" t="str">
        <f ca="1">IFERROR(__xludf.DUMMYFUNCTION("""COMPUTED_VALUE"""),"baja solicitada por la provincia en mail con fecha 28-7-2022")</f>
        <v>baja solicitada por la provincia en mail con fecha 28-7-2022</v>
      </c>
      <c r="J926" s="29"/>
      <c r="K926" s="29"/>
      <c r="L926" s="30" t="str">
        <f ca="1">IFERROR(__xludf.DUMMYFUNCTION("""COMPUTED_VALUE"""),"No")</f>
        <v>No</v>
      </c>
      <c r="M926" s="30" t="str">
        <f ca="1">IFERROR(__xludf.DUMMYFUNCTION("""COMPUTED_VALUE"""),"18035020000")</f>
        <v>18035020000</v>
      </c>
      <c r="N926" s="30" t="str">
        <f ca="1">IFERROR(__xludf.DUMMYFUNCTION("""COMPUTED_VALUE"""),"CURUZU CUATIA")</f>
        <v>CURUZU CUATIA</v>
      </c>
      <c r="O926" s="30" t="str">
        <f ca="1">IFERROR(__xludf.DUMMYFUNCTION("""COMPUTED_VALUE"""),"1835")</f>
        <v>1835</v>
      </c>
      <c r="P926" s="30" t="str">
        <f ca="1">IFERROR(__xludf.DUMMYFUNCTION("""COMPUTED_VALUE"""),"CURUZÚ CUATIÁ")</f>
        <v>CURUZÚ CUATIÁ</v>
      </c>
      <c r="Q926" s="30" t="str">
        <f ca="1">IFERROR(__xludf.DUMMYFUNCTION("""COMPUTED_VALUE"""),"-29.7915416")</f>
        <v>-29.7915416</v>
      </c>
      <c r="R926" s="30" t="str">
        <f ca="1">IFERROR(__xludf.DUMMYFUNCTION("""COMPUTED_VALUE"""),"-58.0499307")</f>
        <v>-58.0499307</v>
      </c>
      <c r="S926" s="30" t="str">
        <f ca="1">IFERROR(__xludf.DUMMYFUNCTION("""COMPUTED_VALUE"""),"Municipal")</f>
        <v>Municipal</v>
      </c>
      <c r="T926" s="29"/>
    </row>
    <row r="927" spans="1:20" ht="15.75" customHeight="1" x14ac:dyDescent="0.25">
      <c r="A927" s="30" t="str">
        <f ca="1">IFERROR(__xludf.DUMMYFUNCTION("""COMPUTED_VALUE"""),"14180212139564")</f>
        <v>14180212139564</v>
      </c>
      <c r="B927" s="30" t="str">
        <f ca="1">IFERROR(__xludf.DUMMYFUNCTION("""COMPUTED_VALUE"""),"HOSPITAL PRESIDENTE RAUL ALFONSIN")</f>
        <v>HOSPITAL PRESIDENTE RAUL ALFONSIN</v>
      </c>
      <c r="C927" s="30" t="str">
        <f ca="1">IFERROR(__xludf.DUMMYFUNCTION("""COMPUTED_VALUE"""),"Corrientes")</f>
        <v>Corrientes</v>
      </c>
      <c r="D927" s="30" t="str">
        <f ca="1">IFERROR(__xludf.DUMMYFUNCTION("""COMPUTED_VALUE"""),"18")</f>
        <v>18</v>
      </c>
      <c r="E927" s="30" t="str">
        <f ca="1">IFERROR(__xludf.DUMMYFUNCTION("""COMPUTED_VALUE"""),"")</f>
        <v/>
      </c>
      <c r="F927" s="29"/>
      <c r="G927" s="29"/>
      <c r="H927" s="30" t="str">
        <f ca="1">IFERROR(__xludf.DUMMYFUNCTION("""COMPUTED_VALUE"""),"activo")</f>
        <v>activo</v>
      </c>
      <c r="I927" s="29"/>
      <c r="J927" s="29"/>
      <c r="K927" s="29"/>
      <c r="L927" s="30" t="str">
        <f ca="1">IFERROR(__xludf.DUMMYFUNCTION("""COMPUTED_VALUE"""),"No")</f>
        <v>No</v>
      </c>
      <c r="M927" s="30" t="str">
        <f ca="1">IFERROR(__xludf.DUMMYFUNCTION("""COMPUTED_VALUE"""),"18021040000")</f>
        <v>18021040000</v>
      </c>
      <c r="N927" s="30" t="str">
        <f ca="1">IFERROR(__xludf.DUMMYFUNCTION("""COMPUTED_VALUE"""),"RIACHUELO")</f>
        <v>RIACHUELO</v>
      </c>
      <c r="O927" s="30" t="str">
        <f ca="1">IFERROR(__xludf.DUMMYFUNCTION("""COMPUTED_VALUE"""),"1821")</f>
        <v>1821</v>
      </c>
      <c r="P927" s="30" t="str">
        <f ca="1">IFERROR(__xludf.DUMMYFUNCTION("""COMPUTED_VALUE"""),"CAPITAL")</f>
        <v>CAPITAL</v>
      </c>
      <c r="Q927" s="30" t="str">
        <f ca="1">IFERROR(__xludf.DUMMYFUNCTION("""COMPUTED_VALUE"""),"-27.58072046")</f>
        <v>-27.58072046</v>
      </c>
      <c r="R927" s="30" t="str">
        <f ca="1">IFERROR(__xludf.DUMMYFUNCTION("""COMPUTED_VALUE"""),"-58.74252319")</f>
        <v>-58.74252319</v>
      </c>
      <c r="S927" s="30" t="str">
        <f ca="1">IFERROR(__xludf.DUMMYFUNCTION("""COMPUTED_VALUE"""),"Provincial")</f>
        <v>Provincial</v>
      </c>
      <c r="T927" s="30" t="str">
        <f ca="1">IFERROR(__xludf.DUMMYFUNCTION("""COMPUTED_VALUE"""),"-")</f>
        <v>-</v>
      </c>
    </row>
    <row r="928" spans="1:20" ht="15.75" customHeight="1" x14ac:dyDescent="0.25">
      <c r="A928" s="30" t="str">
        <f ca="1">IFERROR(__xludf.DUMMYFUNCTION("""COMPUTED_VALUE"""),"50180212139568")</f>
        <v>50180212139568</v>
      </c>
      <c r="B928" s="30" t="str">
        <f ca="1">IFERROR(__xludf.DUMMYFUNCTION("""COMPUTED_VALUE"""),"CAPS XV PRESIDENTE ARTURO ILLIA")</f>
        <v>CAPS XV PRESIDENTE ARTURO ILLIA</v>
      </c>
      <c r="C928" s="30" t="str">
        <f ca="1">IFERROR(__xludf.DUMMYFUNCTION("""COMPUTED_VALUE"""),"Corrientes")</f>
        <v>Corrientes</v>
      </c>
      <c r="D928" s="30" t="str">
        <f ca="1">IFERROR(__xludf.DUMMYFUNCTION("""COMPUTED_VALUE"""),"18")</f>
        <v>18</v>
      </c>
      <c r="E928" s="30" t="str">
        <f ca="1">IFERROR(__xludf.DUMMYFUNCTION("""COMPUTED_VALUE"""),"")</f>
        <v/>
      </c>
      <c r="F928" s="29"/>
      <c r="G928" s="29"/>
      <c r="H928" s="30" t="str">
        <f ca="1">IFERROR(__xludf.DUMMYFUNCTION("""COMPUTED_VALUE"""),"activo")</f>
        <v>activo</v>
      </c>
      <c r="I928" s="30" t="str">
        <f ca="1">IFERROR(__xludf.DUMMYFUNCTION("""COMPUTED_VALUE"""),"Se encontro en el CAI 2019-no figuraba en universo")</f>
        <v>Se encontro en el CAI 2019-no figuraba en universo</v>
      </c>
      <c r="J928" s="29"/>
      <c r="K928" s="29"/>
      <c r="L928" s="30" t="str">
        <f ca="1">IFERROR(__xludf.DUMMYFUNCTION("""COMPUTED_VALUE"""),"No")</f>
        <v>No</v>
      </c>
      <c r="M928" s="30" t="str">
        <f ca="1">IFERROR(__xludf.DUMMYFUNCTION("""COMPUTED_VALUE"""),"18021020000")</f>
        <v>18021020000</v>
      </c>
      <c r="N928" s="30" t="str">
        <f ca="1">IFERROR(__xludf.DUMMYFUNCTION("""COMPUTED_VALUE"""),"CORRIENTES")</f>
        <v>CORRIENTES</v>
      </c>
      <c r="O928" s="30" t="str">
        <f ca="1">IFERROR(__xludf.DUMMYFUNCTION("""COMPUTED_VALUE"""),"1821")</f>
        <v>1821</v>
      </c>
      <c r="P928" s="30" t="str">
        <f ca="1">IFERROR(__xludf.DUMMYFUNCTION("""COMPUTED_VALUE"""),"CAPITAL")</f>
        <v>CAPITAL</v>
      </c>
      <c r="Q928" s="30" t="str">
        <f ca="1">IFERROR(__xludf.DUMMYFUNCTION("""COMPUTED_VALUE"""),"-27.51272475")</f>
        <v>-27.51272475</v>
      </c>
      <c r="R928" s="30" t="str">
        <f ca="1">IFERROR(__xludf.DUMMYFUNCTION("""COMPUTED_VALUE"""),"-58.78415108")</f>
        <v>-58.78415108</v>
      </c>
      <c r="S928" s="30" t="str">
        <f ca="1">IFERROR(__xludf.DUMMYFUNCTION("""COMPUTED_VALUE"""),"Provincial")</f>
        <v>Provincial</v>
      </c>
      <c r="T928" s="30" t="str">
        <f ca="1">IFERROR(__xludf.DUMMYFUNCTION("""COMPUTED_VALUE"""),"-")</f>
        <v>-</v>
      </c>
    </row>
    <row r="929" spans="1:20" ht="15.75" customHeight="1" x14ac:dyDescent="0.25">
      <c r="A929" s="30" t="str">
        <f ca="1">IFERROR(__xludf.DUMMYFUNCTION("""COMPUTED_VALUE"""),"50181192139150")</f>
        <v>50181192139150</v>
      </c>
      <c r="B929" s="30" t="str">
        <f ca="1">IFERROR(__xludf.DUMMYFUNCTION("""COMPUTED_VALUE"""),"CENTRO DE SALUD DR. ARMANDO GALLESIO")</f>
        <v>CENTRO DE SALUD DR. ARMANDO GALLESIO</v>
      </c>
      <c r="C929" s="30" t="str">
        <f ca="1">IFERROR(__xludf.DUMMYFUNCTION("""COMPUTED_VALUE"""),"Corrientes")</f>
        <v>Corrientes</v>
      </c>
      <c r="D929" s="30" t="str">
        <f ca="1">IFERROR(__xludf.DUMMYFUNCTION("""COMPUTED_VALUE"""),"18")</f>
        <v>18</v>
      </c>
      <c r="E929" s="30" t="str">
        <f ca="1">IFERROR(__xludf.DUMMYFUNCTION("""COMPUTED_VALUE"""),"")</f>
        <v/>
      </c>
      <c r="F929" s="29"/>
      <c r="G929" s="29"/>
      <c r="H929" s="30" t="str">
        <f ca="1">IFERROR(__xludf.DUMMYFUNCTION("""COMPUTED_VALUE"""),"activo")</f>
        <v>activo</v>
      </c>
      <c r="I929" s="30" t="str">
        <f ca="1">IFERROR(__xludf.DUMMYFUNCTION("""COMPUTED_VALUE"""),"Se encontro en el CAI 2019-no figuraba en universo")</f>
        <v>Se encontro en el CAI 2019-no figuraba en universo</v>
      </c>
      <c r="J929" s="29"/>
      <c r="K929" s="29"/>
      <c r="L929" s="30" t="str">
        <f ca="1">IFERROR(__xludf.DUMMYFUNCTION("""COMPUTED_VALUE"""),"No")</f>
        <v>No</v>
      </c>
      <c r="M929" s="30" t="str">
        <f ca="1">IFERROR(__xludf.DUMMYFUNCTION("""COMPUTED_VALUE"""),"18119030000")</f>
        <v>18119030000</v>
      </c>
      <c r="N929" s="30" t="str">
        <f ca="1">IFERROR(__xludf.DUMMYFUNCTION("""COMPUTED_VALUE"""),"PASO DE LOS LIBRES")</f>
        <v>PASO DE LOS LIBRES</v>
      </c>
      <c r="O929" s="30" t="str">
        <f ca="1">IFERROR(__xludf.DUMMYFUNCTION("""COMPUTED_VALUE"""),"18119")</f>
        <v>18119</v>
      </c>
      <c r="P929" s="30" t="str">
        <f ca="1">IFERROR(__xludf.DUMMYFUNCTION("""COMPUTED_VALUE"""),"PASO DE LOS LIBRES")</f>
        <v>PASO DE LOS LIBRES</v>
      </c>
      <c r="Q929" s="30" t="str">
        <f ca="1">IFERROR(__xludf.DUMMYFUNCTION("""COMPUTED_VALUE"""),"-29.7137101")</f>
        <v>-29.7137101</v>
      </c>
      <c r="R929" s="30" t="str">
        <f ca="1">IFERROR(__xludf.DUMMYFUNCTION("""COMPUTED_VALUE"""),"-57.0855601")</f>
        <v>-57.0855601</v>
      </c>
      <c r="S929" s="30" t="str">
        <f ca="1">IFERROR(__xludf.DUMMYFUNCTION("""COMPUTED_VALUE"""),"Provincial")</f>
        <v>Provincial</v>
      </c>
      <c r="T929" s="30" t="str">
        <f ca="1">IFERROR(__xludf.DUMMYFUNCTION("""COMPUTED_VALUE"""),"-")</f>
        <v>-</v>
      </c>
    </row>
    <row r="930" spans="1:20" ht="15.75" customHeight="1" x14ac:dyDescent="0.25">
      <c r="A930" s="30" t="str">
        <f ca="1">IFERROR(__xludf.DUMMYFUNCTION("""COMPUTED_VALUE"""),"50181332139336")</f>
        <v>50181332139336</v>
      </c>
      <c r="B930" s="30" t="str">
        <f ca="1">IFERROR(__xludf.DUMMYFUNCTION("""COMPUTED_VALUE"""),"CIC SANTA ANA (EX SAPS INGENIO PRIMER CORRENTINO)")</f>
        <v>CIC SANTA ANA (EX SAPS INGENIO PRIMER CORRENTINO)</v>
      </c>
      <c r="C930" s="30" t="str">
        <f ca="1">IFERROR(__xludf.DUMMYFUNCTION("""COMPUTED_VALUE"""),"Corrientes")</f>
        <v>Corrientes</v>
      </c>
      <c r="D930" s="30" t="str">
        <f ca="1">IFERROR(__xludf.DUMMYFUNCTION("""COMPUTED_VALUE"""),"18")</f>
        <v>18</v>
      </c>
      <c r="E930" s="30" t="str">
        <f ca="1">IFERROR(__xludf.DUMMYFUNCTION("""COMPUTED_VALUE"""),"")</f>
        <v/>
      </c>
      <c r="F930" s="29"/>
      <c r="G930" s="29"/>
      <c r="H930" s="30" t="str">
        <f ca="1">IFERROR(__xludf.DUMMYFUNCTION("""COMPUTED_VALUE"""),"activo")</f>
        <v>activo</v>
      </c>
      <c r="I930" s="30" t="str">
        <f ca="1">IFERROR(__xludf.DUMMYFUNCTION("""COMPUTED_VALUE"""),"Se encontro en el CAI 2019-no figuraba en universo")</f>
        <v>Se encontro en el CAI 2019-no figuraba en universo</v>
      </c>
      <c r="J930" s="29"/>
      <c r="K930" s="29"/>
      <c r="L930" s="30" t="str">
        <f ca="1">IFERROR(__xludf.DUMMYFUNCTION("""COMPUTED_VALUE"""),"No")</f>
        <v>No</v>
      </c>
      <c r="M930" s="30" t="str">
        <f ca="1">IFERROR(__xludf.DUMMYFUNCTION("""COMPUTED_VALUE"""),"18133010000")</f>
        <v>18133010000</v>
      </c>
      <c r="N930" s="30" t="str">
        <f ca="1">IFERROR(__xludf.DUMMYFUNCTION("""COMPUTED_VALUE"""),"INGENIO PRIMER CORRENTINO")</f>
        <v>INGENIO PRIMER CORRENTINO</v>
      </c>
      <c r="O930" s="30" t="str">
        <f ca="1">IFERROR(__xludf.DUMMYFUNCTION("""COMPUTED_VALUE"""),"18133")</f>
        <v>18133</v>
      </c>
      <c r="P930" s="30" t="str">
        <f ca="1">IFERROR(__xludf.DUMMYFUNCTION("""COMPUTED_VALUE"""),"SAN COSME")</f>
        <v>SAN COSME</v>
      </c>
      <c r="Q930" s="30" t="str">
        <f ca="1">IFERROR(__xludf.DUMMYFUNCTION("""COMPUTED_VALUE"""),"-27.41823726")</f>
        <v>-27.41823726</v>
      </c>
      <c r="R930" s="30" t="str">
        <f ca="1">IFERROR(__xludf.DUMMYFUNCTION("""COMPUTED_VALUE"""),"-58.62532425")</f>
        <v>-58.62532425</v>
      </c>
      <c r="S930" s="30" t="str">
        <f ca="1">IFERROR(__xludf.DUMMYFUNCTION("""COMPUTED_VALUE"""),"Provincial")</f>
        <v>Provincial</v>
      </c>
      <c r="T930" s="30" t="str">
        <f ca="1">IFERROR(__xludf.DUMMYFUNCTION("""COMPUTED_VALUE"""),"-")</f>
        <v>-</v>
      </c>
    </row>
    <row r="931" spans="1:20" ht="15.75" customHeight="1" x14ac:dyDescent="0.25">
      <c r="A931" s="30" t="str">
        <f ca="1">IFERROR(__xludf.DUMMYFUNCTION("""COMPUTED_VALUE"""),"10220072126021")</f>
        <v>10220072126021</v>
      </c>
      <c r="B931" s="30" t="str">
        <f ca="1">IFERROR(__xludf.DUMMYFUNCTION("""COMPUTED_VALUE"""),"HOSPITAL RURAL SANTA ROSA DE LIMA")</f>
        <v>HOSPITAL RURAL SANTA ROSA DE LIMA</v>
      </c>
      <c r="C931" s="30" t="str">
        <f ca="1">IFERROR(__xludf.DUMMYFUNCTION("""COMPUTED_VALUE"""),"Chaco")</f>
        <v>Chaco</v>
      </c>
      <c r="D931" s="30" t="str">
        <f ca="1">IFERROR(__xludf.DUMMYFUNCTION("""COMPUTED_VALUE"""),"22")</f>
        <v>22</v>
      </c>
      <c r="E931" s="30" t="str">
        <f ca="1">IFERROR(__xludf.DUMMYFUNCTION("""COMPUTED_VALUE"""),"")</f>
        <v/>
      </c>
      <c r="F931" s="29"/>
      <c r="G931" s="29"/>
      <c r="H931" s="30" t="str">
        <f ca="1">IFERROR(__xludf.DUMMYFUNCTION("""COMPUTED_VALUE"""),"inactivo")</f>
        <v>inactivo</v>
      </c>
      <c r="I931" s="29"/>
      <c r="J931" s="29"/>
      <c r="K931" s="29"/>
      <c r="L931" s="30" t="str">
        <f ca="1">IFERROR(__xludf.DUMMYFUNCTION("""COMPUTED_VALUE"""),"No")</f>
        <v>No</v>
      </c>
      <c r="M931" s="30" t="str">
        <f ca="1">IFERROR(__xludf.DUMMYFUNCTION("""COMPUTED_VALUE"""),"22007050000")</f>
        <v>22007050000</v>
      </c>
      <c r="N931" s="30" t="str">
        <f ca="1">IFERROR(__xludf.DUMMYFUNCTION("""COMPUTED_VALUE"""),"TACO POZO")</f>
        <v>TACO POZO</v>
      </c>
      <c r="O931" s="30" t="str">
        <f ca="1">IFERROR(__xludf.DUMMYFUNCTION("""COMPUTED_VALUE"""),"227")</f>
        <v>227</v>
      </c>
      <c r="P931" s="30" t="str">
        <f ca="1">IFERROR(__xludf.DUMMYFUNCTION("""COMPUTED_VALUE"""),"ALMIRANTE BROWN")</f>
        <v>ALMIRANTE BROWN</v>
      </c>
      <c r="Q931" s="30" t="str">
        <f ca="1">IFERROR(__xludf.DUMMYFUNCTION("""COMPUTED_VALUE"""),"-25.61664")</f>
        <v>-25.61664</v>
      </c>
      <c r="R931" s="30" t="str">
        <f ca="1">IFERROR(__xludf.DUMMYFUNCTION("""COMPUTED_VALUE"""),"-63.26414")</f>
        <v>-63.26414</v>
      </c>
      <c r="S931" s="30" t="str">
        <f ca="1">IFERROR(__xludf.DUMMYFUNCTION("""COMPUTED_VALUE"""),"Provincial")</f>
        <v>Provincial</v>
      </c>
      <c r="T931" s="30" t="str">
        <f ca="1">IFERROR(__xludf.DUMMYFUNCTION("""COMPUTED_VALUE"""),"-")</f>
        <v>-</v>
      </c>
    </row>
    <row r="932" spans="1:20" ht="15.75" customHeight="1" x14ac:dyDescent="0.25">
      <c r="A932" s="30" t="str">
        <f ca="1">IFERROR(__xludf.DUMMYFUNCTION("""COMPUTED_VALUE"""),"10220072126022")</f>
        <v>10220072126022</v>
      </c>
      <c r="B932" s="30" t="str">
        <f ca="1">IFERROR(__xludf.DUMMYFUNCTION("""COMPUTED_VALUE"""),"HOSPITAL ALMIRANTE BROWN")</f>
        <v>HOSPITAL ALMIRANTE BROWN</v>
      </c>
      <c r="C932" s="30" t="str">
        <f ca="1">IFERROR(__xludf.DUMMYFUNCTION("""COMPUTED_VALUE"""),"Chaco")</f>
        <v>Chaco</v>
      </c>
      <c r="D932" s="30" t="str">
        <f ca="1">IFERROR(__xludf.DUMMYFUNCTION("""COMPUTED_VALUE"""),"22")</f>
        <v>22</v>
      </c>
      <c r="E932" s="30" t="str">
        <f ca="1">IFERROR(__xludf.DUMMYFUNCTION("""COMPUTED_VALUE"""),"")</f>
        <v/>
      </c>
      <c r="F932" s="29"/>
      <c r="G932" s="29"/>
      <c r="H932" s="30" t="str">
        <f ca="1">IFERROR(__xludf.DUMMYFUNCTION("""COMPUTED_VALUE"""),"activo")</f>
        <v>activo</v>
      </c>
      <c r="I932" s="29"/>
      <c r="J932" s="29"/>
      <c r="K932" s="29"/>
      <c r="L932" s="30" t="str">
        <f ca="1">IFERROR(__xludf.DUMMYFUNCTION("""COMPUTED_VALUE"""),"No")</f>
        <v>No</v>
      </c>
      <c r="M932" s="30" t="str">
        <f ca="1">IFERROR(__xludf.DUMMYFUNCTION("""COMPUTED_VALUE"""),"22007030000")</f>
        <v>22007030000</v>
      </c>
      <c r="N932" s="30" t="str">
        <f ca="1">IFERROR(__xludf.DUMMYFUNCTION("""COMPUTED_VALUE"""),"PAMPA DEL INFIERNO")</f>
        <v>PAMPA DEL INFIERNO</v>
      </c>
      <c r="O932" s="30" t="str">
        <f ca="1">IFERROR(__xludf.DUMMYFUNCTION("""COMPUTED_VALUE"""),"227")</f>
        <v>227</v>
      </c>
      <c r="P932" s="30" t="str">
        <f ca="1">IFERROR(__xludf.DUMMYFUNCTION("""COMPUTED_VALUE"""),"ALMIRANTE BROWN")</f>
        <v>ALMIRANTE BROWN</v>
      </c>
      <c r="Q932" s="30" t="str">
        <f ca="1">IFERROR(__xludf.DUMMYFUNCTION("""COMPUTED_VALUE"""),"-26.50252")</f>
        <v>-26.50252</v>
      </c>
      <c r="R932" s="30" t="str">
        <f ca="1">IFERROR(__xludf.DUMMYFUNCTION("""COMPUTED_VALUE"""),"-61.176")</f>
        <v>-61.176</v>
      </c>
      <c r="S932" s="30" t="str">
        <f ca="1">IFERROR(__xludf.DUMMYFUNCTION("""COMPUTED_VALUE"""),"Provincial")</f>
        <v>Provincial</v>
      </c>
      <c r="T932" s="30" t="str">
        <f ca="1">IFERROR(__xludf.DUMMYFUNCTION("""COMPUTED_VALUE"""),"-")</f>
        <v>-</v>
      </c>
    </row>
    <row r="933" spans="1:20" ht="15.75" customHeight="1" x14ac:dyDescent="0.25">
      <c r="A933" s="30" t="str">
        <f ca="1">IFERROR(__xludf.DUMMYFUNCTION("""COMPUTED_VALUE"""),"10220632126062")</f>
        <v>10220632126062</v>
      </c>
      <c r="B933" s="30" t="str">
        <f ca="1">IFERROR(__xludf.DUMMYFUNCTION("""COMPUTED_VALUE"""),"HOSPITAL MIRAFLORES")</f>
        <v>HOSPITAL MIRAFLORES</v>
      </c>
      <c r="C933" s="30" t="str">
        <f ca="1">IFERROR(__xludf.DUMMYFUNCTION("""COMPUTED_VALUE"""),"Chaco")</f>
        <v>Chaco</v>
      </c>
      <c r="D933" s="30" t="str">
        <f ca="1">IFERROR(__xludf.DUMMYFUNCTION("""COMPUTED_VALUE"""),"22")</f>
        <v>22</v>
      </c>
      <c r="E933" s="30" t="str">
        <f ca="1">IFERROR(__xludf.DUMMYFUNCTION("""COMPUTED_VALUE"""),"si")</f>
        <v>si</v>
      </c>
      <c r="F933" s="29"/>
      <c r="G933" s="29"/>
      <c r="H933" s="30" t="str">
        <f ca="1">IFERROR(__xludf.DUMMYFUNCTION("""COMPUTED_VALUE"""),"inactivo")</f>
        <v>inactivo</v>
      </c>
      <c r="I933" s="29"/>
      <c r="J933" s="29"/>
      <c r="K933" s="29"/>
      <c r="L933" s="30" t="str">
        <f ca="1">IFERROR(__xludf.DUMMYFUNCTION("""COMPUTED_VALUE"""),"No")</f>
        <v>No</v>
      </c>
      <c r="M933" s="30" t="str">
        <f ca="1">IFERROR(__xludf.DUMMYFUNCTION("""COMPUTED_VALUE"""),"22063070000")</f>
        <v>22063070000</v>
      </c>
      <c r="N933" s="30" t="str">
        <f ca="1">IFERROR(__xludf.DUMMYFUNCTION("""COMPUTED_VALUE"""),"MIRAFLORES")</f>
        <v>MIRAFLORES</v>
      </c>
      <c r="O933" s="30" t="str">
        <f ca="1">IFERROR(__xludf.DUMMYFUNCTION("""COMPUTED_VALUE"""),"2263")</f>
        <v>2263</v>
      </c>
      <c r="P933" s="30" t="str">
        <f ca="1">IFERROR(__xludf.DUMMYFUNCTION("""COMPUTED_VALUE"""),"GENERAL GÜEMES")</f>
        <v>GENERAL GÜEMES</v>
      </c>
      <c r="Q933" s="30" t="str">
        <f ca="1">IFERROR(__xludf.DUMMYFUNCTION("""COMPUTED_VALUE"""),"-25.64952")</f>
        <v>-25.64952</v>
      </c>
      <c r="R933" s="30" t="str">
        <f ca="1">IFERROR(__xludf.DUMMYFUNCTION("""COMPUTED_VALUE"""),"-60.9254")</f>
        <v>-60.9254</v>
      </c>
      <c r="S933" s="30" t="str">
        <f ca="1">IFERROR(__xludf.DUMMYFUNCTION("""COMPUTED_VALUE"""),"Provincial")</f>
        <v>Provincial</v>
      </c>
      <c r="T933" s="30" t="str">
        <f ca="1">IFERROR(__xludf.DUMMYFUNCTION("""COMPUTED_VALUE"""),"-")</f>
        <v>-</v>
      </c>
    </row>
    <row r="934" spans="1:20" ht="15.75" customHeight="1" x14ac:dyDescent="0.25">
      <c r="A934" s="30" t="str">
        <f ca="1">IFERROR(__xludf.DUMMYFUNCTION("""COMPUTED_VALUE"""),"10220632126063")</f>
        <v>10220632126063</v>
      </c>
      <c r="B934" s="30" t="str">
        <f ca="1">IFERROR(__xludf.DUMMYFUNCTION("""COMPUTED_VALUE"""),"HOSPITAL MISION NUEVA POMPEYA")</f>
        <v>HOSPITAL MISION NUEVA POMPEYA</v>
      </c>
      <c r="C934" s="30" t="str">
        <f ca="1">IFERROR(__xludf.DUMMYFUNCTION("""COMPUTED_VALUE"""),"Chaco")</f>
        <v>Chaco</v>
      </c>
      <c r="D934" s="30" t="str">
        <f ca="1">IFERROR(__xludf.DUMMYFUNCTION("""COMPUTED_VALUE"""),"22")</f>
        <v>22</v>
      </c>
      <c r="E934" s="30" t="str">
        <f ca="1">IFERROR(__xludf.DUMMYFUNCTION("""COMPUTED_VALUE"""),"si")</f>
        <v>si</v>
      </c>
      <c r="F934" s="29"/>
      <c r="G934" s="29"/>
      <c r="H934" s="30" t="str">
        <f ca="1">IFERROR(__xludf.DUMMYFUNCTION("""COMPUTED_VALUE"""),"activo")</f>
        <v>activo</v>
      </c>
      <c r="I934" s="29"/>
      <c r="J934" s="29"/>
      <c r="K934" s="29"/>
      <c r="L934" s="30" t="str">
        <f ca="1">IFERROR(__xludf.DUMMYFUNCTION("""COMPUTED_VALUE"""),"No")</f>
        <v>No</v>
      </c>
      <c r="M934" s="30" t="str">
        <f ca="1">IFERROR(__xludf.DUMMYFUNCTION("""COMPUTED_VALUE"""),"22063080000")</f>
        <v>22063080000</v>
      </c>
      <c r="N934" s="30" t="str">
        <f ca="1">IFERROR(__xludf.DUMMYFUNCTION("""COMPUTED_VALUE"""),"NUEVA POMPEYA")</f>
        <v>NUEVA POMPEYA</v>
      </c>
      <c r="O934" s="30" t="str">
        <f ca="1">IFERROR(__xludf.DUMMYFUNCTION("""COMPUTED_VALUE"""),"2263")</f>
        <v>2263</v>
      </c>
      <c r="P934" s="30" t="str">
        <f ca="1">IFERROR(__xludf.DUMMYFUNCTION("""COMPUTED_VALUE"""),"GENERAL GÜEMES")</f>
        <v>GENERAL GÜEMES</v>
      </c>
      <c r="Q934" s="30" t="str">
        <f ca="1">IFERROR(__xludf.DUMMYFUNCTION("""COMPUTED_VALUE"""),"-24.9326554")</f>
        <v>-24.9326554</v>
      </c>
      <c r="R934" s="30" t="str">
        <f ca="1">IFERROR(__xludf.DUMMYFUNCTION("""COMPUTED_VALUE"""),"-61.4831171")</f>
        <v>-61.4831171</v>
      </c>
      <c r="S934" s="30" t="str">
        <f ca="1">IFERROR(__xludf.DUMMYFUNCTION("""COMPUTED_VALUE"""),"Provincial")</f>
        <v>Provincial</v>
      </c>
      <c r="T934" s="30" t="str">
        <f ca="1">IFERROR(__xludf.DUMMYFUNCTION("""COMPUTED_VALUE"""),"-")</f>
        <v>-</v>
      </c>
    </row>
    <row r="935" spans="1:20" ht="15.75" customHeight="1" x14ac:dyDescent="0.25">
      <c r="A935" s="30" t="str">
        <f ca="1">IFERROR(__xludf.DUMMYFUNCTION("""COMPUTED_VALUE"""),"10220842126065")</f>
        <v>10220842126065</v>
      </c>
      <c r="B935" s="30" t="str">
        <f ca="1">IFERROR(__xludf.DUMMYFUNCTION("""COMPUTED_VALUE"""),"HOSPITAL RURAL PRESIDENCIA ROCA")</f>
        <v>HOSPITAL RURAL PRESIDENCIA ROCA</v>
      </c>
      <c r="C935" s="30" t="str">
        <f ca="1">IFERROR(__xludf.DUMMYFUNCTION("""COMPUTED_VALUE"""),"Chaco")</f>
        <v>Chaco</v>
      </c>
      <c r="D935" s="30" t="str">
        <f ca="1">IFERROR(__xludf.DUMMYFUNCTION("""COMPUTED_VALUE"""),"22")</f>
        <v>22</v>
      </c>
      <c r="E935" s="30" t="str">
        <f ca="1">IFERROR(__xludf.DUMMYFUNCTION("""COMPUTED_VALUE"""),"")</f>
        <v/>
      </c>
      <c r="F935" s="29"/>
      <c r="G935" s="29"/>
      <c r="H935" s="30" t="str">
        <f ca="1">IFERROR(__xludf.DUMMYFUNCTION("""COMPUTED_VALUE"""),"inactivo")</f>
        <v>inactivo</v>
      </c>
      <c r="I935" s="29"/>
      <c r="J935" s="29"/>
      <c r="K935" s="29"/>
      <c r="L935" s="30" t="str">
        <f ca="1">IFERROR(__xludf.DUMMYFUNCTION("""COMPUTED_VALUE"""),"No")</f>
        <v>No</v>
      </c>
      <c r="M935" s="30" t="str">
        <f ca="1">IFERROR(__xludf.DUMMYFUNCTION("""COMPUTED_VALUE"""),"22084070000")</f>
        <v>22084070000</v>
      </c>
      <c r="N935" s="30" t="str">
        <f ca="1">IFERROR(__xludf.DUMMYFUNCTION("""COMPUTED_VALUE"""),"PRESIDENCIA ROCA")</f>
        <v>PRESIDENCIA ROCA</v>
      </c>
      <c r="O935" s="30" t="str">
        <f ca="1">IFERROR(__xludf.DUMMYFUNCTION("""COMPUTED_VALUE"""),"2284")</f>
        <v>2284</v>
      </c>
      <c r="P935" s="30" t="str">
        <f ca="1">IFERROR(__xludf.DUMMYFUNCTION("""COMPUTED_VALUE"""),"LIBERTADOR GENERAL SAN MARTÍN")</f>
        <v>LIBERTADOR GENERAL SAN MARTÍN</v>
      </c>
      <c r="Q935" s="30" t="str">
        <f ca="1">IFERROR(__xludf.DUMMYFUNCTION("""COMPUTED_VALUE"""),"-26.14039")</f>
        <v>-26.14039</v>
      </c>
      <c r="R935" s="30" t="str">
        <f ca="1">IFERROR(__xludf.DUMMYFUNCTION("""COMPUTED_VALUE"""),"-59.59734")</f>
        <v>-59.59734</v>
      </c>
      <c r="S935" s="30" t="str">
        <f ca="1">IFERROR(__xludf.DUMMYFUNCTION("""COMPUTED_VALUE"""),"Provincial")</f>
        <v>Provincial</v>
      </c>
      <c r="T935" s="30" t="str">
        <f ca="1">IFERROR(__xludf.DUMMYFUNCTION("""COMPUTED_VALUE"""),"-")</f>
        <v>-</v>
      </c>
    </row>
    <row r="936" spans="1:20" ht="15.75" customHeight="1" x14ac:dyDescent="0.25">
      <c r="A936" s="30" t="str">
        <f ca="1">IFERROR(__xludf.DUMMYFUNCTION("""COMPUTED_VALUE"""),"10221542126024")</f>
        <v>10221542126024</v>
      </c>
      <c r="B936" s="30" t="str">
        <f ca="1">IFERROR(__xludf.DUMMYFUNCTION("""COMPUTED_VALUE"""),"HOSPITAL CAPITAN SOLARI")</f>
        <v>HOSPITAL CAPITAN SOLARI</v>
      </c>
      <c r="C936" s="30" t="str">
        <f ca="1">IFERROR(__xludf.DUMMYFUNCTION("""COMPUTED_VALUE"""),"Chaco")</f>
        <v>Chaco</v>
      </c>
      <c r="D936" s="30" t="str">
        <f ca="1">IFERROR(__xludf.DUMMYFUNCTION("""COMPUTED_VALUE"""),"22")</f>
        <v>22</v>
      </c>
      <c r="E936" s="30" t="str">
        <f ca="1">IFERROR(__xludf.DUMMYFUNCTION("""COMPUTED_VALUE"""),"")</f>
        <v/>
      </c>
      <c r="F936" s="29"/>
      <c r="G936" s="29"/>
      <c r="H936" s="30" t="str">
        <f ca="1">IFERROR(__xludf.DUMMYFUNCTION("""COMPUTED_VALUE"""),"activo")</f>
        <v>activo</v>
      </c>
      <c r="I936" s="29"/>
      <c r="J936" s="29"/>
      <c r="K936" s="29"/>
      <c r="L936" s="30" t="str">
        <f ca="1">IFERROR(__xludf.DUMMYFUNCTION("""COMPUTED_VALUE"""),"No")</f>
        <v>No</v>
      </c>
      <c r="M936" s="30" t="str">
        <f ca="1">IFERROR(__xludf.DUMMYFUNCTION("""COMPUTED_VALUE"""),"22154010000")</f>
        <v>22154010000</v>
      </c>
      <c r="N936" s="30" t="str">
        <f ca="1">IFERROR(__xludf.DUMMYFUNCTION("""COMPUTED_VALUE"""),"CAPITAN SOLARI")</f>
        <v>CAPITAN SOLARI</v>
      </c>
      <c r="O936" s="30" t="str">
        <f ca="1">IFERROR(__xludf.DUMMYFUNCTION("""COMPUTED_VALUE"""),"22154")</f>
        <v>22154</v>
      </c>
      <c r="P936" s="30" t="str">
        <f ca="1">IFERROR(__xludf.DUMMYFUNCTION("""COMPUTED_VALUE"""),"SARGENTO CABRAL")</f>
        <v>SARGENTO CABRAL</v>
      </c>
      <c r="Q936" s="30" t="str">
        <f ca="1">IFERROR(__xludf.DUMMYFUNCTION("""COMPUTED_VALUE"""),"-26.80435")</f>
        <v>-26.80435</v>
      </c>
      <c r="R936" s="30" t="str">
        <f ca="1">IFERROR(__xludf.DUMMYFUNCTION("""COMPUTED_VALUE"""),"-59.5615")</f>
        <v>-59.5615</v>
      </c>
      <c r="S936" s="30" t="str">
        <f ca="1">IFERROR(__xludf.DUMMYFUNCTION("""COMPUTED_VALUE"""),"Provincial")</f>
        <v>Provincial</v>
      </c>
      <c r="T936" s="30" t="str">
        <f ca="1">IFERROR(__xludf.DUMMYFUNCTION("""COMPUTED_VALUE"""),"-")</f>
        <v>-</v>
      </c>
    </row>
    <row r="937" spans="1:20" ht="15.75" customHeight="1" x14ac:dyDescent="0.25">
      <c r="A937" s="30" t="str">
        <f ca="1">IFERROR(__xludf.DUMMYFUNCTION("""COMPUTED_VALUE"""),"50220212126156")</f>
        <v>50220212126156</v>
      </c>
      <c r="B937" s="30" t="str">
        <f ca="1">IFERROR(__xludf.DUMMYFUNCTION("""COMPUTED_VALUE"""),"CENTRO DE SALUD BARRIO PUERTA DEL SOL")</f>
        <v>CENTRO DE SALUD BARRIO PUERTA DEL SOL</v>
      </c>
      <c r="C937" s="30" t="str">
        <f ca="1">IFERROR(__xludf.DUMMYFUNCTION("""COMPUTED_VALUE"""),"Chaco")</f>
        <v>Chaco</v>
      </c>
      <c r="D937" s="30" t="str">
        <f ca="1">IFERROR(__xludf.DUMMYFUNCTION("""COMPUTED_VALUE"""),"22")</f>
        <v>22</v>
      </c>
      <c r="E937" s="30" t="str">
        <f ca="1">IFERROR(__xludf.DUMMYFUNCTION("""COMPUTED_VALUE"""),"")</f>
        <v/>
      </c>
      <c r="F937" s="29"/>
      <c r="G937" s="29"/>
      <c r="H937" s="30" t="str">
        <f ca="1">IFERROR(__xludf.DUMMYFUNCTION("""COMPUTED_VALUE"""),"activo")</f>
        <v>activo</v>
      </c>
      <c r="I937" s="29"/>
      <c r="J937" s="29"/>
      <c r="K937" s="29"/>
      <c r="L937" s="30" t="str">
        <f ca="1">IFERROR(__xludf.DUMMYFUNCTION("""COMPUTED_VALUE"""),"No")</f>
        <v>No</v>
      </c>
      <c r="M937" s="30" t="str">
        <f ca="1">IFERROR(__xludf.DUMMYFUNCTION("""COMPUTED_VALUE"""),"22021010000")</f>
        <v>22021010000</v>
      </c>
      <c r="N937" s="30" t="str">
        <f ca="1">IFERROR(__xludf.DUMMYFUNCTION("""COMPUTED_VALUE"""),"PRESIDENCIA ROQUE SAENZ PENA")</f>
        <v>PRESIDENCIA ROQUE SAENZ PENA</v>
      </c>
      <c r="O937" s="30" t="str">
        <f ca="1">IFERROR(__xludf.DUMMYFUNCTION("""COMPUTED_VALUE"""),"2221")</f>
        <v>2221</v>
      </c>
      <c r="P937" s="30" t="str">
        <f ca="1">IFERROR(__xludf.DUMMYFUNCTION("""COMPUTED_VALUE"""),"COMANDANTE FERNÁNDEZ")</f>
        <v>COMANDANTE FERNÁNDEZ</v>
      </c>
      <c r="Q937" s="30" t="str">
        <f ca="1">IFERROR(__xludf.DUMMYFUNCTION("""COMPUTED_VALUE"""),"-26.76858009")</f>
        <v>-26.76858009</v>
      </c>
      <c r="R937" s="30" t="str">
        <f ca="1">IFERROR(__xludf.DUMMYFUNCTION("""COMPUTED_VALUE"""),"-60.44839382")</f>
        <v>-60.44839382</v>
      </c>
      <c r="S937" s="30" t="str">
        <f ca="1">IFERROR(__xludf.DUMMYFUNCTION("""COMPUTED_VALUE"""),"Provincial")</f>
        <v>Provincial</v>
      </c>
      <c r="T937" s="30" t="str">
        <f ca="1">IFERROR(__xludf.DUMMYFUNCTION("""COMPUTED_VALUE"""),"-")</f>
        <v>-</v>
      </c>
    </row>
    <row r="938" spans="1:20" ht="15.75" customHeight="1" x14ac:dyDescent="0.25">
      <c r="A938" s="30" t="str">
        <f ca="1">IFERROR(__xludf.DUMMYFUNCTION("""COMPUTED_VALUE"""),"50220212126161")</f>
        <v>50220212126161</v>
      </c>
      <c r="B938" s="30" t="str">
        <f ca="1">IFERROR(__xludf.DUMMYFUNCTION("""COMPUTED_VALUE"""),"CENTRO DE SALUD BARRIO SARMIENTO DR. POCCARD")</f>
        <v>CENTRO DE SALUD BARRIO SARMIENTO DR. POCCARD</v>
      </c>
      <c r="C938" s="30" t="str">
        <f ca="1">IFERROR(__xludf.DUMMYFUNCTION("""COMPUTED_VALUE"""),"Chaco")</f>
        <v>Chaco</v>
      </c>
      <c r="D938" s="30" t="str">
        <f ca="1">IFERROR(__xludf.DUMMYFUNCTION("""COMPUTED_VALUE"""),"22")</f>
        <v>22</v>
      </c>
      <c r="E938" s="30" t="str">
        <f ca="1">IFERROR(__xludf.DUMMYFUNCTION("""COMPUTED_VALUE"""),"")</f>
        <v/>
      </c>
      <c r="F938" s="29"/>
      <c r="G938" s="29"/>
      <c r="H938" s="30" t="str">
        <f ca="1">IFERROR(__xludf.DUMMYFUNCTION("""COMPUTED_VALUE"""),"activo")</f>
        <v>activo</v>
      </c>
      <c r="I938" s="29"/>
      <c r="J938" s="29"/>
      <c r="K938" s="29"/>
      <c r="L938" s="30" t="str">
        <f ca="1">IFERROR(__xludf.DUMMYFUNCTION("""COMPUTED_VALUE"""),"No")</f>
        <v>No</v>
      </c>
      <c r="M938" s="30" t="str">
        <f ca="1">IFERROR(__xludf.DUMMYFUNCTION("""COMPUTED_VALUE"""),"22021010000")</f>
        <v>22021010000</v>
      </c>
      <c r="N938" s="30" t="str">
        <f ca="1">IFERROR(__xludf.DUMMYFUNCTION("""COMPUTED_VALUE"""),"PRESIDENCIA ROQUE SAENZ PENA")</f>
        <v>PRESIDENCIA ROQUE SAENZ PENA</v>
      </c>
      <c r="O938" s="30" t="str">
        <f ca="1">IFERROR(__xludf.DUMMYFUNCTION("""COMPUTED_VALUE"""),"2221")</f>
        <v>2221</v>
      </c>
      <c r="P938" s="30" t="str">
        <f ca="1">IFERROR(__xludf.DUMMYFUNCTION("""COMPUTED_VALUE"""),"COMANDANTE FERNÁNDEZ")</f>
        <v>COMANDANTE FERNÁNDEZ</v>
      </c>
      <c r="Q938" s="30" t="str">
        <f ca="1">IFERROR(__xludf.DUMMYFUNCTION("""COMPUTED_VALUE"""),"-26.783")</f>
        <v>-26.783</v>
      </c>
      <c r="R938" s="30" t="str">
        <f ca="1">IFERROR(__xludf.DUMMYFUNCTION("""COMPUTED_VALUE"""),"-60.4587")</f>
        <v>-60.4587</v>
      </c>
      <c r="S938" s="30" t="str">
        <f ca="1">IFERROR(__xludf.DUMMYFUNCTION("""COMPUTED_VALUE"""),"Provincial")</f>
        <v>Provincial</v>
      </c>
      <c r="T938" s="30" t="str">
        <f ca="1">IFERROR(__xludf.DUMMYFUNCTION("""COMPUTED_VALUE"""),"-")</f>
        <v>-</v>
      </c>
    </row>
    <row r="939" spans="1:20" ht="15.75" customHeight="1" x14ac:dyDescent="0.25">
      <c r="A939" s="30" t="str">
        <f ca="1">IFERROR(__xludf.DUMMYFUNCTION("""COMPUTED_VALUE"""),"50220212126368")</f>
        <v>50220212126368</v>
      </c>
      <c r="B939" s="30" t="str">
        <f ca="1">IFERROR(__xludf.DUMMYFUNCTION("""COMPUTED_VALUE"""),"CENTRO DE SALUD MARIA MADRE DE ESPERANZA - BARRIO SAN CAYETANO")</f>
        <v>CENTRO DE SALUD MARIA MADRE DE ESPERANZA - BARRIO SAN CAYETANO</v>
      </c>
      <c r="C939" s="30" t="str">
        <f ca="1">IFERROR(__xludf.DUMMYFUNCTION("""COMPUTED_VALUE"""),"Chaco")</f>
        <v>Chaco</v>
      </c>
      <c r="D939" s="30" t="str">
        <f ca="1">IFERROR(__xludf.DUMMYFUNCTION("""COMPUTED_VALUE"""),"22")</f>
        <v>22</v>
      </c>
      <c r="E939" s="30" t="str">
        <f ca="1">IFERROR(__xludf.DUMMYFUNCTION("""COMPUTED_VALUE"""),"")</f>
        <v/>
      </c>
      <c r="F939" s="29"/>
      <c r="G939" s="29"/>
      <c r="H939" s="30" t="str">
        <f ca="1">IFERROR(__xludf.DUMMYFUNCTION("""COMPUTED_VALUE"""),"activo")</f>
        <v>activo</v>
      </c>
      <c r="I939" s="29"/>
      <c r="J939" s="29"/>
      <c r="K939" s="29"/>
      <c r="L939" s="30" t="str">
        <f ca="1">IFERROR(__xludf.DUMMYFUNCTION("""COMPUTED_VALUE"""),"No")</f>
        <v>No</v>
      </c>
      <c r="M939" s="30" t="str">
        <f ca="1">IFERROR(__xludf.DUMMYFUNCTION("""COMPUTED_VALUE"""),"22021010000")</f>
        <v>22021010000</v>
      </c>
      <c r="N939" s="30" t="str">
        <f ca="1">IFERROR(__xludf.DUMMYFUNCTION("""COMPUTED_VALUE"""),"PRESIDENCIA ROQUE SAENZ PENA")</f>
        <v>PRESIDENCIA ROQUE SAENZ PENA</v>
      </c>
      <c r="O939" s="30" t="str">
        <f ca="1">IFERROR(__xludf.DUMMYFUNCTION("""COMPUTED_VALUE"""),"2221")</f>
        <v>2221</v>
      </c>
      <c r="P939" s="30" t="str">
        <f ca="1">IFERROR(__xludf.DUMMYFUNCTION("""COMPUTED_VALUE"""),"COMANDANTE FERNÁNDEZ")</f>
        <v>COMANDANTE FERNÁNDEZ</v>
      </c>
      <c r="Q939" s="30" t="str">
        <f ca="1">IFERROR(__xludf.DUMMYFUNCTION("""COMPUTED_VALUE"""),"-26.78852513")</f>
        <v>-26.78852513</v>
      </c>
      <c r="R939" s="30" t="str">
        <f ca="1">IFERROR(__xludf.DUMMYFUNCTION("""COMPUTED_VALUE"""),"-60.44059753")</f>
        <v>-60.44059753</v>
      </c>
      <c r="S939" s="30" t="str">
        <f ca="1">IFERROR(__xludf.DUMMYFUNCTION("""COMPUTED_VALUE"""),"Provincial")</f>
        <v>Provincial</v>
      </c>
      <c r="T939" s="30" t="str">
        <f ca="1">IFERROR(__xludf.DUMMYFUNCTION("""COMPUTED_VALUE"""),"-")</f>
        <v>-</v>
      </c>
    </row>
    <row r="940" spans="1:20" ht="15.75" customHeight="1" x14ac:dyDescent="0.25">
      <c r="A940" s="30" t="str">
        <f ca="1">IFERROR(__xludf.DUMMYFUNCTION("""COMPUTED_VALUE"""),"50220282126145")</f>
        <v>50220282126145</v>
      </c>
      <c r="B940" s="30" t="str">
        <f ca="1">IFERROR(__xludf.DUMMYFUNCTION("""COMPUTED_VALUE"""),"CENTRO DE SALUD BARRIO JUVENTUD")</f>
        <v>CENTRO DE SALUD BARRIO JUVENTUD</v>
      </c>
      <c r="C940" s="30" t="str">
        <f ca="1">IFERROR(__xludf.DUMMYFUNCTION("""COMPUTED_VALUE"""),"Chaco")</f>
        <v>Chaco</v>
      </c>
      <c r="D940" s="30" t="str">
        <f ca="1">IFERROR(__xludf.DUMMYFUNCTION("""COMPUTED_VALUE"""),"22")</f>
        <v>22</v>
      </c>
      <c r="E940" s="30" t="str">
        <f ca="1">IFERROR(__xludf.DUMMYFUNCTION("""COMPUTED_VALUE"""),"")</f>
        <v/>
      </c>
      <c r="F940" s="29"/>
      <c r="G940" s="30" t="str">
        <f ca="1">IFERROR(__xludf.DUMMYFUNCTION("""COMPUTED_VALUE"""),"50221402126486")</f>
        <v>50221402126486</v>
      </c>
      <c r="H940" s="30" t="str">
        <f ca="1">IFERROR(__xludf.DUMMYFUNCTION("""COMPUTED_VALUE"""),"inactivo")</f>
        <v>inactivo</v>
      </c>
      <c r="I940" s="29"/>
      <c r="J940" s="29"/>
      <c r="K940" s="29"/>
      <c r="L940" s="30" t="str">
        <f ca="1">IFERROR(__xludf.DUMMYFUNCTION("""COMPUTED_VALUE"""),"No")</f>
        <v>No</v>
      </c>
      <c r="M940" s="30" t="str">
        <f ca="1">IFERROR(__xludf.DUMMYFUNCTION("""COMPUTED_VALUE"""),"22028010000")</f>
        <v>22028010000</v>
      </c>
      <c r="N940" s="30" t="str">
        <f ca="1">IFERROR(__xludf.DUMMYFUNCTION("""COMPUTED_VALUE"""),"CHARATA")</f>
        <v>CHARATA</v>
      </c>
      <c r="O940" s="30" t="str">
        <f ca="1">IFERROR(__xludf.DUMMYFUNCTION("""COMPUTED_VALUE"""),"2228")</f>
        <v>2228</v>
      </c>
      <c r="P940" s="30" t="str">
        <f ca="1">IFERROR(__xludf.DUMMYFUNCTION("""COMPUTED_VALUE"""),"CHACABUCO")</f>
        <v>CHACABUCO</v>
      </c>
      <c r="Q940" s="30" t="str">
        <f ca="1">IFERROR(__xludf.DUMMYFUNCTION("""COMPUTED_VALUE"""),"-27.2141338")</f>
        <v>-27.2141338</v>
      </c>
      <c r="R940" s="30" t="str">
        <f ca="1">IFERROR(__xludf.DUMMYFUNCTION("""COMPUTED_VALUE"""),"-61.1969991")</f>
        <v>-61.1969991</v>
      </c>
      <c r="S940" s="30" t="str">
        <f ca="1">IFERROR(__xludf.DUMMYFUNCTION("""COMPUTED_VALUE"""),"Provincial")</f>
        <v>Provincial</v>
      </c>
      <c r="T940" s="30" t="str">
        <f ca="1">IFERROR(__xludf.DUMMYFUNCTION("""COMPUTED_VALUE"""),"-")</f>
        <v>-</v>
      </c>
    </row>
    <row r="941" spans="1:20" ht="15.75" customHeight="1" x14ac:dyDescent="0.25">
      <c r="A941" s="30" t="str">
        <f ca="1">IFERROR(__xludf.DUMMYFUNCTION("""COMPUTED_VALUE"""),"50221402126486")</f>
        <v>50221402126486</v>
      </c>
      <c r="B941" s="30" t="str">
        <f ca="1">IFERROR(__xludf.DUMMYFUNCTION("""COMPUTED_VALUE"""),"CENTRO DE SALUD VILLA SAN MARTIN")</f>
        <v>CENTRO DE SALUD VILLA SAN MARTIN</v>
      </c>
      <c r="C941" s="30" t="str">
        <f ca="1">IFERROR(__xludf.DUMMYFUNCTION("""COMPUTED_VALUE"""),"Chaco")</f>
        <v>Chaco</v>
      </c>
      <c r="D941" s="30" t="str">
        <f ca="1">IFERROR(__xludf.DUMMYFUNCTION("""COMPUTED_VALUE"""),"22")</f>
        <v>22</v>
      </c>
      <c r="E941" s="29"/>
      <c r="F941" s="30" t="str">
        <f ca="1">IFERROR(__xludf.DUMMYFUNCTION("""COMPUTED_VALUE"""),"50220282126145")</f>
        <v>50220282126145</v>
      </c>
      <c r="G941" s="29"/>
      <c r="H941" s="30" t="str">
        <f ca="1">IFERROR(__xludf.DUMMYFUNCTION("""COMPUTED_VALUE"""),"activo")</f>
        <v>activo</v>
      </c>
      <c r="I941" s="30" t="str">
        <f ca="1">IFERROR(__xludf.DUMMYFUNCTION("""COMPUTED_VALUE"""),"2020")</f>
        <v>2020</v>
      </c>
      <c r="J941" s="29"/>
      <c r="K941" s="29"/>
      <c r="L941" s="30" t="str">
        <f ca="1">IFERROR(__xludf.DUMMYFUNCTION("""COMPUTED_VALUE"""),"No")</f>
        <v>No</v>
      </c>
      <c r="M941" s="30" t="str">
        <f ca="1">IFERROR(__xludf.DUMMYFUNCTION("""COMPUTED_VALUE"""),"22140060000")</f>
        <v>22140060000</v>
      </c>
      <c r="N941" s="30" t="str">
        <f ca="1">IFERROR(__xludf.DUMMYFUNCTION("""COMPUTED_VALUE"""),"RESISTENCIA")</f>
        <v>RESISTENCIA</v>
      </c>
      <c r="O941" s="30" t="str">
        <f ca="1">IFERROR(__xludf.DUMMYFUNCTION("""COMPUTED_VALUE"""),"22140")</f>
        <v>22140</v>
      </c>
      <c r="P941" s="30" t="str">
        <f ca="1">IFERROR(__xludf.DUMMYFUNCTION("""COMPUTED_VALUE"""),"SAN FERNANDO")</f>
        <v>SAN FERNANDO</v>
      </c>
      <c r="Q941" s="30" t="str">
        <f ca="1">IFERROR(__xludf.DUMMYFUNCTION("""COMPUTED_VALUE"""),"-27.44287")</f>
        <v>-27.44287</v>
      </c>
      <c r="R941" s="30" t="str">
        <f ca="1">IFERROR(__xludf.DUMMYFUNCTION("""COMPUTED_VALUE"""),"-58.966698")</f>
        <v>-58.966698</v>
      </c>
      <c r="S941" s="30" t="str">
        <f ca="1">IFERROR(__xludf.DUMMYFUNCTION("""COMPUTED_VALUE"""),"Provincial")</f>
        <v>Provincial</v>
      </c>
      <c r="T941" s="30" t="str">
        <f ca="1">IFERROR(__xludf.DUMMYFUNCTION("""COMPUTED_VALUE"""),"-")</f>
        <v>-</v>
      </c>
    </row>
    <row r="942" spans="1:20" ht="15.75" customHeight="1" x14ac:dyDescent="0.25">
      <c r="A942" s="30" t="str">
        <f ca="1">IFERROR(__xludf.DUMMYFUNCTION("""COMPUTED_VALUE"""),"50220362126264")</f>
        <v>50220362126264</v>
      </c>
      <c r="B942" s="30" t="str">
        <f ca="1">IFERROR(__xludf.DUMMYFUNCTION("""COMPUTED_VALUE"""),"CENTRO DE SALUD GANCEDO")</f>
        <v>CENTRO DE SALUD GANCEDO</v>
      </c>
      <c r="C942" s="30" t="str">
        <f ca="1">IFERROR(__xludf.DUMMYFUNCTION("""COMPUTED_VALUE"""),"Chaco")</f>
        <v>Chaco</v>
      </c>
      <c r="D942" s="30" t="str">
        <f ca="1">IFERROR(__xludf.DUMMYFUNCTION("""COMPUTED_VALUE"""),"22")</f>
        <v>22</v>
      </c>
      <c r="E942" s="30" t="str">
        <f ca="1">IFERROR(__xludf.DUMMYFUNCTION("""COMPUTED_VALUE"""),"")</f>
        <v/>
      </c>
      <c r="F942" s="29"/>
      <c r="G942" s="29"/>
      <c r="H942" s="30" t="str">
        <f ca="1">IFERROR(__xludf.DUMMYFUNCTION("""COMPUTED_VALUE"""),"activo")</f>
        <v>activo</v>
      </c>
      <c r="I942" s="29"/>
      <c r="J942" s="29"/>
      <c r="K942" s="29"/>
      <c r="L942" s="30" t="str">
        <f ca="1">IFERROR(__xludf.DUMMYFUNCTION("""COMPUTED_VALUE"""),"No")</f>
        <v>No</v>
      </c>
      <c r="M942" s="30" t="str">
        <f ca="1">IFERROR(__xludf.DUMMYFUNCTION("""COMPUTED_VALUE"""),"22036010000")</f>
        <v>22036010000</v>
      </c>
      <c r="N942" s="30" t="str">
        <f ca="1">IFERROR(__xludf.DUMMYFUNCTION("""COMPUTED_VALUE"""),"GANCEDO")</f>
        <v>GANCEDO</v>
      </c>
      <c r="O942" s="30" t="str">
        <f ca="1">IFERROR(__xludf.DUMMYFUNCTION("""COMPUTED_VALUE"""),"2236")</f>
        <v>2236</v>
      </c>
      <c r="P942" s="30" t="str">
        <f ca="1">IFERROR(__xludf.DUMMYFUNCTION("""COMPUTED_VALUE"""),"12 DE OCTUBRE")</f>
        <v>12 DE OCTUBRE</v>
      </c>
      <c r="Q942" s="30" t="str">
        <f ca="1">IFERROR(__xludf.DUMMYFUNCTION("""COMPUTED_VALUE"""),"-27.48725518")</f>
        <v>-27.48725518</v>
      </c>
      <c r="R942" s="30" t="str">
        <f ca="1">IFERROR(__xludf.DUMMYFUNCTION("""COMPUTED_VALUE"""),"-61.67886257")</f>
        <v>-61.67886257</v>
      </c>
      <c r="S942" s="30" t="str">
        <f ca="1">IFERROR(__xludf.DUMMYFUNCTION("""COMPUTED_VALUE"""),"Provincial")</f>
        <v>Provincial</v>
      </c>
      <c r="T942" s="30" t="str">
        <f ca="1">IFERROR(__xludf.DUMMYFUNCTION("""COMPUTED_VALUE"""),"-")</f>
        <v>-</v>
      </c>
    </row>
    <row r="943" spans="1:20" ht="15.75" customHeight="1" x14ac:dyDescent="0.25">
      <c r="A943" s="30" t="str">
        <f ca="1">IFERROR(__xludf.DUMMYFUNCTION("""COMPUTED_VALUE"""),"50220842126375")</f>
        <v>50220842126375</v>
      </c>
      <c r="B943" s="30" t="str">
        <f ca="1">IFERROR(__xludf.DUMMYFUNCTION("""COMPUTED_VALUE"""),"CENTRO DE SALUD NUESTRA SEÑORA DE LA PAZ")</f>
        <v>CENTRO DE SALUD NUESTRA SEÑORA DE LA PAZ</v>
      </c>
      <c r="C943" s="30" t="str">
        <f ca="1">IFERROR(__xludf.DUMMYFUNCTION("""COMPUTED_VALUE"""),"Chaco")</f>
        <v>Chaco</v>
      </c>
      <c r="D943" s="30" t="str">
        <f ca="1">IFERROR(__xludf.DUMMYFUNCTION("""COMPUTED_VALUE"""),"22")</f>
        <v>22</v>
      </c>
      <c r="E943" s="30" t="str">
        <f ca="1">IFERROR(__xludf.DUMMYFUNCTION("""COMPUTED_VALUE"""),"")</f>
        <v/>
      </c>
      <c r="F943" s="29"/>
      <c r="G943" s="29"/>
      <c r="H943" s="30" t="str">
        <f ca="1">IFERROR(__xludf.DUMMYFUNCTION("""COMPUTED_VALUE"""),"activo")</f>
        <v>activo</v>
      </c>
      <c r="I943" s="29"/>
      <c r="J943" s="29"/>
      <c r="K943" s="29"/>
      <c r="L943" s="30" t="str">
        <f ca="1">IFERROR(__xludf.DUMMYFUNCTION("""COMPUTED_VALUE"""),"No")</f>
        <v>No</v>
      </c>
      <c r="M943" s="30" t="str">
        <f ca="1">IFERROR(__xludf.DUMMYFUNCTION("""COMPUTED_VALUE"""),"22084020000")</f>
        <v>22084020000</v>
      </c>
      <c r="N943" s="30" t="str">
        <f ca="1">IFERROR(__xludf.DUMMYFUNCTION("""COMPUTED_VALUE"""),"GENERAL JOSE DE SAN MARTIN")</f>
        <v>GENERAL JOSE DE SAN MARTIN</v>
      </c>
      <c r="O943" s="30" t="str">
        <f ca="1">IFERROR(__xludf.DUMMYFUNCTION("""COMPUTED_VALUE"""),"2284")</f>
        <v>2284</v>
      </c>
      <c r="P943" s="30" t="str">
        <f ca="1">IFERROR(__xludf.DUMMYFUNCTION("""COMPUTED_VALUE"""),"LIBERTADOR GENERAL SAN MARTÍN")</f>
        <v>LIBERTADOR GENERAL SAN MARTÍN</v>
      </c>
      <c r="Q943" s="30" t="str">
        <f ca="1">IFERROR(__xludf.DUMMYFUNCTION("""COMPUTED_VALUE"""),"-26.53662998")</f>
        <v>-26.53662998</v>
      </c>
      <c r="R943" s="30" t="str">
        <f ca="1">IFERROR(__xludf.DUMMYFUNCTION("""COMPUTED_VALUE"""),"-59.33775902")</f>
        <v>-59.33775902</v>
      </c>
      <c r="S943" s="30" t="str">
        <f ca="1">IFERROR(__xludf.DUMMYFUNCTION("""COMPUTED_VALUE"""),"Provincial")</f>
        <v>Provincial</v>
      </c>
      <c r="T943" s="30" t="str">
        <f ca="1">IFERROR(__xludf.DUMMYFUNCTION("""COMPUTED_VALUE"""),"-")</f>
        <v>-</v>
      </c>
    </row>
    <row r="944" spans="1:20" ht="15.75" customHeight="1" x14ac:dyDescent="0.25">
      <c r="A944" s="30" t="str">
        <f ca="1">IFERROR(__xludf.DUMMYFUNCTION("""COMPUTED_VALUE"""),"50221052126143")</f>
        <v>50221052126143</v>
      </c>
      <c r="B944" s="30" t="str">
        <f ca="1">IFERROR(__xludf.DUMMYFUNCTION("""COMPUTED_VALUE"""),"CENTRO DE SALUD BARRIO H IRIGOYEN")</f>
        <v>CENTRO DE SALUD BARRIO H IRIGOYEN</v>
      </c>
      <c r="C944" s="30" t="str">
        <f ca="1">IFERROR(__xludf.DUMMYFUNCTION("""COMPUTED_VALUE"""),"Chaco")</f>
        <v>Chaco</v>
      </c>
      <c r="D944" s="30" t="str">
        <f ca="1">IFERROR(__xludf.DUMMYFUNCTION("""COMPUTED_VALUE"""),"22")</f>
        <v>22</v>
      </c>
      <c r="E944" s="30" t="str">
        <f ca="1">IFERROR(__xludf.DUMMYFUNCTION("""COMPUTED_VALUE"""),"")</f>
        <v/>
      </c>
      <c r="F944" s="29"/>
      <c r="G944" s="29"/>
      <c r="H944" s="30" t="str">
        <f ca="1">IFERROR(__xludf.DUMMYFUNCTION("""COMPUTED_VALUE"""),"activo")</f>
        <v>activo</v>
      </c>
      <c r="I944" s="29"/>
      <c r="J944" s="29"/>
      <c r="K944" s="29"/>
      <c r="L944" s="30" t="str">
        <f ca="1">IFERROR(__xludf.DUMMYFUNCTION("""COMPUTED_VALUE"""),"No")</f>
        <v>No</v>
      </c>
      <c r="M944" s="30" t="str">
        <f ca="1">IFERROR(__xludf.DUMMYFUNCTION("""COMPUTED_VALUE"""),"22105010000")</f>
        <v>22105010000</v>
      </c>
      <c r="N944" s="30" t="str">
        <f ca="1">IFERROR(__xludf.DUMMYFUNCTION("""COMPUTED_VALUE"""),"LAS BREÑAS")</f>
        <v>LAS BREÑAS</v>
      </c>
      <c r="O944" s="30" t="str">
        <f ca="1">IFERROR(__xludf.DUMMYFUNCTION("""COMPUTED_VALUE"""),"22105")</f>
        <v>22105</v>
      </c>
      <c r="P944" s="30" t="str">
        <f ca="1">IFERROR(__xludf.DUMMYFUNCTION("""COMPUTED_VALUE"""),"9 DE JULIO")</f>
        <v>9 DE JULIO</v>
      </c>
      <c r="Q944" s="30" t="str">
        <f ca="1">IFERROR(__xludf.DUMMYFUNCTION("""COMPUTED_VALUE"""),"-27.0854165")</f>
        <v>-27.0854165</v>
      </c>
      <c r="R944" s="30" t="str">
        <f ca="1">IFERROR(__xludf.DUMMYFUNCTION("""COMPUTED_VALUE"""),"-61.08467102")</f>
        <v>-61.08467102</v>
      </c>
      <c r="S944" s="30" t="str">
        <f ca="1">IFERROR(__xludf.DUMMYFUNCTION("""COMPUTED_VALUE"""),"Provincial")</f>
        <v>Provincial</v>
      </c>
      <c r="T944" s="30" t="str">
        <f ca="1">IFERROR(__xludf.DUMMYFUNCTION("""COMPUTED_VALUE"""),"-")</f>
        <v>-</v>
      </c>
    </row>
    <row r="945" spans="1:20" ht="15.75" customHeight="1" x14ac:dyDescent="0.25">
      <c r="A945" s="30" t="str">
        <f ca="1">IFERROR(__xludf.DUMMYFUNCTION("""COMPUTED_VALUE"""),"50221122126289")</f>
        <v>50221122126289</v>
      </c>
      <c r="B945" s="30" t="str">
        <f ca="1">IFERROR(__xludf.DUMMYFUNCTION("""COMPUTED_VALUE"""),"CENTRO DE SALUD LA CLOTILDE")</f>
        <v>CENTRO DE SALUD LA CLOTILDE</v>
      </c>
      <c r="C945" s="30" t="str">
        <f ca="1">IFERROR(__xludf.DUMMYFUNCTION("""COMPUTED_VALUE"""),"Chaco")</f>
        <v>Chaco</v>
      </c>
      <c r="D945" s="30" t="str">
        <f ca="1">IFERROR(__xludf.DUMMYFUNCTION("""COMPUTED_VALUE"""),"22")</f>
        <v>22</v>
      </c>
      <c r="E945" s="30" t="str">
        <f ca="1">IFERROR(__xludf.DUMMYFUNCTION("""COMPUTED_VALUE"""),"")</f>
        <v/>
      </c>
      <c r="F945" s="29"/>
      <c r="G945" s="29"/>
      <c r="H945" s="30" t="str">
        <f ca="1">IFERROR(__xludf.DUMMYFUNCTION("""COMPUTED_VALUE"""),"activo")</f>
        <v>activo</v>
      </c>
      <c r="I945" s="29"/>
      <c r="J945" s="29"/>
      <c r="K945" s="29"/>
      <c r="L945" s="30" t="str">
        <f ca="1">IFERROR(__xludf.DUMMYFUNCTION("""COMPUTED_VALUE"""),"No")</f>
        <v>No</v>
      </c>
      <c r="M945" s="30" t="str">
        <f ca="1">IFERROR(__xludf.DUMMYFUNCTION("""COMPUTED_VALUE"""),"22112010000")</f>
        <v>22112010000</v>
      </c>
      <c r="N945" s="30" t="str">
        <f ca="1">IFERROR(__xludf.DUMMYFUNCTION("""COMPUTED_VALUE"""),"LA CLOTILDE")</f>
        <v>LA CLOTILDE</v>
      </c>
      <c r="O945" s="30" t="str">
        <f ca="1">IFERROR(__xludf.DUMMYFUNCTION("""COMPUTED_VALUE"""),"22112")</f>
        <v>22112</v>
      </c>
      <c r="P945" s="30" t="str">
        <f ca="1">IFERROR(__xludf.DUMMYFUNCTION("""COMPUTED_VALUE"""),"O'HIGGINS")</f>
        <v>O'HIGGINS</v>
      </c>
      <c r="Q945" s="30" t="str">
        <f ca="1">IFERROR(__xludf.DUMMYFUNCTION("""COMPUTED_VALUE"""),"-27.17769081")</f>
        <v>-27.17769081</v>
      </c>
      <c r="R945" s="30" t="str">
        <f ca="1">IFERROR(__xludf.DUMMYFUNCTION("""COMPUTED_VALUE"""),"-60.63294411")</f>
        <v>-60.63294411</v>
      </c>
      <c r="S945" s="30" t="str">
        <f ca="1">IFERROR(__xludf.DUMMYFUNCTION("""COMPUTED_VALUE"""),"Provincial")</f>
        <v>Provincial</v>
      </c>
      <c r="T945" s="30" t="str">
        <f ca="1">IFERROR(__xludf.DUMMYFUNCTION("""COMPUTED_VALUE"""),"-")</f>
        <v>-</v>
      </c>
    </row>
    <row r="946" spans="1:20" ht="15.75" customHeight="1" x14ac:dyDescent="0.25">
      <c r="A946" s="30" t="str">
        <f ca="1">IFERROR(__xludf.DUMMYFUNCTION("""COMPUTED_VALUE"""),"50221122126307")</f>
        <v>50221122126307</v>
      </c>
      <c r="B946" s="30" t="str">
        <f ca="1">IFERROR(__xludf.DUMMYFUNCTION("""COMPUTED_VALUE"""),"CENTRO DE SALUD LA TIGRA")</f>
        <v>CENTRO DE SALUD LA TIGRA</v>
      </c>
      <c r="C946" s="30" t="str">
        <f ca="1">IFERROR(__xludf.DUMMYFUNCTION("""COMPUTED_VALUE"""),"Chaco")</f>
        <v>Chaco</v>
      </c>
      <c r="D946" s="30" t="str">
        <f ca="1">IFERROR(__xludf.DUMMYFUNCTION("""COMPUTED_VALUE"""),"22")</f>
        <v>22</v>
      </c>
      <c r="E946" s="30" t="str">
        <f ca="1">IFERROR(__xludf.DUMMYFUNCTION("""COMPUTED_VALUE"""),"si")</f>
        <v>si</v>
      </c>
      <c r="F946" s="29"/>
      <c r="G946" s="29"/>
      <c r="H946" s="30" t="str">
        <f ca="1">IFERROR(__xludf.DUMMYFUNCTION("""COMPUTED_VALUE"""),"activo")</f>
        <v>activo</v>
      </c>
      <c r="I946" s="29"/>
      <c r="J946" s="29"/>
      <c r="K946" s="29"/>
      <c r="L946" s="30" t="str">
        <f ca="1">IFERROR(__xludf.DUMMYFUNCTION("""COMPUTED_VALUE"""),"No")</f>
        <v>No</v>
      </c>
      <c r="M946" s="30" t="str">
        <f ca="1">IFERROR(__xludf.DUMMYFUNCTION("""COMPUTED_VALUE"""),"22112020000")</f>
        <v>22112020000</v>
      </c>
      <c r="N946" s="30" t="str">
        <f ca="1">IFERROR(__xludf.DUMMYFUNCTION("""COMPUTED_VALUE"""),"LA TIGRA")</f>
        <v>LA TIGRA</v>
      </c>
      <c r="O946" s="30" t="str">
        <f ca="1">IFERROR(__xludf.DUMMYFUNCTION("""COMPUTED_VALUE"""),"22112")</f>
        <v>22112</v>
      </c>
      <c r="P946" s="30" t="str">
        <f ca="1">IFERROR(__xludf.DUMMYFUNCTION("""COMPUTED_VALUE"""),"O'HIGGINS")</f>
        <v>O'HIGGINS</v>
      </c>
      <c r="Q946" s="30" t="str">
        <f ca="1">IFERROR(__xludf.DUMMYFUNCTION("""COMPUTED_VALUE"""),"-27.11382111")</f>
        <v>-27.11382111</v>
      </c>
      <c r="R946" s="30" t="str">
        <f ca="1">IFERROR(__xludf.DUMMYFUNCTION("""COMPUTED_VALUE"""),"-60.58773279")</f>
        <v>-60.58773279</v>
      </c>
      <c r="S946" s="30" t="str">
        <f ca="1">IFERROR(__xludf.DUMMYFUNCTION("""COMPUTED_VALUE"""),"Provincial")</f>
        <v>Provincial</v>
      </c>
      <c r="T946" s="30" t="str">
        <f ca="1">IFERROR(__xludf.DUMMYFUNCTION("""COMPUTED_VALUE"""),"-")</f>
        <v>-</v>
      </c>
    </row>
    <row r="947" spans="1:20" ht="15.75" customHeight="1" x14ac:dyDescent="0.25">
      <c r="A947" s="30" t="str">
        <f ca="1">IFERROR(__xludf.DUMMYFUNCTION("""COMPUTED_VALUE"""),"50221262126367")</f>
        <v>50221262126367</v>
      </c>
      <c r="B947" s="30" t="str">
        <f ca="1">IFERROR(__xludf.DUMMYFUNCTION("""COMPUTED_VALUE"""),"CENTRO DE SALUD MARGARITA BELEN")</f>
        <v>CENTRO DE SALUD MARGARITA BELEN</v>
      </c>
      <c r="C947" s="30" t="str">
        <f ca="1">IFERROR(__xludf.DUMMYFUNCTION("""COMPUTED_VALUE"""),"Chaco")</f>
        <v>Chaco</v>
      </c>
      <c r="D947" s="30" t="str">
        <f ca="1">IFERROR(__xludf.DUMMYFUNCTION("""COMPUTED_VALUE"""),"22")</f>
        <v>22</v>
      </c>
      <c r="E947" s="30" t="str">
        <f ca="1">IFERROR(__xludf.DUMMYFUNCTION("""COMPUTED_VALUE"""),"")</f>
        <v/>
      </c>
      <c r="F947" s="29"/>
      <c r="G947" s="29"/>
      <c r="H947" s="30" t="str">
        <f ca="1">IFERROR(__xludf.DUMMYFUNCTION("""COMPUTED_VALUE"""),"activo")</f>
        <v>activo</v>
      </c>
      <c r="I947" s="29"/>
      <c r="J947" s="29"/>
      <c r="K947" s="29"/>
      <c r="L947" s="30" t="str">
        <f ca="1">IFERROR(__xludf.DUMMYFUNCTION("""COMPUTED_VALUE"""),"No")</f>
        <v>No</v>
      </c>
      <c r="M947" s="30" t="str">
        <f ca="1">IFERROR(__xludf.DUMMYFUNCTION("""COMPUTED_VALUE"""),"22126030000")</f>
        <v>22126030000</v>
      </c>
      <c r="N947" s="30" t="str">
        <f ca="1">IFERROR(__xludf.DUMMYFUNCTION("""COMPUTED_VALUE"""),"MARGARITA BELEN")</f>
        <v>MARGARITA BELEN</v>
      </c>
      <c r="O947" s="30" t="str">
        <f ca="1">IFERROR(__xludf.DUMMYFUNCTION("""COMPUTED_VALUE"""),"22126")</f>
        <v>22126</v>
      </c>
      <c r="P947" s="30" t="str">
        <f ca="1">IFERROR(__xludf.DUMMYFUNCTION("""COMPUTED_VALUE"""),"1º DE MAYO")</f>
        <v>1º DE MAYO</v>
      </c>
      <c r="Q947" s="30" t="str">
        <f ca="1">IFERROR(__xludf.DUMMYFUNCTION("""COMPUTED_VALUE"""),"-27.25882")</f>
        <v>-27.25882</v>
      </c>
      <c r="R947" s="30" t="str">
        <f ca="1">IFERROR(__xludf.DUMMYFUNCTION("""COMPUTED_VALUE"""),"-58.96873")</f>
        <v>-58.96873</v>
      </c>
      <c r="S947" s="30" t="str">
        <f ca="1">IFERROR(__xludf.DUMMYFUNCTION("""COMPUTED_VALUE"""),"Provincial")</f>
        <v>Provincial</v>
      </c>
      <c r="T947" s="30" t="str">
        <f ca="1">IFERROR(__xludf.DUMMYFUNCTION("""COMPUTED_VALUE"""),"-")</f>
        <v>-</v>
      </c>
    </row>
    <row r="948" spans="1:20" ht="15.75" customHeight="1" x14ac:dyDescent="0.25">
      <c r="A948" s="30" t="str">
        <f ca="1">IFERROR(__xludf.DUMMYFUNCTION("""COMPUTED_VALUE"""),"50221402126123")</f>
        <v>50221402126123</v>
      </c>
      <c r="B948" s="30" t="str">
        <f ca="1">IFERROR(__xludf.DUMMYFUNCTION("""COMPUTED_VALUE"""),"CENTRO DE REFERENCIA DR. PEDRO BIOLCHI")</f>
        <v>CENTRO DE REFERENCIA DR. PEDRO BIOLCHI</v>
      </c>
      <c r="C948" s="30" t="str">
        <f ca="1">IFERROR(__xludf.DUMMYFUNCTION("""COMPUTED_VALUE"""),"Chaco")</f>
        <v>Chaco</v>
      </c>
      <c r="D948" s="30" t="str">
        <f ca="1">IFERROR(__xludf.DUMMYFUNCTION("""COMPUTED_VALUE"""),"22")</f>
        <v>22</v>
      </c>
      <c r="E948" s="30" t="str">
        <f ca="1">IFERROR(__xludf.DUMMYFUNCTION("""COMPUTED_VALUE"""),"")</f>
        <v/>
      </c>
      <c r="F948" s="29"/>
      <c r="G948" s="29"/>
      <c r="H948" s="30" t="str">
        <f ca="1">IFERROR(__xludf.DUMMYFUNCTION("""COMPUTED_VALUE"""),"activo")</f>
        <v>activo</v>
      </c>
      <c r="I948" s="29"/>
      <c r="J948" s="29"/>
      <c r="K948" s="29"/>
      <c r="L948" s="30" t="str">
        <f ca="1">IFERROR(__xludf.DUMMYFUNCTION("""COMPUTED_VALUE"""),"No")</f>
        <v>No</v>
      </c>
      <c r="M948" s="30" t="str">
        <f ca="1">IFERROR(__xludf.DUMMYFUNCTION("""COMPUTED_VALUE"""),"22140010000")</f>
        <v>22140010000</v>
      </c>
      <c r="N948" s="30" t="str">
        <f ca="1">IFERROR(__xludf.DUMMYFUNCTION("""COMPUTED_VALUE"""),"BARRANQUERAS")</f>
        <v>BARRANQUERAS</v>
      </c>
      <c r="O948" s="30" t="str">
        <f ca="1">IFERROR(__xludf.DUMMYFUNCTION("""COMPUTED_VALUE"""),"22140")</f>
        <v>22140</v>
      </c>
      <c r="P948" s="30" t="str">
        <f ca="1">IFERROR(__xludf.DUMMYFUNCTION("""COMPUTED_VALUE"""),"SAN FERNANDO")</f>
        <v>SAN FERNANDO</v>
      </c>
      <c r="Q948" s="30" t="str">
        <f ca="1">IFERROR(__xludf.DUMMYFUNCTION("""COMPUTED_VALUE"""),"-27.4883868")</f>
        <v>-27.4883868</v>
      </c>
      <c r="R948" s="30" t="str">
        <f ca="1">IFERROR(__xludf.DUMMYFUNCTION("""COMPUTED_VALUE"""),"-58.9300051")</f>
        <v>-58.9300051</v>
      </c>
      <c r="S948" s="30" t="str">
        <f ca="1">IFERROR(__xludf.DUMMYFUNCTION("""COMPUTED_VALUE"""),"Provincial")</f>
        <v>Provincial</v>
      </c>
      <c r="T948" s="30" t="str">
        <f ca="1">IFERROR(__xludf.DUMMYFUNCTION("""COMPUTED_VALUE"""),"-")</f>
        <v>-</v>
      </c>
    </row>
    <row r="949" spans="1:20" ht="15.75" customHeight="1" x14ac:dyDescent="0.25">
      <c r="A949" s="30" t="str">
        <f ca="1">IFERROR(__xludf.DUMMYFUNCTION("""COMPUTED_VALUE"""),"50221402126135")</f>
        <v>50221402126135</v>
      </c>
      <c r="B949" s="30" t="str">
        <f ca="1">IFERROR(__xludf.DUMMYFUNCTION("""COMPUTED_VALUE"""),"CENTRO DE SALUD BARRIO SANTA INES")</f>
        <v>CENTRO DE SALUD BARRIO SANTA INES</v>
      </c>
      <c r="C949" s="30" t="str">
        <f ca="1">IFERROR(__xludf.DUMMYFUNCTION("""COMPUTED_VALUE"""),"Chaco")</f>
        <v>Chaco</v>
      </c>
      <c r="D949" s="30" t="str">
        <f ca="1">IFERROR(__xludf.DUMMYFUNCTION("""COMPUTED_VALUE"""),"22")</f>
        <v>22</v>
      </c>
      <c r="E949" s="30" t="str">
        <f ca="1">IFERROR(__xludf.DUMMYFUNCTION("""COMPUTED_VALUE"""),"")</f>
        <v/>
      </c>
      <c r="F949" s="29"/>
      <c r="G949" s="29"/>
      <c r="H949" s="30" t="str">
        <f ca="1">IFERROR(__xludf.DUMMYFUNCTION("""COMPUTED_VALUE"""),"activo")</f>
        <v>activo</v>
      </c>
      <c r="I949" s="29"/>
      <c r="J949" s="29"/>
      <c r="K949" s="29"/>
      <c r="L949" s="30" t="str">
        <f ca="1">IFERROR(__xludf.DUMMYFUNCTION("""COMPUTED_VALUE"""),"No")</f>
        <v>No</v>
      </c>
      <c r="M949" s="30" t="str">
        <f ca="1">IFERROR(__xludf.DUMMYFUNCTION("""COMPUTED_VALUE"""),"22140060000")</f>
        <v>22140060000</v>
      </c>
      <c r="N949" s="30" t="str">
        <f ca="1">IFERROR(__xludf.DUMMYFUNCTION("""COMPUTED_VALUE"""),"RESISTENCIA")</f>
        <v>RESISTENCIA</v>
      </c>
      <c r="O949" s="30" t="str">
        <f ca="1">IFERROR(__xludf.DUMMYFUNCTION("""COMPUTED_VALUE"""),"22140")</f>
        <v>22140</v>
      </c>
      <c r="P949" s="30" t="str">
        <f ca="1">IFERROR(__xludf.DUMMYFUNCTION("""COMPUTED_VALUE"""),"SAN FERNANDO")</f>
        <v>SAN FERNANDO</v>
      </c>
      <c r="Q949" s="30" t="str">
        <f ca="1">IFERROR(__xludf.DUMMYFUNCTION("""COMPUTED_VALUE"""),"-27.45778762")</f>
        <v>-27.45778762</v>
      </c>
      <c r="R949" s="30" t="str">
        <f ca="1">IFERROR(__xludf.DUMMYFUNCTION("""COMPUTED_VALUE"""),"-59.0202713")</f>
        <v>-59.0202713</v>
      </c>
      <c r="S949" s="30" t="str">
        <f ca="1">IFERROR(__xludf.DUMMYFUNCTION("""COMPUTED_VALUE"""),"Provincial")</f>
        <v>Provincial</v>
      </c>
      <c r="T949" s="30" t="str">
        <f ca="1">IFERROR(__xludf.DUMMYFUNCTION("""COMPUTED_VALUE"""),"-")</f>
        <v>-</v>
      </c>
    </row>
    <row r="950" spans="1:20" ht="15.75" customHeight="1" x14ac:dyDescent="0.25">
      <c r="A950" s="30" t="str">
        <f ca="1">IFERROR(__xludf.DUMMYFUNCTION("""COMPUTED_VALUE"""),"50221402126140")</f>
        <v>50221402126140</v>
      </c>
      <c r="B950" s="30" t="str">
        <f ca="1">IFERROR(__xludf.DUMMYFUNCTION("""COMPUTED_VALUE"""),"CENTRO DE SALUD BARRIO ESPAÑA")</f>
        <v>CENTRO DE SALUD BARRIO ESPAÑA</v>
      </c>
      <c r="C950" s="30" t="str">
        <f ca="1">IFERROR(__xludf.DUMMYFUNCTION("""COMPUTED_VALUE"""),"Chaco")</f>
        <v>Chaco</v>
      </c>
      <c r="D950" s="30" t="str">
        <f ca="1">IFERROR(__xludf.DUMMYFUNCTION("""COMPUTED_VALUE"""),"22")</f>
        <v>22</v>
      </c>
      <c r="E950" s="30" t="str">
        <f ca="1">IFERROR(__xludf.DUMMYFUNCTION("""COMPUTED_VALUE"""),"")</f>
        <v/>
      </c>
      <c r="F950" s="29"/>
      <c r="G950" s="29"/>
      <c r="H950" s="30" t="str">
        <f ca="1">IFERROR(__xludf.DUMMYFUNCTION("""COMPUTED_VALUE"""),"activo")</f>
        <v>activo</v>
      </c>
      <c r="I950" s="29"/>
      <c r="J950" s="29"/>
      <c r="K950" s="29"/>
      <c r="L950" s="30" t="str">
        <f ca="1">IFERROR(__xludf.DUMMYFUNCTION("""COMPUTED_VALUE"""),"No")</f>
        <v>No</v>
      </c>
      <c r="M950" s="30" t="str">
        <f ca="1">IFERROR(__xludf.DUMMYFUNCTION("""COMPUTED_VALUE"""),"22140060000")</f>
        <v>22140060000</v>
      </c>
      <c r="N950" s="30" t="str">
        <f ca="1">IFERROR(__xludf.DUMMYFUNCTION("""COMPUTED_VALUE"""),"RESISTENCIA")</f>
        <v>RESISTENCIA</v>
      </c>
      <c r="O950" s="30" t="str">
        <f ca="1">IFERROR(__xludf.DUMMYFUNCTION("""COMPUTED_VALUE"""),"22140")</f>
        <v>22140</v>
      </c>
      <c r="P950" s="30" t="str">
        <f ca="1">IFERROR(__xludf.DUMMYFUNCTION("""COMPUTED_VALUE"""),"SAN FERNANDO")</f>
        <v>SAN FERNANDO</v>
      </c>
      <c r="Q950" s="30" t="str">
        <f ca="1">IFERROR(__xludf.DUMMYFUNCTION("""COMPUTED_VALUE"""),"-27.4446269")</f>
        <v>-27.4446269</v>
      </c>
      <c r="R950" s="30" t="str">
        <f ca="1">IFERROR(__xludf.DUMMYFUNCTION("""COMPUTED_VALUE"""),"-59.0152938")</f>
        <v>-59.0152938</v>
      </c>
      <c r="S950" s="30" t="str">
        <f ca="1">IFERROR(__xludf.DUMMYFUNCTION("""COMPUTED_VALUE"""),"Provincial")</f>
        <v>Provincial</v>
      </c>
      <c r="T950" s="30" t="str">
        <f ca="1">IFERROR(__xludf.DUMMYFUNCTION("""COMPUTED_VALUE"""),"-")</f>
        <v>-</v>
      </c>
    </row>
    <row r="951" spans="1:20" ht="15.75" customHeight="1" x14ac:dyDescent="0.25">
      <c r="A951" s="30" t="str">
        <f ca="1">IFERROR(__xludf.DUMMYFUNCTION("""COMPUTED_VALUE"""),"50221402126141")</f>
        <v>50221402126141</v>
      </c>
      <c r="B951" s="30" t="str">
        <f ca="1">IFERROR(__xludf.DUMMYFUNCTION("""COMPUTED_VALUE"""),"CENTRO DE SALUD DOCTORA GRIERSON")</f>
        <v>CENTRO DE SALUD DOCTORA GRIERSON</v>
      </c>
      <c r="C951" s="30" t="str">
        <f ca="1">IFERROR(__xludf.DUMMYFUNCTION("""COMPUTED_VALUE"""),"Chaco")</f>
        <v>Chaco</v>
      </c>
      <c r="D951" s="30" t="str">
        <f ca="1">IFERROR(__xludf.DUMMYFUNCTION("""COMPUTED_VALUE"""),"22")</f>
        <v>22</v>
      </c>
      <c r="E951" s="30" t="str">
        <f ca="1">IFERROR(__xludf.DUMMYFUNCTION("""COMPUTED_VALUE"""),"")</f>
        <v/>
      </c>
      <c r="F951" s="29"/>
      <c r="G951" s="29"/>
      <c r="H951" s="30" t="str">
        <f ca="1">IFERROR(__xludf.DUMMYFUNCTION("""COMPUTED_VALUE"""),"activo")</f>
        <v>activo</v>
      </c>
      <c r="I951" s="29"/>
      <c r="J951" s="29"/>
      <c r="K951" s="29"/>
      <c r="L951" s="30" t="str">
        <f ca="1">IFERROR(__xludf.DUMMYFUNCTION("""COMPUTED_VALUE"""),"No")</f>
        <v>No</v>
      </c>
      <c r="M951" s="30" t="str">
        <f ca="1">IFERROR(__xludf.DUMMYFUNCTION("""COMPUTED_VALUE"""),"22140060000")</f>
        <v>22140060000</v>
      </c>
      <c r="N951" s="30" t="str">
        <f ca="1">IFERROR(__xludf.DUMMYFUNCTION("""COMPUTED_VALUE"""),"RESISTENCIA")</f>
        <v>RESISTENCIA</v>
      </c>
      <c r="O951" s="30" t="str">
        <f ca="1">IFERROR(__xludf.DUMMYFUNCTION("""COMPUTED_VALUE"""),"22140")</f>
        <v>22140</v>
      </c>
      <c r="P951" s="30" t="str">
        <f ca="1">IFERROR(__xludf.DUMMYFUNCTION("""COMPUTED_VALUE"""),"SAN FERNANDO")</f>
        <v>SAN FERNANDO</v>
      </c>
      <c r="Q951" s="30" t="str">
        <f ca="1">IFERROR(__xludf.DUMMYFUNCTION("""COMPUTED_VALUE"""),"-27.46324")</f>
        <v>-27.46324</v>
      </c>
      <c r="R951" s="30" t="str">
        <f ca="1">IFERROR(__xludf.DUMMYFUNCTION("""COMPUTED_VALUE"""),"-58.94901")</f>
        <v>-58.94901</v>
      </c>
      <c r="S951" s="30" t="str">
        <f ca="1">IFERROR(__xludf.DUMMYFUNCTION("""COMPUTED_VALUE"""),"Provincial")</f>
        <v>Provincial</v>
      </c>
      <c r="T951" s="30" t="str">
        <f ca="1">IFERROR(__xludf.DUMMYFUNCTION("""COMPUTED_VALUE"""),"-")</f>
        <v>-</v>
      </c>
    </row>
    <row r="952" spans="1:20" ht="15.75" customHeight="1" x14ac:dyDescent="0.25">
      <c r="A952" s="30" t="str">
        <f ca="1">IFERROR(__xludf.DUMMYFUNCTION("""COMPUTED_VALUE"""),"50221402126142")</f>
        <v>50221402126142</v>
      </c>
      <c r="B952" s="30" t="str">
        <f ca="1">IFERROR(__xludf.DUMMYFUNCTION("""COMPUTED_VALUE"""),"CENTRO DE SALUD BARRIO GUIRALDES")</f>
        <v>CENTRO DE SALUD BARRIO GUIRALDES</v>
      </c>
      <c r="C952" s="30" t="str">
        <f ca="1">IFERROR(__xludf.DUMMYFUNCTION("""COMPUTED_VALUE"""),"Chaco")</f>
        <v>Chaco</v>
      </c>
      <c r="D952" s="30" t="str">
        <f ca="1">IFERROR(__xludf.DUMMYFUNCTION("""COMPUTED_VALUE"""),"22")</f>
        <v>22</v>
      </c>
      <c r="E952" s="30" t="str">
        <f ca="1">IFERROR(__xludf.DUMMYFUNCTION("""COMPUTED_VALUE"""),"")</f>
        <v/>
      </c>
      <c r="F952" s="29"/>
      <c r="G952" s="29"/>
      <c r="H952" s="30" t="str">
        <f ca="1">IFERROR(__xludf.DUMMYFUNCTION("""COMPUTED_VALUE"""),"activo")</f>
        <v>activo</v>
      </c>
      <c r="I952" s="29"/>
      <c r="J952" s="29"/>
      <c r="K952" s="29"/>
      <c r="L952" s="30" t="str">
        <f ca="1">IFERROR(__xludf.DUMMYFUNCTION("""COMPUTED_VALUE"""),"No")</f>
        <v>No</v>
      </c>
      <c r="M952" s="30" t="str">
        <f ca="1">IFERROR(__xludf.DUMMYFUNCTION("""COMPUTED_VALUE"""),"22140060000")</f>
        <v>22140060000</v>
      </c>
      <c r="N952" s="30" t="str">
        <f ca="1">IFERROR(__xludf.DUMMYFUNCTION("""COMPUTED_VALUE"""),"RESISTENCIA")</f>
        <v>RESISTENCIA</v>
      </c>
      <c r="O952" s="30" t="str">
        <f ca="1">IFERROR(__xludf.DUMMYFUNCTION("""COMPUTED_VALUE"""),"22140")</f>
        <v>22140</v>
      </c>
      <c r="P952" s="30" t="str">
        <f ca="1">IFERROR(__xludf.DUMMYFUNCTION("""COMPUTED_VALUE"""),"SAN FERNANDO")</f>
        <v>SAN FERNANDO</v>
      </c>
      <c r="Q952" s="30" t="str">
        <f ca="1">IFERROR(__xludf.DUMMYFUNCTION("""COMPUTED_VALUE"""),"-27.482417")</f>
        <v>-27.482417</v>
      </c>
      <c r="R952" s="30" t="str">
        <f ca="1">IFERROR(__xludf.DUMMYFUNCTION("""COMPUTED_VALUE"""),"-58.9896684")</f>
        <v>-58.9896684</v>
      </c>
      <c r="S952" s="30" t="str">
        <f ca="1">IFERROR(__xludf.DUMMYFUNCTION("""COMPUTED_VALUE"""),"Provincial")</f>
        <v>Provincial</v>
      </c>
      <c r="T952" s="30" t="str">
        <f ca="1">IFERROR(__xludf.DUMMYFUNCTION("""COMPUTED_VALUE"""),"-")</f>
        <v>-</v>
      </c>
    </row>
    <row r="953" spans="1:20" ht="15.75" customHeight="1" x14ac:dyDescent="0.25">
      <c r="A953" s="30" t="str">
        <f ca="1">IFERROR(__xludf.DUMMYFUNCTION("""COMPUTED_VALUE"""),"50221402126147")</f>
        <v>50221402126147</v>
      </c>
      <c r="B953" s="30" t="str">
        <f ca="1">IFERROR(__xludf.DUMMYFUNCTION("""COMPUTED_VALUE"""),"CENTRO DE SALUD BARRIO LAS MALVINAS  4 DE JUNIO")</f>
        <v>CENTRO DE SALUD BARRIO LAS MALVINAS  4 DE JUNIO</v>
      </c>
      <c r="C953" s="30" t="str">
        <f ca="1">IFERROR(__xludf.DUMMYFUNCTION("""COMPUTED_VALUE"""),"Chaco")</f>
        <v>Chaco</v>
      </c>
      <c r="D953" s="30" t="str">
        <f ca="1">IFERROR(__xludf.DUMMYFUNCTION("""COMPUTED_VALUE"""),"22")</f>
        <v>22</v>
      </c>
      <c r="E953" s="30" t="str">
        <f ca="1">IFERROR(__xludf.DUMMYFUNCTION("""COMPUTED_VALUE"""),"")</f>
        <v/>
      </c>
      <c r="F953" s="29"/>
      <c r="G953" s="29"/>
      <c r="H953" s="30" t="str">
        <f ca="1">IFERROR(__xludf.DUMMYFUNCTION("""COMPUTED_VALUE"""),"activo")</f>
        <v>activo</v>
      </c>
      <c r="I953" s="29"/>
      <c r="J953" s="29"/>
      <c r="K953" s="29"/>
      <c r="L953" s="30" t="str">
        <f ca="1">IFERROR(__xludf.DUMMYFUNCTION("""COMPUTED_VALUE"""),"No")</f>
        <v>No</v>
      </c>
      <c r="M953" s="30" t="str">
        <f ca="1">IFERROR(__xludf.DUMMYFUNCTION("""COMPUTED_VALUE"""),"22140010000")</f>
        <v>22140010000</v>
      </c>
      <c r="N953" s="30" t="str">
        <f ca="1">IFERROR(__xludf.DUMMYFUNCTION("""COMPUTED_VALUE"""),"BARRANQUERAS")</f>
        <v>BARRANQUERAS</v>
      </c>
      <c r="O953" s="30" t="str">
        <f ca="1">IFERROR(__xludf.DUMMYFUNCTION("""COMPUTED_VALUE"""),"22140")</f>
        <v>22140</v>
      </c>
      <c r="P953" s="30" t="str">
        <f ca="1">IFERROR(__xludf.DUMMYFUNCTION("""COMPUTED_VALUE"""),"SAN FERNANDO")</f>
        <v>SAN FERNANDO</v>
      </c>
      <c r="Q953" s="30" t="str">
        <f ca="1">IFERROR(__xludf.DUMMYFUNCTION("""COMPUTED_VALUE"""),"-27.4921703")</f>
        <v>-27.4921703</v>
      </c>
      <c r="R953" s="30" t="str">
        <f ca="1">IFERROR(__xludf.DUMMYFUNCTION("""COMPUTED_VALUE"""),"-58.9536705")</f>
        <v>-58.9536705</v>
      </c>
      <c r="S953" s="30" t="str">
        <f ca="1">IFERROR(__xludf.DUMMYFUNCTION("""COMPUTED_VALUE"""),"Provincial")</f>
        <v>Provincial</v>
      </c>
      <c r="T953" s="30" t="str">
        <f ca="1">IFERROR(__xludf.DUMMYFUNCTION("""COMPUTED_VALUE"""),"-")</f>
        <v>-</v>
      </c>
    </row>
    <row r="954" spans="1:20" ht="15.75" customHeight="1" x14ac:dyDescent="0.25">
      <c r="A954" s="30" t="str">
        <f ca="1">IFERROR(__xludf.DUMMYFUNCTION("""COMPUTED_VALUE"""),"50221402126159")</f>
        <v>50221402126159</v>
      </c>
      <c r="B954" s="30" t="str">
        <f ca="1">IFERROR(__xludf.DUMMYFUNCTION("""COMPUTED_VALUE"""),"CENTRO DE SALUD BARRIO SANTA CATALINA")</f>
        <v>CENTRO DE SALUD BARRIO SANTA CATALINA</v>
      </c>
      <c r="C954" s="30" t="str">
        <f ca="1">IFERROR(__xludf.DUMMYFUNCTION("""COMPUTED_VALUE"""),"Chaco")</f>
        <v>Chaco</v>
      </c>
      <c r="D954" s="30" t="str">
        <f ca="1">IFERROR(__xludf.DUMMYFUNCTION("""COMPUTED_VALUE"""),"22")</f>
        <v>22</v>
      </c>
      <c r="E954" s="30" t="str">
        <f ca="1">IFERROR(__xludf.DUMMYFUNCTION("""COMPUTED_VALUE"""),"")</f>
        <v/>
      </c>
      <c r="F954" s="29"/>
      <c r="G954" s="29"/>
      <c r="H954" s="30" t="str">
        <f ca="1">IFERROR(__xludf.DUMMYFUNCTION("""COMPUTED_VALUE"""),"activo")</f>
        <v>activo</v>
      </c>
      <c r="I954" s="29"/>
      <c r="J954" s="29"/>
      <c r="K954" s="29"/>
      <c r="L954" s="30" t="str">
        <f ca="1">IFERROR(__xludf.DUMMYFUNCTION("""COMPUTED_VALUE"""),"No")</f>
        <v>No</v>
      </c>
      <c r="M954" s="30" t="str">
        <f ca="1">IFERROR(__xludf.DUMMYFUNCTION("""COMPUTED_VALUE"""),"22140060000")</f>
        <v>22140060000</v>
      </c>
      <c r="N954" s="30" t="str">
        <f ca="1">IFERROR(__xludf.DUMMYFUNCTION("""COMPUTED_VALUE"""),"RESISTENCIA")</f>
        <v>RESISTENCIA</v>
      </c>
      <c r="O954" s="30" t="str">
        <f ca="1">IFERROR(__xludf.DUMMYFUNCTION("""COMPUTED_VALUE"""),"22140")</f>
        <v>22140</v>
      </c>
      <c r="P954" s="30" t="str">
        <f ca="1">IFERROR(__xludf.DUMMYFUNCTION("""COMPUTED_VALUE"""),"SAN FERNANDO")</f>
        <v>SAN FERNANDO</v>
      </c>
      <c r="Q954" s="30" t="str">
        <f ca="1">IFERROR(__xludf.DUMMYFUNCTION("""COMPUTED_VALUE"""),"-27.43933585")</f>
        <v>-27.43933585</v>
      </c>
      <c r="R954" s="30" t="str">
        <f ca="1">IFERROR(__xludf.DUMMYFUNCTION("""COMPUTED_VALUE"""),"-58.97619724")</f>
        <v>-58.97619724</v>
      </c>
      <c r="S954" s="30" t="str">
        <f ca="1">IFERROR(__xludf.DUMMYFUNCTION("""COMPUTED_VALUE"""),"Provincial")</f>
        <v>Provincial</v>
      </c>
      <c r="T954" s="30" t="str">
        <f ca="1">IFERROR(__xludf.DUMMYFUNCTION("""COMPUTED_VALUE"""),"-")</f>
        <v>-</v>
      </c>
    </row>
    <row r="955" spans="1:20" ht="15.75" customHeight="1" x14ac:dyDescent="0.25">
      <c r="A955" s="30" t="str">
        <f ca="1">IFERROR(__xludf.DUMMYFUNCTION("""COMPUTED_VALUE"""),"50221402126163")</f>
        <v>50221402126163</v>
      </c>
      <c r="B955" s="30" t="str">
        <f ca="1">IFERROR(__xludf.DUMMYFUNCTION("""COMPUTED_VALUE"""),"CENTRO DE SALUD BARRIO TOBA")</f>
        <v>CENTRO DE SALUD BARRIO TOBA</v>
      </c>
      <c r="C955" s="30" t="str">
        <f ca="1">IFERROR(__xludf.DUMMYFUNCTION("""COMPUTED_VALUE"""),"Chaco")</f>
        <v>Chaco</v>
      </c>
      <c r="D955" s="30" t="str">
        <f ca="1">IFERROR(__xludf.DUMMYFUNCTION("""COMPUTED_VALUE"""),"22")</f>
        <v>22</v>
      </c>
      <c r="E955" s="30" t="str">
        <f ca="1">IFERROR(__xludf.DUMMYFUNCTION("""COMPUTED_VALUE"""),"si")</f>
        <v>si</v>
      </c>
      <c r="F955" s="29"/>
      <c r="G955" s="29"/>
      <c r="H955" s="30" t="str">
        <f ca="1">IFERROR(__xludf.DUMMYFUNCTION("""COMPUTED_VALUE"""),"activo")</f>
        <v>activo</v>
      </c>
      <c r="I955" s="29"/>
      <c r="J955" s="29"/>
      <c r="K955" s="29"/>
      <c r="L955" s="30" t="str">
        <f ca="1">IFERROR(__xludf.DUMMYFUNCTION("""COMPUTED_VALUE"""),"No")</f>
        <v>No</v>
      </c>
      <c r="M955" s="30" t="str">
        <f ca="1">IFERROR(__xludf.DUMMYFUNCTION("""COMPUTED_VALUE"""),"22140060000")</f>
        <v>22140060000</v>
      </c>
      <c r="N955" s="30" t="str">
        <f ca="1">IFERROR(__xludf.DUMMYFUNCTION("""COMPUTED_VALUE"""),"RESISTENCIA")</f>
        <v>RESISTENCIA</v>
      </c>
      <c r="O955" s="30" t="str">
        <f ca="1">IFERROR(__xludf.DUMMYFUNCTION("""COMPUTED_VALUE"""),"22140")</f>
        <v>22140</v>
      </c>
      <c r="P955" s="30" t="str">
        <f ca="1">IFERROR(__xludf.DUMMYFUNCTION("""COMPUTED_VALUE"""),"SAN FERNANDO")</f>
        <v>SAN FERNANDO</v>
      </c>
      <c r="Q955" s="30" t="str">
        <f ca="1">IFERROR(__xludf.DUMMYFUNCTION("""COMPUTED_VALUE"""),"-27.42611876")</f>
        <v>-27.42611876</v>
      </c>
      <c r="R955" s="30" t="str">
        <f ca="1">IFERROR(__xludf.DUMMYFUNCTION("""COMPUTED_VALUE"""),"-59.00692463")</f>
        <v>-59.00692463</v>
      </c>
      <c r="S955" s="30" t="str">
        <f ca="1">IFERROR(__xludf.DUMMYFUNCTION("""COMPUTED_VALUE"""),"Provincial")</f>
        <v>Provincial</v>
      </c>
      <c r="T955" s="30" t="str">
        <f ca="1">IFERROR(__xludf.DUMMYFUNCTION("""COMPUTED_VALUE"""),"-")</f>
        <v>-</v>
      </c>
    </row>
    <row r="956" spans="1:20" ht="15.75" customHeight="1" x14ac:dyDescent="0.25">
      <c r="A956" s="30" t="str">
        <f ca="1">IFERROR(__xludf.DUMMYFUNCTION("""COMPUTED_VALUE"""),"50221402126166")</f>
        <v>50221402126166</v>
      </c>
      <c r="B956" s="30" t="str">
        <f ca="1">IFERROR(__xludf.DUMMYFUNCTION("""COMPUTED_VALUE"""),"CENTRO DE SALUD BARRIO 500 VIV DR. RAMON CARRILLO")</f>
        <v>CENTRO DE SALUD BARRIO 500 VIV DR. RAMON CARRILLO</v>
      </c>
      <c r="C956" s="30" t="str">
        <f ca="1">IFERROR(__xludf.DUMMYFUNCTION("""COMPUTED_VALUE"""),"Chaco")</f>
        <v>Chaco</v>
      </c>
      <c r="D956" s="30" t="str">
        <f ca="1">IFERROR(__xludf.DUMMYFUNCTION("""COMPUTED_VALUE"""),"22")</f>
        <v>22</v>
      </c>
      <c r="E956" s="30" t="str">
        <f ca="1">IFERROR(__xludf.DUMMYFUNCTION("""COMPUTED_VALUE"""),"")</f>
        <v/>
      </c>
      <c r="F956" s="29"/>
      <c r="G956" s="29"/>
      <c r="H956" s="30" t="str">
        <f ca="1">IFERROR(__xludf.DUMMYFUNCTION("""COMPUTED_VALUE"""),"activo")</f>
        <v>activo</v>
      </c>
      <c r="I956" s="29"/>
      <c r="J956" s="29"/>
      <c r="K956" s="29"/>
      <c r="L956" s="30" t="str">
        <f ca="1">IFERROR(__xludf.DUMMYFUNCTION("""COMPUTED_VALUE"""),"No")</f>
        <v>No</v>
      </c>
      <c r="M956" s="30" t="str">
        <f ca="1">IFERROR(__xludf.DUMMYFUNCTION("""COMPUTED_VALUE"""),"22140010000")</f>
        <v>22140010000</v>
      </c>
      <c r="N956" s="30" t="str">
        <f ca="1">IFERROR(__xludf.DUMMYFUNCTION("""COMPUTED_VALUE"""),"BARRANQUERAS")</f>
        <v>BARRANQUERAS</v>
      </c>
      <c r="O956" s="30" t="str">
        <f ca="1">IFERROR(__xludf.DUMMYFUNCTION("""COMPUTED_VALUE"""),"22140")</f>
        <v>22140</v>
      </c>
      <c r="P956" s="30" t="str">
        <f ca="1">IFERROR(__xludf.DUMMYFUNCTION("""COMPUTED_VALUE"""),"SAN FERNANDO")</f>
        <v>SAN FERNANDO</v>
      </c>
      <c r="Q956" s="30" t="str">
        <f ca="1">IFERROR(__xludf.DUMMYFUNCTION("""COMPUTED_VALUE"""),"-27.49357792")</f>
        <v>-27.49357792</v>
      </c>
      <c r="R956" s="30" t="str">
        <f ca="1">IFERROR(__xludf.DUMMYFUNCTION("""COMPUTED_VALUE"""),"-58.95152092")</f>
        <v>-58.95152092</v>
      </c>
      <c r="S956" s="30" t="str">
        <f ca="1">IFERROR(__xludf.DUMMYFUNCTION("""COMPUTED_VALUE"""),"Provincial")</f>
        <v>Provincial</v>
      </c>
      <c r="T956" s="30" t="str">
        <f ca="1">IFERROR(__xludf.DUMMYFUNCTION("""COMPUTED_VALUE"""),"-")</f>
        <v>-</v>
      </c>
    </row>
    <row r="957" spans="1:20" ht="15.75" customHeight="1" x14ac:dyDescent="0.25">
      <c r="A957" s="30" t="str">
        <f ca="1">IFERROR(__xludf.DUMMYFUNCTION("""COMPUTED_VALUE"""),"50221402126172")</f>
        <v>50221402126172</v>
      </c>
      <c r="B957" s="30" t="str">
        <f ca="1">IFERROR(__xludf.DUMMYFUNCTION("""COMPUTED_VALUE"""),"CENTRO DE SALUD CACIQUE PELAYO")</f>
        <v>CENTRO DE SALUD CACIQUE PELAYO</v>
      </c>
      <c r="C957" s="30" t="str">
        <f ca="1">IFERROR(__xludf.DUMMYFUNCTION("""COMPUTED_VALUE"""),"Chaco")</f>
        <v>Chaco</v>
      </c>
      <c r="D957" s="30" t="str">
        <f ca="1">IFERROR(__xludf.DUMMYFUNCTION("""COMPUTED_VALUE"""),"22")</f>
        <v>22</v>
      </c>
      <c r="E957" s="30" t="str">
        <f ca="1">IFERROR(__xludf.DUMMYFUNCTION("""COMPUTED_VALUE"""),"si")</f>
        <v>si</v>
      </c>
      <c r="F957" s="29"/>
      <c r="G957" s="29"/>
      <c r="H957" s="30" t="str">
        <f ca="1">IFERROR(__xludf.DUMMYFUNCTION("""COMPUTED_VALUE"""),"activo")</f>
        <v>activo</v>
      </c>
      <c r="I957" s="29"/>
      <c r="J957" s="29"/>
      <c r="K957" s="29"/>
      <c r="L957" s="30" t="str">
        <f ca="1">IFERROR(__xludf.DUMMYFUNCTION("""COMPUTED_VALUE"""),"No")</f>
        <v>No</v>
      </c>
      <c r="M957" s="30" t="str">
        <f ca="1">IFERROR(__xludf.DUMMYFUNCTION("""COMPUTED_VALUE"""),"22140040000")</f>
        <v>22140040000</v>
      </c>
      <c r="N957" s="30" t="str">
        <f ca="1">IFERROR(__xludf.DUMMYFUNCTION("""COMPUTED_VALUE"""),"FONTANA")</f>
        <v>FONTANA</v>
      </c>
      <c r="O957" s="30" t="str">
        <f ca="1">IFERROR(__xludf.DUMMYFUNCTION("""COMPUTED_VALUE"""),"22140")</f>
        <v>22140</v>
      </c>
      <c r="P957" s="30" t="str">
        <f ca="1">IFERROR(__xludf.DUMMYFUNCTION("""COMPUTED_VALUE"""),"SAN FERNANDO")</f>
        <v>SAN FERNANDO</v>
      </c>
      <c r="Q957" s="30" t="str">
        <f ca="1">IFERROR(__xludf.DUMMYFUNCTION("""COMPUTED_VALUE"""),"-27.3767672")</f>
        <v>-27.3767672</v>
      </c>
      <c r="R957" s="30" t="str">
        <f ca="1">IFERROR(__xludf.DUMMYFUNCTION("""COMPUTED_VALUE"""),"-59.0874041")</f>
        <v>-59.0874041</v>
      </c>
      <c r="S957" s="30" t="str">
        <f ca="1">IFERROR(__xludf.DUMMYFUNCTION("""COMPUTED_VALUE"""),"Provincial")</f>
        <v>Provincial</v>
      </c>
      <c r="T957" s="30" t="str">
        <f ca="1">IFERROR(__xludf.DUMMYFUNCTION("""COMPUTED_VALUE"""),"-")</f>
        <v>-</v>
      </c>
    </row>
    <row r="958" spans="1:20" ht="15.75" customHeight="1" x14ac:dyDescent="0.25">
      <c r="A958" s="30" t="str">
        <f ca="1">IFERROR(__xludf.DUMMYFUNCTION("""COMPUTED_VALUE"""),"50221402126208")</f>
        <v>50221402126208</v>
      </c>
      <c r="B958" s="30" t="str">
        <f ca="1">IFERROR(__xludf.DUMMYFUNCTION("""COMPUTED_VALUE"""),"CENTRO DE SALUD DR. LAUREANO R. MARADONA (LOTE 202)")</f>
        <v>CENTRO DE SALUD DR. LAUREANO R. MARADONA (LOTE 202)</v>
      </c>
      <c r="C958" s="30" t="str">
        <f ca="1">IFERROR(__xludf.DUMMYFUNCTION("""COMPUTED_VALUE"""),"Chaco")</f>
        <v>Chaco</v>
      </c>
      <c r="D958" s="30" t="str">
        <f ca="1">IFERROR(__xludf.DUMMYFUNCTION("""COMPUTED_VALUE"""),"22")</f>
        <v>22</v>
      </c>
      <c r="E958" s="30" t="str">
        <f ca="1">IFERROR(__xludf.DUMMYFUNCTION("""COMPUTED_VALUE"""),"")</f>
        <v/>
      </c>
      <c r="F958" s="29"/>
      <c r="G958" s="29"/>
      <c r="H958" s="30" t="str">
        <f ca="1">IFERROR(__xludf.DUMMYFUNCTION("""COMPUTED_VALUE"""),"activo")</f>
        <v>activo</v>
      </c>
      <c r="I958" s="29"/>
      <c r="J958" s="29"/>
      <c r="K958" s="29"/>
      <c r="L958" s="30" t="str">
        <f ca="1">IFERROR(__xludf.DUMMYFUNCTION("""COMPUTED_VALUE"""),"No")</f>
        <v>No</v>
      </c>
      <c r="M958" s="30" t="str">
        <f ca="1">IFERROR(__xludf.DUMMYFUNCTION("""COMPUTED_VALUE"""),"22140060000")</f>
        <v>22140060000</v>
      </c>
      <c r="N958" s="30" t="str">
        <f ca="1">IFERROR(__xludf.DUMMYFUNCTION("""COMPUTED_VALUE"""),"RESISTENCIA")</f>
        <v>RESISTENCIA</v>
      </c>
      <c r="O958" s="30" t="str">
        <f ca="1">IFERROR(__xludf.DUMMYFUNCTION("""COMPUTED_VALUE"""),"22140")</f>
        <v>22140</v>
      </c>
      <c r="P958" s="30" t="str">
        <f ca="1">IFERROR(__xludf.DUMMYFUNCTION("""COMPUTED_VALUE"""),"SAN FERNANDO")</f>
        <v>SAN FERNANDO</v>
      </c>
      <c r="Q958" s="30" t="str">
        <f ca="1">IFERROR(__xludf.DUMMYFUNCTION("""COMPUTED_VALUE"""),"-27.45344631")</f>
        <v>-27.45344631</v>
      </c>
      <c r="R958" s="30" t="str">
        <f ca="1">IFERROR(__xludf.DUMMYFUNCTION("""COMPUTED_VALUE"""),"-58.96036148")</f>
        <v>-58.96036148</v>
      </c>
      <c r="S958" s="30" t="str">
        <f ca="1">IFERROR(__xludf.DUMMYFUNCTION("""COMPUTED_VALUE"""),"Provincial")</f>
        <v>Provincial</v>
      </c>
      <c r="T958" s="30" t="str">
        <f ca="1">IFERROR(__xludf.DUMMYFUNCTION("""COMPUTED_VALUE"""),"-")</f>
        <v>-</v>
      </c>
    </row>
    <row r="959" spans="1:20" ht="15.75" customHeight="1" x14ac:dyDescent="0.25">
      <c r="A959" s="30" t="str">
        <f ca="1">IFERROR(__xludf.DUMMYFUNCTION("""COMPUTED_VALUE"""),"50221402126253")</f>
        <v>50221402126253</v>
      </c>
      <c r="B959" s="30" t="str">
        <f ca="1">IFERROR(__xludf.DUMMYFUNCTION("""COMPUTED_VALUE"""),"CENTRO DE SALUD ENRIQUE FINOCHIETTO")</f>
        <v>CENTRO DE SALUD ENRIQUE FINOCHIETTO</v>
      </c>
      <c r="C959" s="30" t="str">
        <f ca="1">IFERROR(__xludf.DUMMYFUNCTION("""COMPUTED_VALUE"""),"Chaco")</f>
        <v>Chaco</v>
      </c>
      <c r="D959" s="30" t="str">
        <f ca="1">IFERROR(__xludf.DUMMYFUNCTION("""COMPUTED_VALUE"""),"22")</f>
        <v>22</v>
      </c>
      <c r="E959" s="30" t="str">
        <f ca="1">IFERROR(__xludf.DUMMYFUNCTION("""COMPUTED_VALUE"""),"si")</f>
        <v>si</v>
      </c>
      <c r="F959" s="29"/>
      <c r="G959" s="29"/>
      <c r="H959" s="30" t="str">
        <f ca="1">IFERROR(__xludf.DUMMYFUNCTION("""COMPUTED_VALUE"""),"activo")</f>
        <v>activo</v>
      </c>
      <c r="I959" s="29"/>
      <c r="J959" s="29"/>
      <c r="K959" s="29"/>
      <c r="L959" s="30" t="str">
        <f ca="1">IFERROR(__xludf.DUMMYFUNCTION("""COMPUTED_VALUE"""),"No")</f>
        <v>No</v>
      </c>
      <c r="M959" s="30" t="str">
        <f ca="1">IFERROR(__xludf.DUMMYFUNCTION("""COMPUTED_VALUE"""),"22140050000")</f>
        <v>22140050000</v>
      </c>
      <c r="N959" s="30" t="str">
        <f ca="1">IFERROR(__xludf.DUMMYFUNCTION("""COMPUTED_VALUE"""),"PUERTO VILELAS")</f>
        <v>PUERTO VILELAS</v>
      </c>
      <c r="O959" s="30" t="str">
        <f ca="1">IFERROR(__xludf.DUMMYFUNCTION("""COMPUTED_VALUE"""),"22140")</f>
        <v>22140</v>
      </c>
      <c r="P959" s="30" t="str">
        <f ca="1">IFERROR(__xludf.DUMMYFUNCTION("""COMPUTED_VALUE"""),"SAN FERNANDO")</f>
        <v>SAN FERNANDO</v>
      </c>
      <c r="Q959" s="30" t="str">
        <f ca="1">IFERROR(__xludf.DUMMYFUNCTION("""COMPUTED_VALUE"""),"-27.51329568")</f>
        <v>-27.51329568</v>
      </c>
      <c r="R959" s="30" t="str">
        <f ca="1">IFERROR(__xludf.DUMMYFUNCTION("""COMPUTED_VALUE"""),"-58.93907547")</f>
        <v>-58.93907547</v>
      </c>
      <c r="S959" s="30" t="str">
        <f ca="1">IFERROR(__xludf.DUMMYFUNCTION("""COMPUTED_VALUE"""),"Provincial")</f>
        <v>Provincial</v>
      </c>
      <c r="T959" s="30" t="str">
        <f ca="1">IFERROR(__xludf.DUMMYFUNCTION("""COMPUTED_VALUE"""),"-")</f>
        <v>-</v>
      </c>
    </row>
    <row r="960" spans="1:20" ht="15.75" customHeight="1" x14ac:dyDescent="0.25">
      <c r="A960" s="30" t="str">
        <f ca="1">IFERROR(__xludf.DUMMYFUNCTION("""COMPUTED_VALUE"""),"50221402126265")</f>
        <v>50221402126265</v>
      </c>
      <c r="B960" s="30" t="str">
        <f ca="1">IFERROR(__xludf.DUMMYFUNCTION("""COMPUTED_VALUE"""),"CENTRO DE SALUD GENERAL OBLIGADO")</f>
        <v>CENTRO DE SALUD GENERAL OBLIGADO</v>
      </c>
      <c r="C960" s="30" t="str">
        <f ca="1">IFERROR(__xludf.DUMMYFUNCTION("""COMPUTED_VALUE"""),"Chaco")</f>
        <v>Chaco</v>
      </c>
      <c r="D960" s="30" t="str">
        <f ca="1">IFERROR(__xludf.DUMMYFUNCTION("""COMPUTED_VALUE"""),"22")</f>
        <v>22</v>
      </c>
      <c r="E960" s="30" t="str">
        <f ca="1">IFERROR(__xludf.DUMMYFUNCTION("""COMPUTED_VALUE"""),"")</f>
        <v/>
      </c>
      <c r="F960" s="29"/>
      <c r="G960" s="29"/>
      <c r="H960" s="30" t="str">
        <f ca="1">IFERROR(__xludf.DUMMYFUNCTION("""COMPUTED_VALUE"""),"activo")</f>
        <v>activo</v>
      </c>
      <c r="I960" s="29"/>
      <c r="J960" s="29"/>
      <c r="K960" s="29"/>
      <c r="L960" s="30" t="str">
        <f ca="1">IFERROR(__xludf.DUMMYFUNCTION("""COMPUTED_VALUE"""),"No")</f>
        <v>No</v>
      </c>
      <c r="M960" s="30" t="str">
        <f ca="1">IFERROR(__xludf.DUMMYFUNCTION("""COMPUTED_VALUE"""),"22140060000")</f>
        <v>22140060000</v>
      </c>
      <c r="N960" s="30" t="str">
        <f ca="1">IFERROR(__xludf.DUMMYFUNCTION("""COMPUTED_VALUE"""),"RESISTENCIA")</f>
        <v>RESISTENCIA</v>
      </c>
      <c r="O960" s="30" t="str">
        <f ca="1">IFERROR(__xludf.DUMMYFUNCTION("""COMPUTED_VALUE"""),"22140")</f>
        <v>22140</v>
      </c>
      <c r="P960" s="30" t="str">
        <f ca="1">IFERROR(__xludf.DUMMYFUNCTION("""COMPUTED_VALUE"""),"SAN FERNANDO")</f>
        <v>SAN FERNANDO</v>
      </c>
      <c r="Q960" s="30" t="str">
        <f ca="1">IFERROR(__xludf.DUMMYFUNCTION("""COMPUTED_VALUE"""),"-27.47557")</f>
        <v>-27.47557</v>
      </c>
      <c r="R960" s="30" t="str">
        <f ca="1">IFERROR(__xludf.DUMMYFUNCTION("""COMPUTED_VALUE"""),"-58.97169113")</f>
        <v>-58.97169113</v>
      </c>
      <c r="S960" s="30" t="str">
        <f ca="1">IFERROR(__xludf.DUMMYFUNCTION("""COMPUTED_VALUE"""),"Provincial")</f>
        <v>Provincial</v>
      </c>
      <c r="T960" s="30" t="str">
        <f ca="1">IFERROR(__xludf.DUMMYFUNCTION("""COMPUTED_VALUE"""),"-")</f>
        <v>-</v>
      </c>
    </row>
    <row r="961" spans="1:20" ht="15.75" customHeight="1" x14ac:dyDescent="0.25">
      <c r="A961" s="30" t="str">
        <f ca="1">IFERROR(__xludf.DUMMYFUNCTION("""COMPUTED_VALUE"""),"50221402126272")</f>
        <v>50221402126272</v>
      </c>
      <c r="B961" s="30" t="str">
        <f ca="1">IFERROR(__xludf.DUMMYFUNCTION("""COMPUTED_VALUE"""),"CENTRO DE SALUD INMACULADA CONCEPCION - VILLA TTE. SAAVEDRA")</f>
        <v>CENTRO DE SALUD INMACULADA CONCEPCION - VILLA TTE. SAAVEDRA</v>
      </c>
      <c r="C961" s="30" t="str">
        <f ca="1">IFERROR(__xludf.DUMMYFUNCTION("""COMPUTED_VALUE"""),"Chaco")</f>
        <v>Chaco</v>
      </c>
      <c r="D961" s="30" t="str">
        <f ca="1">IFERROR(__xludf.DUMMYFUNCTION("""COMPUTED_VALUE"""),"22")</f>
        <v>22</v>
      </c>
      <c r="E961" s="30" t="str">
        <f ca="1">IFERROR(__xludf.DUMMYFUNCTION("""COMPUTED_VALUE"""),"")</f>
        <v/>
      </c>
      <c r="F961" s="29"/>
      <c r="G961" s="29"/>
      <c r="H961" s="30" t="str">
        <f ca="1">IFERROR(__xludf.DUMMYFUNCTION("""COMPUTED_VALUE"""),"activo")</f>
        <v>activo</v>
      </c>
      <c r="I961" s="29"/>
      <c r="J961" s="29"/>
      <c r="K961" s="29"/>
      <c r="L961" s="30" t="str">
        <f ca="1">IFERROR(__xludf.DUMMYFUNCTION("""COMPUTED_VALUE"""),"No")</f>
        <v>No</v>
      </c>
      <c r="M961" s="30" t="str">
        <f ca="1">IFERROR(__xludf.DUMMYFUNCTION("""COMPUTED_VALUE"""),"22140060000")</f>
        <v>22140060000</v>
      </c>
      <c r="N961" s="30" t="str">
        <f ca="1">IFERROR(__xludf.DUMMYFUNCTION("""COMPUTED_VALUE"""),"RESISTENCIA")</f>
        <v>RESISTENCIA</v>
      </c>
      <c r="O961" s="30" t="str">
        <f ca="1">IFERROR(__xludf.DUMMYFUNCTION("""COMPUTED_VALUE"""),"22140")</f>
        <v>22140</v>
      </c>
      <c r="P961" s="30" t="str">
        <f ca="1">IFERROR(__xludf.DUMMYFUNCTION("""COMPUTED_VALUE"""),"SAN FERNANDO")</f>
        <v>SAN FERNANDO</v>
      </c>
      <c r="Q961" s="30" t="str">
        <f ca="1">IFERROR(__xludf.DUMMYFUNCTION("""COMPUTED_VALUE"""),"-27.47753083")</f>
        <v>-27.47753083</v>
      </c>
      <c r="R961" s="30" t="str">
        <f ca="1">IFERROR(__xludf.DUMMYFUNCTION("""COMPUTED_VALUE"""),"-58.96686316")</f>
        <v>-58.96686316</v>
      </c>
      <c r="S961" s="30" t="str">
        <f ca="1">IFERROR(__xludf.DUMMYFUNCTION("""COMPUTED_VALUE"""),"Provincial")</f>
        <v>Provincial</v>
      </c>
      <c r="T961" s="30" t="str">
        <f ca="1">IFERROR(__xludf.DUMMYFUNCTION("""COMPUTED_VALUE"""),"-")</f>
        <v>-</v>
      </c>
    </row>
    <row r="962" spans="1:20" ht="15.75" customHeight="1" x14ac:dyDescent="0.25">
      <c r="A962" s="30" t="str">
        <f ca="1">IFERROR(__xludf.DUMMYFUNCTION("""COMPUTED_VALUE"""),"50221402126276")</f>
        <v>50221402126276</v>
      </c>
      <c r="B962" s="30" t="str">
        <f ca="1">IFERROR(__xludf.DUMMYFUNCTION("""COMPUTED_VALUE"""),"CENTRO DE SALUD JOSE F CUSOLITO LA TOMA")</f>
        <v>CENTRO DE SALUD JOSE F CUSOLITO LA TOMA</v>
      </c>
      <c r="C962" s="30" t="str">
        <f ca="1">IFERROR(__xludf.DUMMYFUNCTION("""COMPUTED_VALUE"""),"Chaco")</f>
        <v>Chaco</v>
      </c>
      <c r="D962" s="30" t="str">
        <f ca="1">IFERROR(__xludf.DUMMYFUNCTION("""COMPUTED_VALUE"""),"22")</f>
        <v>22</v>
      </c>
      <c r="E962" s="30" t="str">
        <f ca="1">IFERROR(__xludf.DUMMYFUNCTION("""COMPUTED_VALUE"""),"")</f>
        <v/>
      </c>
      <c r="F962" s="29"/>
      <c r="G962" s="29"/>
      <c r="H962" s="30" t="str">
        <f ca="1">IFERROR(__xludf.DUMMYFUNCTION("""COMPUTED_VALUE"""),"activo")</f>
        <v>activo</v>
      </c>
      <c r="I962" s="29"/>
      <c r="J962" s="29"/>
      <c r="K962" s="29"/>
      <c r="L962" s="30" t="str">
        <f ca="1">IFERROR(__xludf.DUMMYFUNCTION("""COMPUTED_VALUE"""),"No")</f>
        <v>No</v>
      </c>
      <c r="M962" s="30" t="str">
        <f ca="1">IFERROR(__xludf.DUMMYFUNCTION("""COMPUTED_VALUE"""),"22140010000")</f>
        <v>22140010000</v>
      </c>
      <c r="N962" s="30" t="str">
        <f ca="1">IFERROR(__xludf.DUMMYFUNCTION("""COMPUTED_VALUE"""),"BARRANQUERAS")</f>
        <v>BARRANQUERAS</v>
      </c>
      <c r="O962" s="30" t="str">
        <f ca="1">IFERROR(__xludf.DUMMYFUNCTION("""COMPUTED_VALUE"""),"22140")</f>
        <v>22140</v>
      </c>
      <c r="P962" s="30" t="str">
        <f ca="1">IFERROR(__xludf.DUMMYFUNCTION("""COMPUTED_VALUE"""),"SAN FERNANDO")</f>
        <v>SAN FERNANDO</v>
      </c>
      <c r="Q962" s="30" t="str">
        <f ca="1">IFERROR(__xludf.DUMMYFUNCTION("""COMPUTED_VALUE"""),"-27.47560807")</f>
        <v>-27.47560807</v>
      </c>
      <c r="R962" s="30" t="str">
        <f ca="1">IFERROR(__xludf.DUMMYFUNCTION("""COMPUTED_VALUE"""),"-58.9153862")</f>
        <v>-58.9153862</v>
      </c>
      <c r="S962" s="30" t="str">
        <f ca="1">IFERROR(__xludf.DUMMYFUNCTION("""COMPUTED_VALUE"""),"Provincial")</f>
        <v>Provincial</v>
      </c>
      <c r="T962" s="30" t="str">
        <f ca="1">IFERROR(__xludf.DUMMYFUNCTION("""COMPUTED_VALUE"""),"-")</f>
        <v>-</v>
      </c>
    </row>
    <row r="963" spans="1:20" ht="15.75" customHeight="1" x14ac:dyDescent="0.25">
      <c r="A963" s="30" t="str">
        <f ca="1">IFERROR(__xludf.DUMMYFUNCTION("""COMPUTED_VALUE"""),"50221402126432")</f>
        <v>50221402126432</v>
      </c>
      <c r="B963" s="30" t="str">
        <f ca="1">IFERROR(__xludf.DUMMYFUNCTION("""COMPUTED_VALUE"""),"CENTRO DE SALUD RIO ARAZA PUERTO VICENTINI")</f>
        <v>CENTRO DE SALUD RIO ARAZA PUERTO VICENTINI</v>
      </c>
      <c r="C963" s="30" t="str">
        <f ca="1">IFERROR(__xludf.DUMMYFUNCTION("""COMPUTED_VALUE"""),"Chaco")</f>
        <v>Chaco</v>
      </c>
      <c r="D963" s="30" t="str">
        <f ca="1">IFERROR(__xludf.DUMMYFUNCTION("""COMPUTED_VALUE"""),"22")</f>
        <v>22</v>
      </c>
      <c r="E963" s="30" t="str">
        <f ca="1">IFERROR(__xludf.DUMMYFUNCTION("""COMPUTED_VALUE"""),"")</f>
        <v/>
      </c>
      <c r="F963" s="29"/>
      <c r="G963" s="29"/>
      <c r="H963" s="30" t="str">
        <f ca="1">IFERROR(__xludf.DUMMYFUNCTION("""COMPUTED_VALUE"""),"activo")</f>
        <v>activo</v>
      </c>
      <c r="I963" s="29"/>
      <c r="J963" s="29"/>
      <c r="K963" s="29"/>
      <c r="L963" s="30" t="str">
        <f ca="1">IFERROR(__xludf.DUMMYFUNCTION("""COMPUTED_VALUE"""),"No")</f>
        <v>No</v>
      </c>
      <c r="M963" s="30" t="str">
        <f ca="1">IFERROR(__xludf.DUMMYFUNCTION("""COMPUTED_VALUE"""),"22140040000")</f>
        <v>22140040000</v>
      </c>
      <c r="N963" s="30" t="str">
        <f ca="1">IFERROR(__xludf.DUMMYFUNCTION("""COMPUTED_VALUE"""),"FONTANA")</f>
        <v>FONTANA</v>
      </c>
      <c r="O963" s="30" t="str">
        <f ca="1">IFERROR(__xludf.DUMMYFUNCTION("""COMPUTED_VALUE"""),"22140")</f>
        <v>22140</v>
      </c>
      <c r="P963" s="30" t="str">
        <f ca="1">IFERROR(__xludf.DUMMYFUNCTION("""COMPUTED_VALUE"""),"SAN FERNANDO")</f>
        <v>SAN FERNANDO</v>
      </c>
      <c r="Q963" s="30" t="str">
        <f ca="1">IFERROR(__xludf.DUMMYFUNCTION("""COMPUTED_VALUE"""),"-27.4245794")</f>
        <v>-27.4245794</v>
      </c>
      <c r="R963" s="30" t="str">
        <f ca="1">IFERROR(__xludf.DUMMYFUNCTION("""COMPUTED_VALUE"""),"-59.0307573")</f>
        <v>-59.0307573</v>
      </c>
      <c r="S963" s="30" t="str">
        <f ca="1">IFERROR(__xludf.DUMMYFUNCTION("""COMPUTED_VALUE"""),"Provincial")</f>
        <v>Provincial</v>
      </c>
      <c r="T963" s="30" t="str">
        <f ca="1">IFERROR(__xludf.DUMMYFUNCTION("""COMPUTED_VALUE"""),"-")</f>
        <v>-</v>
      </c>
    </row>
    <row r="964" spans="1:20" ht="15.75" customHeight="1" x14ac:dyDescent="0.25">
      <c r="A964" s="30" t="str">
        <f ca="1">IFERROR(__xludf.DUMMYFUNCTION("""COMPUTED_VALUE"""),"50221402126450")</f>
        <v>50221402126450</v>
      </c>
      <c r="B964" s="30" t="str">
        <f ca="1">IFERROR(__xludf.DUMMYFUNCTION("""COMPUTED_VALUE"""),"CENTRO DE SALUD SANTA RITA")</f>
        <v>CENTRO DE SALUD SANTA RITA</v>
      </c>
      <c r="C964" s="30" t="str">
        <f ca="1">IFERROR(__xludf.DUMMYFUNCTION("""COMPUTED_VALUE"""),"Chaco")</f>
        <v>Chaco</v>
      </c>
      <c r="D964" s="30" t="str">
        <f ca="1">IFERROR(__xludf.DUMMYFUNCTION("""COMPUTED_VALUE"""),"22")</f>
        <v>22</v>
      </c>
      <c r="E964" s="30" t="str">
        <f ca="1">IFERROR(__xludf.DUMMYFUNCTION("""COMPUTED_VALUE"""),"")</f>
        <v/>
      </c>
      <c r="F964" s="29"/>
      <c r="G964" s="29"/>
      <c r="H964" s="30" t="str">
        <f ca="1">IFERROR(__xludf.DUMMYFUNCTION("""COMPUTED_VALUE"""),"activo")</f>
        <v>activo</v>
      </c>
      <c r="I964" s="29"/>
      <c r="J964" s="29"/>
      <c r="K964" s="29"/>
      <c r="L964" s="30" t="str">
        <f ca="1">IFERROR(__xludf.DUMMYFUNCTION("""COMPUTED_VALUE"""),"No")</f>
        <v>No</v>
      </c>
      <c r="M964" s="30" t="str">
        <f ca="1">IFERROR(__xludf.DUMMYFUNCTION("""COMPUTED_VALUE"""),"22140060000")</f>
        <v>22140060000</v>
      </c>
      <c r="N964" s="30" t="str">
        <f ca="1">IFERROR(__xludf.DUMMYFUNCTION("""COMPUTED_VALUE"""),"RESISTENCIA")</f>
        <v>RESISTENCIA</v>
      </c>
      <c r="O964" s="30" t="str">
        <f ca="1">IFERROR(__xludf.DUMMYFUNCTION("""COMPUTED_VALUE"""),"22140")</f>
        <v>22140</v>
      </c>
      <c r="P964" s="30" t="str">
        <f ca="1">IFERROR(__xludf.DUMMYFUNCTION("""COMPUTED_VALUE"""),"SAN FERNANDO")</f>
        <v>SAN FERNANDO</v>
      </c>
      <c r="Q964" s="30" t="str">
        <f ca="1">IFERROR(__xludf.DUMMYFUNCTION("""COMPUTED_VALUE"""),"-27.450248")</f>
        <v>-27.450248</v>
      </c>
      <c r="R964" s="30" t="str">
        <f ca="1">IFERROR(__xludf.DUMMYFUNCTION("""COMPUTED_VALUE"""),"-59.024069")</f>
        <v>-59.024069</v>
      </c>
      <c r="S964" s="30" t="str">
        <f ca="1">IFERROR(__xludf.DUMMYFUNCTION("""COMPUTED_VALUE"""),"Provincial")</f>
        <v>Provincial</v>
      </c>
      <c r="T964" s="30" t="str">
        <f ca="1">IFERROR(__xludf.DUMMYFUNCTION("""COMPUTED_VALUE"""),"-")</f>
        <v>-</v>
      </c>
    </row>
    <row r="965" spans="1:20" ht="15.75" customHeight="1" x14ac:dyDescent="0.25">
      <c r="A965" s="30" t="str">
        <f ca="1">IFERROR(__xludf.DUMMYFUNCTION("""COMPUTED_VALUE"""),"50221402126469")</f>
        <v>50221402126469</v>
      </c>
      <c r="B965" s="30" t="str">
        <f ca="1">IFERROR(__xludf.DUMMYFUNCTION("""COMPUTED_VALUE"""),"CENTRO DE SALUD VILLA ALVEAR")</f>
        <v>CENTRO DE SALUD VILLA ALVEAR</v>
      </c>
      <c r="C965" s="30" t="str">
        <f ca="1">IFERROR(__xludf.DUMMYFUNCTION("""COMPUTED_VALUE"""),"Chaco")</f>
        <v>Chaco</v>
      </c>
      <c r="D965" s="30" t="str">
        <f ca="1">IFERROR(__xludf.DUMMYFUNCTION("""COMPUTED_VALUE"""),"22")</f>
        <v>22</v>
      </c>
      <c r="E965" s="30" t="str">
        <f ca="1">IFERROR(__xludf.DUMMYFUNCTION("""COMPUTED_VALUE"""),"")</f>
        <v/>
      </c>
      <c r="F965" s="29"/>
      <c r="G965" s="29"/>
      <c r="H965" s="30" t="str">
        <f ca="1">IFERROR(__xludf.DUMMYFUNCTION("""COMPUTED_VALUE"""),"activo")</f>
        <v>activo</v>
      </c>
      <c r="I965" s="29"/>
      <c r="J965" s="29"/>
      <c r="K965" s="29"/>
      <c r="L965" s="30" t="str">
        <f ca="1">IFERROR(__xludf.DUMMYFUNCTION("""COMPUTED_VALUE"""),"No")</f>
        <v>No</v>
      </c>
      <c r="M965" s="30" t="str">
        <f ca="1">IFERROR(__xludf.DUMMYFUNCTION("""COMPUTED_VALUE"""),"22140060000")</f>
        <v>22140060000</v>
      </c>
      <c r="N965" s="30" t="str">
        <f ca="1">IFERROR(__xludf.DUMMYFUNCTION("""COMPUTED_VALUE"""),"RESISTENCIA")</f>
        <v>RESISTENCIA</v>
      </c>
      <c r="O965" s="30" t="str">
        <f ca="1">IFERROR(__xludf.DUMMYFUNCTION("""COMPUTED_VALUE"""),"22140")</f>
        <v>22140</v>
      </c>
      <c r="P965" s="30" t="str">
        <f ca="1">IFERROR(__xludf.DUMMYFUNCTION("""COMPUTED_VALUE"""),"SAN FERNANDO")</f>
        <v>SAN FERNANDO</v>
      </c>
      <c r="Q965" s="30" t="str">
        <f ca="1">IFERROR(__xludf.DUMMYFUNCTION("""COMPUTED_VALUE"""),"-27.447705")</f>
        <v>-27.447705</v>
      </c>
      <c r="R965" s="30" t="str">
        <f ca="1">IFERROR(__xludf.DUMMYFUNCTION("""COMPUTED_VALUE"""),"-59.000719")</f>
        <v>-59.000719</v>
      </c>
      <c r="S965" s="30" t="str">
        <f ca="1">IFERROR(__xludf.DUMMYFUNCTION("""COMPUTED_VALUE"""),"Provincial")</f>
        <v>Provincial</v>
      </c>
      <c r="T965" s="30" t="str">
        <f ca="1">IFERROR(__xludf.DUMMYFUNCTION("""COMPUTED_VALUE"""),"-")</f>
        <v>-</v>
      </c>
    </row>
    <row r="966" spans="1:20" ht="15.75" customHeight="1" x14ac:dyDescent="0.25">
      <c r="A966" s="30" t="str">
        <f ca="1">IFERROR(__xludf.DUMMYFUNCTION("""COMPUTED_VALUE"""),"50221402126470")</f>
        <v>50221402126470</v>
      </c>
      <c r="B966" s="30" t="str">
        <f ca="1">IFERROR(__xludf.DUMMYFUNCTION("""COMPUTED_VALUE"""),"CENTRO DE SALUD VILLA BARBERAN")</f>
        <v>CENTRO DE SALUD VILLA BARBERAN</v>
      </c>
      <c r="C966" s="30" t="str">
        <f ca="1">IFERROR(__xludf.DUMMYFUNCTION("""COMPUTED_VALUE"""),"Chaco")</f>
        <v>Chaco</v>
      </c>
      <c r="D966" s="30" t="str">
        <f ca="1">IFERROR(__xludf.DUMMYFUNCTION("""COMPUTED_VALUE"""),"22")</f>
        <v>22</v>
      </c>
      <c r="E966" s="30" t="str">
        <f ca="1">IFERROR(__xludf.DUMMYFUNCTION("""COMPUTED_VALUE"""),"si")</f>
        <v>si</v>
      </c>
      <c r="F966" s="29"/>
      <c r="G966" s="29"/>
      <c r="H966" s="30" t="str">
        <f ca="1">IFERROR(__xludf.DUMMYFUNCTION("""COMPUTED_VALUE"""),"activo")</f>
        <v>activo</v>
      </c>
      <c r="I966" s="29"/>
      <c r="J966" s="29"/>
      <c r="K966" s="29"/>
      <c r="L966" s="30" t="str">
        <f ca="1">IFERROR(__xludf.DUMMYFUNCTION("""COMPUTED_VALUE"""),"No")</f>
        <v>No</v>
      </c>
      <c r="M966" s="30" t="str">
        <f ca="1">IFERROR(__xludf.DUMMYFUNCTION("""COMPUTED_VALUE"""),"22140060000")</f>
        <v>22140060000</v>
      </c>
      <c r="N966" s="30" t="str">
        <f ca="1">IFERROR(__xludf.DUMMYFUNCTION("""COMPUTED_VALUE"""),"RESISTENCIA")</f>
        <v>RESISTENCIA</v>
      </c>
      <c r="O966" s="30" t="str">
        <f ca="1">IFERROR(__xludf.DUMMYFUNCTION("""COMPUTED_VALUE"""),"22140")</f>
        <v>22140</v>
      </c>
      <c r="P966" s="30" t="str">
        <f ca="1">IFERROR(__xludf.DUMMYFUNCTION("""COMPUTED_VALUE"""),"SAN FERNANDO")</f>
        <v>SAN FERNANDO</v>
      </c>
      <c r="Q966" s="30" t="str">
        <f ca="1">IFERROR(__xludf.DUMMYFUNCTION("""COMPUTED_VALUE"""),"-27.45298932")</f>
        <v>-27.45298932</v>
      </c>
      <c r="R966" s="30" t="str">
        <f ca="1">IFERROR(__xludf.DUMMYFUNCTION("""COMPUTED_VALUE"""),"-59.03477669")</f>
        <v>-59.03477669</v>
      </c>
      <c r="S966" s="30" t="str">
        <f ca="1">IFERROR(__xludf.DUMMYFUNCTION("""COMPUTED_VALUE"""),"Provincial")</f>
        <v>Provincial</v>
      </c>
      <c r="T966" s="30" t="str">
        <f ca="1">IFERROR(__xludf.DUMMYFUNCTION("""COMPUTED_VALUE"""),"-")</f>
        <v>-</v>
      </c>
    </row>
    <row r="967" spans="1:20" ht="15.75" customHeight="1" x14ac:dyDescent="0.25">
      <c r="A967" s="30" t="str">
        <f ca="1">IFERROR(__xludf.DUMMYFUNCTION("""COMPUTED_VALUE"""),"50221402126472")</f>
        <v>50221402126472</v>
      </c>
      <c r="B967" s="30" t="str">
        <f ca="1">IFERROR(__xludf.DUMMYFUNCTION("""COMPUTED_VALUE"""),"CENTRO DE SALUD VILLA CRISTO REY")</f>
        <v>CENTRO DE SALUD VILLA CRISTO REY</v>
      </c>
      <c r="C967" s="30" t="str">
        <f ca="1">IFERROR(__xludf.DUMMYFUNCTION("""COMPUTED_VALUE"""),"Chaco")</f>
        <v>Chaco</v>
      </c>
      <c r="D967" s="30" t="str">
        <f ca="1">IFERROR(__xludf.DUMMYFUNCTION("""COMPUTED_VALUE"""),"22")</f>
        <v>22</v>
      </c>
      <c r="E967" s="30" t="str">
        <f ca="1">IFERROR(__xludf.DUMMYFUNCTION("""COMPUTED_VALUE"""),"si")</f>
        <v>si</v>
      </c>
      <c r="F967" s="29"/>
      <c r="G967" s="29"/>
      <c r="H967" s="30" t="str">
        <f ca="1">IFERROR(__xludf.DUMMYFUNCTION("""COMPUTED_VALUE"""),"activo")</f>
        <v>activo</v>
      </c>
      <c r="I967" s="29"/>
      <c r="J967" s="29"/>
      <c r="K967" s="29"/>
      <c r="L967" s="30" t="str">
        <f ca="1">IFERROR(__xludf.DUMMYFUNCTION("""COMPUTED_VALUE"""),"No")</f>
        <v>No</v>
      </c>
      <c r="M967" s="30" t="str">
        <f ca="1">IFERROR(__xludf.DUMMYFUNCTION("""COMPUTED_VALUE"""),"22140060000")</f>
        <v>22140060000</v>
      </c>
      <c r="N967" s="30" t="str">
        <f ca="1">IFERROR(__xludf.DUMMYFUNCTION("""COMPUTED_VALUE"""),"RESISTENCIA")</f>
        <v>RESISTENCIA</v>
      </c>
      <c r="O967" s="30" t="str">
        <f ca="1">IFERROR(__xludf.DUMMYFUNCTION("""COMPUTED_VALUE"""),"22140")</f>
        <v>22140</v>
      </c>
      <c r="P967" s="30" t="str">
        <f ca="1">IFERROR(__xludf.DUMMYFUNCTION("""COMPUTED_VALUE"""),"SAN FERNANDO")</f>
        <v>SAN FERNANDO</v>
      </c>
      <c r="Q967" s="30" t="str">
        <f ca="1">IFERROR(__xludf.DUMMYFUNCTION("""COMPUTED_VALUE"""),"-27.41017615")</f>
        <v>-27.41017615</v>
      </c>
      <c r="R967" s="30" t="str">
        <f ca="1">IFERROR(__xludf.DUMMYFUNCTION("""COMPUTED_VALUE"""),"-58.99847031")</f>
        <v>-58.99847031</v>
      </c>
      <c r="S967" s="30" t="str">
        <f ca="1">IFERROR(__xludf.DUMMYFUNCTION("""COMPUTED_VALUE"""),"Provincial")</f>
        <v>Provincial</v>
      </c>
      <c r="T967" s="30" t="str">
        <f ca="1">IFERROR(__xludf.DUMMYFUNCTION("""COMPUTED_VALUE"""),"-")</f>
        <v>-</v>
      </c>
    </row>
    <row r="968" spans="1:20" ht="15.75" customHeight="1" x14ac:dyDescent="0.25">
      <c r="A968" s="30" t="str">
        <f ca="1">IFERROR(__xludf.DUMMYFUNCTION("""COMPUTED_VALUE"""),"50221402126473")</f>
        <v>50221402126473</v>
      </c>
      <c r="B968" s="30" t="str">
        <f ca="1">IFERROR(__xludf.DUMMYFUNCTION("""COMPUTED_VALUE"""),"CENTRO DE SALUD VILLA DON ALBERTO")</f>
        <v>CENTRO DE SALUD VILLA DON ALBERTO</v>
      </c>
      <c r="C968" s="30" t="str">
        <f ca="1">IFERROR(__xludf.DUMMYFUNCTION("""COMPUTED_VALUE"""),"Chaco")</f>
        <v>Chaco</v>
      </c>
      <c r="D968" s="30" t="str">
        <f ca="1">IFERROR(__xludf.DUMMYFUNCTION("""COMPUTED_VALUE"""),"22")</f>
        <v>22</v>
      </c>
      <c r="E968" s="30" t="str">
        <f ca="1">IFERROR(__xludf.DUMMYFUNCTION("""COMPUTED_VALUE"""),"si")</f>
        <v>si</v>
      </c>
      <c r="F968" s="29"/>
      <c r="G968" s="29"/>
      <c r="H968" s="30" t="str">
        <f ca="1">IFERROR(__xludf.DUMMYFUNCTION("""COMPUTED_VALUE"""),"activo")</f>
        <v>activo</v>
      </c>
      <c r="I968" s="29"/>
      <c r="J968" s="29"/>
      <c r="K968" s="29"/>
      <c r="L968" s="30" t="str">
        <f ca="1">IFERROR(__xludf.DUMMYFUNCTION("""COMPUTED_VALUE"""),"No")</f>
        <v>No</v>
      </c>
      <c r="M968" s="30" t="str">
        <f ca="1">IFERROR(__xludf.DUMMYFUNCTION("""COMPUTED_VALUE"""),"22140060000")</f>
        <v>22140060000</v>
      </c>
      <c r="N968" s="30" t="str">
        <f ca="1">IFERROR(__xludf.DUMMYFUNCTION("""COMPUTED_VALUE"""),"RESISTENCIA")</f>
        <v>RESISTENCIA</v>
      </c>
      <c r="O968" s="30" t="str">
        <f ca="1">IFERROR(__xludf.DUMMYFUNCTION("""COMPUTED_VALUE"""),"22140")</f>
        <v>22140</v>
      </c>
      <c r="P968" s="30" t="str">
        <f ca="1">IFERROR(__xludf.DUMMYFUNCTION("""COMPUTED_VALUE"""),"SAN FERNANDO")</f>
        <v>SAN FERNANDO</v>
      </c>
      <c r="Q968" s="30" t="str">
        <f ca="1">IFERROR(__xludf.DUMMYFUNCTION("""COMPUTED_VALUE"""),"-27.4714458")</f>
        <v>-27.4714458</v>
      </c>
      <c r="R968" s="30" t="str">
        <f ca="1">IFERROR(__xludf.DUMMYFUNCTION("""COMPUTED_VALUE"""),"-59.0101702")</f>
        <v>-59.0101702</v>
      </c>
      <c r="S968" s="30" t="str">
        <f ca="1">IFERROR(__xludf.DUMMYFUNCTION("""COMPUTED_VALUE"""),"Provincial")</f>
        <v>Provincial</v>
      </c>
      <c r="T968" s="30" t="str">
        <f ca="1">IFERROR(__xludf.DUMMYFUNCTION("""COMPUTED_VALUE"""),"-")</f>
        <v>-</v>
      </c>
    </row>
    <row r="969" spans="1:20" ht="15.75" customHeight="1" x14ac:dyDescent="0.25">
      <c r="A969" s="30" t="str">
        <f ca="1">IFERROR(__xludf.DUMMYFUNCTION("""COMPUTED_VALUE"""),"50221402126474")</f>
        <v>50221402126474</v>
      </c>
      <c r="B969" s="30" t="str">
        <f ca="1">IFERROR(__xludf.DUMMYFUNCTION("""COMPUTED_VALUE"""),"CENTRO DE SALUD VILLA DON ANDRES")</f>
        <v>CENTRO DE SALUD VILLA DON ANDRES</v>
      </c>
      <c r="C969" s="30" t="str">
        <f ca="1">IFERROR(__xludf.DUMMYFUNCTION("""COMPUTED_VALUE"""),"Chaco")</f>
        <v>Chaco</v>
      </c>
      <c r="D969" s="30" t="str">
        <f ca="1">IFERROR(__xludf.DUMMYFUNCTION("""COMPUTED_VALUE"""),"22")</f>
        <v>22</v>
      </c>
      <c r="E969" s="30" t="str">
        <f ca="1">IFERROR(__xludf.DUMMYFUNCTION("""COMPUTED_VALUE"""),"si")</f>
        <v>si</v>
      </c>
      <c r="F969" s="29"/>
      <c r="G969" s="29"/>
      <c r="H969" s="30" t="str">
        <f ca="1">IFERROR(__xludf.DUMMYFUNCTION("""COMPUTED_VALUE"""),"activo")</f>
        <v>activo</v>
      </c>
      <c r="I969" s="29"/>
      <c r="J969" s="29"/>
      <c r="K969" s="29"/>
      <c r="L969" s="30" t="str">
        <f ca="1">IFERROR(__xludf.DUMMYFUNCTION("""COMPUTED_VALUE"""),"No")</f>
        <v>No</v>
      </c>
      <c r="M969" s="30" t="str">
        <f ca="1">IFERROR(__xludf.DUMMYFUNCTION("""COMPUTED_VALUE"""),"22140060000")</f>
        <v>22140060000</v>
      </c>
      <c r="N969" s="30" t="str">
        <f ca="1">IFERROR(__xludf.DUMMYFUNCTION("""COMPUTED_VALUE"""),"RESISTENCIA")</f>
        <v>RESISTENCIA</v>
      </c>
      <c r="O969" s="30" t="str">
        <f ca="1">IFERROR(__xludf.DUMMYFUNCTION("""COMPUTED_VALUE"""),"22140")</f>
        <v>22140</v>
      </c>
      <c r="P969" s="30" t="str">
        <f ca="1">IFERROR(__xludf.DUMMYFUNCTION("""COMPUTED_VALUE"""),"SAN FERNANDO")</f>
        <v>SAN FERNANDO</v>
      </c>
      <c r="Q969" s="30" t="str">
        <f ca="1">IFERROR(__xludf.DUMMYFUNCTION("""COMPUTED_VALUE"""),"-27.49015169")</f>
        <v>-27.49015169</v>
      </c>
      <c r="R969" s="30" t="str">
        <f ca="1">IFERROR(__xludf.DUMMYFUNCTION("""COMPUTED_VALUE"""),"-58.99692535")</f>
        <v>-58.99692535</v>
      </c>
      <c r="S969" s="30" t="str">
        <f ca="1">IFERROR(__xludf.DUMMYFUNCTION("""COMPUTED_VALUE"""),"Provincial")</f>
        <v>Provincial</v>
      </c>
      <c r="T969" s="30" t="str">
        <f ca="1">IFERROR(__xludf.DUMMYFUNCTION("""COMPUTED_VALUE"""),"-")</f>
        <v>-</v>
      </c>
    </row>
    <row r="970" spans="1:20" ht="15.75" customHeight="1" x14ac:dyDescent="0.25">
      <c r="A970" s="30" t="str">
        <f ca="1">IFERROR(__xludf.DUMMYFUNCTION("""COMPUTED_VALUE"""),"50221402126475")</f>
        <v>50221402126475</v>
      </c>
      <c r="B970" s="30" t="str">
        <f ca="1">IFERROR(__xludf.DUMMYFUNCTION("""COMPUTED_VALUE"""),"CENTRO DE SALUD VILLA ELBA")</f>
        <v>CENTRO DE SALUD VILLA ELBA</v>
      </c>
      <c r="C970" s="30" t="str">
        <f ca="1">IFERROR(__xludf.DUMMYFUNCTION("""COMPUTED_VALUE"""),"Chaco")</f>
        <v>Chaco</v>
      </c>
      <c r="D970" s="30" t="str">
        <f ca="1">IFERROR(__xludf.DUMMYFUNCTION("""COMPUTED_VALUE"""),"22")</f>
        <v>22</v>
      </c>
      <c r="E970" s="30" t="str">
        <f ca="1">IFERROR(__xludf.DUMMYFUNCTION("""COMPUTED_VALUE"""),"si")</f>
        <v>si</v>
      </c>
      <c r="F970" s="29"/>
      <c r="G970" s="29"/>
      <c r="H970" s="30" t="str">
        <f ca="1">IFERROR(__xludf.DUMMYFUNCTION("""COMPUTED_VALUE"""),"activo")</f>
        <v>activo</v>
      </c>
      <c r="I970" s="29"/>
      <c r="J970" s="29"/>
      <c r="K970" s="29"/>
      <c r="L970" s="30" t="str">
        <f ca="1">IFERROR(__xludf.DUMMYFUNCTION("""COMPUTED_VALUE"""),"No")</f>
        <v>No</v>
      </c>
      <c r="M970" s="30" t="str">
        <f ca="1">IFERROR(__xludf.DUMMYFUNCTION("""COMPUTED_VALUE"""),"22140040000")</f>
        <v>22140040000</v>
      </c>
      <c r="N970" s="30" t="str">
        <f ca="1">IFERROR(__xludf.DUMMYFUNCTION("""COMPUTED_VALUE"""),"FONTANA")</f>
        <v>FONTANA</v>
      </c>
      <c r="O970" s="30" t="str">
        <f ca="1">IFERROR(__xludf.DUMMYFUNCTION("""COMPUTED_VALUE"""),"22140")</f>
        <v>22140</v>
      </c>
      <c r="P970" s="30" t="str">
        <f ca="1">IFERROR(__xludf.DUMMYFUNCTION("""COMPUTED_VALUE"""),"SAN FERNANDO")</f>
        <v>SAN FERNANDO</v>
      </c>
      <c r="Q970" s="30" t="str">
        <f ca="1">IFERROR(__xludf.DUMMYFUNCTION("""COMPUTED_VALUE"""),"-27.4344072")</f>
        <v>-27.4344072</v>
      </c>
      <c r="R970" s="30" t="str">
        <f ca="1">IFERROR(__xludf.DUMMYFUNCTION("""COMPUTED_VALUE"""),"-59.0086655")</f>
        <v>-59.0086655</v>
      </c>
      <c r="S970" s="30" t="str">
        <f ca="1">IFERROR(__xludf.DUMMYFUNCTION("""COMPUTED_VALUE"""),"Provincial")</f>
        <v>Provincial</v>
      </c>
      <c r="T970" s="30" t="str">
        <f ca="1">IFERROR(__xludf.DUMMYFUNCTION("""COMPUTED_VALUE"""),"-")</f>
        <v>-</v>
      </c>
    </row>
    <row r="971" spans="1:20" ht="15.75" customHeight="1" x14ac:dyDescent="0.25">
      <c r="A971" s="30" t="str">
        <f ca="1">IFERROR(__xludf.DUMMYFUNCTION("""COMPUTED_VALUE"""),"50221402126476")</f>
        <v>50221402126476</v>
      </c>
      <c r="B971" s="30" t="str">
        <f ca="1">IFERROR(__xludf.DUMMYFUNCTION("""COMPUTED_VALUE"""),"CENTRO DE SALUD VILLA FORESTACION")</f>
        <v>CENTRO DE SALUD VILLA FORESTACION</v>
      </c>
      <c r="C971" s="30" t="str">
        <f ca="1">IFERROR(__xludf.DUMMYFUNCTION("""COMPUTED_VALUE"""),"Chaco")</f>
        <v>Chaco</v>
      </c>
      <c r="D971" s="30" t="str">
        <f ca="1">IFERROR(__xludf.DUMMYFUNCTION("""COMPUTED_VALUE"""),"22")</f>
        <v>22</v>
      </c>
      <c r="E971" s="30" t="str">
        <f ca="1">IFERROR(__xludf.DUMMYFUNCTION("""COMPUTED_VALUE"""),"")</f>
        <v/>
      </c>
      <c r="F971" s="29"/>
      <c r="G971" s="29"/>
      <c r="H971" s="30" t="str">
        <f ca="1">IFERROR(__xludf.DUMMYFUNCTION("""COMPUTED_VALUE"""),"inactivo")</f>
        <v>inactivo</v>
      </c>
      <c r="I971" s="29"/>
      <c r="J971" s="29"/>
      <c r="K971" s="29"/>
      <c r="L971" s="30" t="str">
        <f ca="1">IFERROR(__xludf.DUMMYFUNCTION("""COMPUTED_VALUE"""),"No")</f>
        <v>No</v>
      </c>
      <c r="M971" s="30" t="str">
        <f ca="1">IFERROR(__xludf.DUMMYFUNCTION("""COMPUTED_VALUE"""),"22140010000")</f>
        <v>22140010000</v>
      </c>
      <c r="N971" s="30" t="str">
        <f ca="1">IFERROR(__xludf.DUMMYFUNCTION("""COMPUTED_VALUE"""),"BARRANQUERAS")</f>
        <v>BARRANQUERAS</v>
      </c>
      <c r="O971" s="30" t="str">
        <f ca="1">IFERROR(__xludf.DUMMYFUNCTION("""COMPUTED_VALUE"""),"22140")</f>
        <v>22140</v>
      </c>
      <c r="P971" s="30" t="str">
        <f ca="1">IFERROR(__xludf.DUMMYFUNCTION("""COMPUTED_VALUE"""),"SAN FERNANDO")</f>
        <v>SAN FERNANDO</v>
      </c>
      <c r="Q971" s="30" t="str">
        <f ca="1">IFERROR(__xludf.DUMMYFUNCTION("""COMPUTED_VALUE"""),"-27.493047")</f>
        <v>-27.493047</v>
      </c>
      <c r="R971" s="30" t="str">
        <f ca="1">IFERROR(__xludf.DUMMYFUNCTION("""COMPUTED_VALUE"""),"-58.939456")</f>
        <v>-58.939456</v>
      </c>
      <c r="S971" s="30" t="str">
        <f ca="1">IFERROR(__xludf.DUMMYFUNCTION("""COMPUTED_VALUE"""),"Provincial")</f>
        <v>Provincial</v>
      </c>
      <c r="T971" s="30" t="str">
        <f ca="1">IFERROR(__xludf.DUMMYFUNCTION("""COMPUTED_VALUE"""),"-")</f>
        <v>-</v>
      </c>
    </row>
    <row r="972" spans="1:20" ht="15.75" customHeight="1" x14ac:dyDescent="0.25">
      <c r="A972" s="30" t="str">
        <f ca="1">IFERROR(__xludf.DUMMYFUNCTION("""COMPUTED_VALUE"""),"50221402126149")</f>
        <v>50221402126149</v>
      </c>
      <c r="B972" s="30" t="str">
        <f ca="1">IFERROR(__xludf.DUMMYFUNCTION("""COMPUTED_VALUE"""),"CENTRO DE SALUD BARRIO MAPIC")</f>
        <v>CENTRO DE SALUD BARRIO MAPIC</v>
      </c>
      <c r="C972" s="30" t="str">
        <f ca="1">IFERROR(__xludf.DUMMYFUNCTION("""COMPUTED_VALUE"""),"Chaco")</f>
        <v>Chaco</v>
      </c>
      <c r="D972" s="30" t="str">
        <f ca="1">IFERROR(__xludf.DUMMYFUNCTION("""COMPUTED_VALUE"""),"22")</f>
        <v>22</v>
      </c>
      <c r="E972" s="30" t="str">
        <f ca="1">IFERROR(__xludf.DUMMYFUNCTION("""COMPUTED_VALUE"""),"si")</f>
        <v>si</v>
      </c>
      <c r="F972" s="29"/>
      <c r="G972" s="29"/>
      <c r="H972" s="30" t="str">
        <f ca="1">IFERROR(__xludf.DUMMYFUNCTION("""COMPUTED_VALUE"""),"activo")</f>
        <v>activo</v>
      </c>
      <c r="I972" s="29"/>
      <c r="J972" s="29"/>
      <c r="K972" s="29"/>
      <c r="L972" s="30" t="str">
        <f ca="1">IFERROR(__xludf.DUMMYFUNCTION("""COMPUTED_VALUE"""),"No")</f>
        <v>No</v>
      </c>
      <c r="M972" s="30" t="str">
        <f ca="1">IFERROR(__xludf.DUMMYFUNCTION("""COMPUTED_VALUE"""),"22140060000")</f>
        <v>22140060000</v>
      </c>
      <c r="N972" s="30" t="str">
        <f ca="1">IFERROR(__xludf.DUMMYFUNCTION("""COMPUTED_VALUE"""),"RESISTENCIA")</f>
        <v>RESISTENCIA</v>
      </c>
      <c r="O972" s="30" t="str">
        <f ca="1">IFERROR(__xludf.DUMMYFUNCTION("""COMPUTED_VALUE"""),"22140")</f>
        <v>22140</v>
      </c>
      <c r="P972" s="30" t="str">
        <f ca="1">IFERROR(__xludf.DUMMYFUNCTION("""COMPUTED_VALUE"""),"SAN FERNANDO")</f>
        <v>SAN FERNANDO</v>
      </c>
      <c r="Q972" s="30" t="str">
        <f ca="1">IFERROR(__xludf.DUMMYFUNCTION("""COMPUTED_VALUE"""),"-27.40705212")</f>
        <v>-27.40705212</v>
      </c>
      <c r="R972" s="30" t="str">
        <f ca="1">IFERROR(__xludf.DUMMYFUNCTION("""COMPUTED_VALUE"""),"-58.98611069")</f>
        <v>-58.98611069</v>
      </c>
      <c r="S972" s="30" t="str">
        <f ca="1">IFERROR(__xludf.DUMMYFUNCTION("""COMPUTED_VALUE"""),"Provincial")</f>
        <v>Provincial</v>
      </c>
      <c r="T972" s="30" t="str">
        <f ca="1">IFERROR(__xludf.DUMMYFUNCTION("""COMPUTED_VALUE"""),"-")</f>
        <v>-</v>
      </c>
    </row>
    <row r="973" spans="1:20" ht="15.75" customHeight="1" x14ac:dyDescent="0.25">
      <c r="A973" s="30" t="str">
        <f ca="1">IFERROR(__xludf.DUMMYFUNCTION("""COMPUTED_VALUE"""),"50221402126477")</f>
        <v>50221402126477</v>
      </c>
      <c r="B973" s="30" t="str">
        <f ca="1">IFERROR(__xludf.DUMMYFUNCTION("""COMPUTED_VALUE"""),"CENTRO DE SALUD VILLA GENERAL BELGRANO")</f>
        <v>CENTRO DE SALUD VILLA GENERAL BELGRANO</v>
      </c>
      <c r="C973" s="30" t="str">
        <f ca="1">IFERROR(__xludf.DUMMYFUNCTION("""COMPUTED_VALUE"""),"Chaco")</f>
        <v>Chaco</v>
      </c>
      <c r="D973" s="30" t="str">
        <f ca="1">IFERROR(__xludf.DUMMYFUNCTION("""COMPUTED_VALUE"""),"22")</f>
        <v>22</v>
      </c>
      <c r="E973" s="30" t="str">
        <f ca="1">IFERROR(__xludf.DUMMYFUNCTION("""COMPUTED_VALUE"""),"")</f>
        <v/>
      </c>
      <c r="F973" s="29"/>
      <c r="G973" s="29"/>
      <c r="H973" s="30" t="str">
        <f ca="1">IFERROR(__xludf.DUMMYFUNCTION("""COMPUTED_VALUE"""),"activo")</f>
        <v>activo</v>
      </c>
      <c r="I973" s="29"/>
      <c r="J973" s="29"/>
      <c r="K973" s="29"/>
      <c r="L973" s="30" t="str">
        <f ca="1">IFERROR(__xludf.DUMMYFUNCTION("""COMPUTED_VALUE"""),"No")</f>
        <v>No</v>
      </c>
      <c r="M973" s="30" t="str">
        <f ca="1">IFERROR(__xludf.DUMMYFUNCTION("""COMPUTED_VALUE"""),"22140060000")</f>
        <v>22140060000</v>
      </c>
      <c r="N973" s="30" t="str">
        <f ca="1">IFERROR(__xludf.DUMMYFUNCTION("""COMPUTED_VALUE"""),"RESISTENCIA")</f>
        <v>RESISTENCIA</v>
      </c>
      <c r="O973" s="30" t="str">
        <f ca="1">IFERROR(__xludf.DUMMYFUNCTION("""COMPUTED_VALUE"""),"22140")</f>
        <v>22140</v>
      </c>
      <c r="P973" s="30" t="str">
        <f ca="1">IFERROR(__xludf.DUMMYFUNCTION("""COMPUTED_VALUE"""),"SAN FERNANDO")</f>
        <v>SAN FERNANDO</v>
      </c>
      <c r="Q973" s="30" t="str">
        <f ca="1">IFERROR(__xludf.DUMMYFUNCTION("""COMPUTED_VALUE"""),"-27.46014862")</f>
        <v>-27.46014862</v>
      </c>
      <c r="R973" s="30" t="str">
        <f ca="1">IFERROR(__xludf.DUMMYFUNCTION("""COMPUTED_VALUE"""),"-59.0051651")</f>
        <v>-59.0051651</v>
      </c>
      <c r="S973" s="30" t="str">
        <f ca="1">IFERROR(__xludf.DUMMYFUNCTION("""COMPUTED_VALUE"""),"Provincial")</f>
        <v>Provincial</v>
      </c>
      <c r="T973" s="30" t="str">
        <f ca="1">IFERROR(__xludf.DUMMYFUNCTION("""COMPUTED_VALUE"""),"-")</f>
        <v>-</v>
      </c>
    </row>
    <row r="974" spans="1:20" ht="15.75" customHeight="1" x14ac:dyDescent="0.25">
      <c r="A974" s="30" t="str">
        <f ca="1">IFERROR(__xludf.DUMMYFUNCTION("""COMPUTED_VALUE"""),"50221402126478")</f>
        <v>50221402126478</v>
      </c>
      <c r="B974" s="30" t="str">
        <f ca="1">IFERROR(__xludf.DUMMYFUNCTION("""COMPUTED_VALUE"""),"CENTRO DE SALUD VILLA GHIO DR. ALVAREZ LOTERO")</f>
        <v>CENTRO DE SALUD VILLA GHIO DR. ALVAREZ LOTERO</v>
      </c>
      <c r="C974" s="30" t="str">
        <f ca="1">IFERROR(__xludf.DUMMYFUNCTION("""COMPUTED_VALUE"""),"Chaco")</f>
        <v>Chaco</v>
      </c>
      <c r="D974" s="30" t="str">
        <f ca="1">IFERROR(__xludf.DUMMYFUNCTION("""COMPUTED_VALUE"""),"22")</f>
        <v>22</v>
      </c>
      <c r="E974" s="30" t="str">
        <f ca="1">IFERROR(__xludf.DUMMYFUNCTION("""COMPUTED_VALUE"""),"si")</f>
        <v>si</v>
      </c>
      <c r="F974" s="29"/>
      <c r="G974" s="29"/>
      <c r="H974" s="30" t="str">
        <f ca="1">IFERROR(__xludf.DUMMYFUNCTION("""COMPUTED_VALUE"""),"activo")</f>
        <v>activo</v>
      </c>
      <c r="I974" s="29"/>
      <c r="J974" s="29"/>
      <c r="K974" s="29"/>
      <c r="L974" s="30" t="str">
        <f ca="1">IFERROR(__xludf.DUMMYFUNCTION("""COMPUTED_VALUE"""),"No")</f>
        <v>No</v>
      </c>
      <c r="M974" s="30" t="str">
        <f ca="1">IFERROR(__xludf.DUMMYFUNCTION("""COMPUTED_VALUE"""),"22140060000")</f>
        <v>22140060000</v>
      </c>
      <c r="N974" s="30" t="str">
        <f ca="1">IFERROR(__xludf.DUMMYFUNCTION("""COMPUTED_VALUE"""),"RESISTENCIA")</f>
        <v>RESISTENCIA</v>
      </c>
      <c r="O974" s="30" t="str">
        <f ca="1">IFERROR(__xludf.DUMMYFUNCTION("""COMPUTED_VALUE"""),"22140")</f>
        <v>22140</v>
      </c>
      <c r="P974" s="30" t="str">
        <f ca="1">IFERROR(__xludf.DUMMYFUNCTION("""COMPUTED_VALUE"""),"SAN FERNANDO")</f>
        <v>SAN FERNANDO</v>
      </c>
      <c r="Q974" s="30" t="str">
        <f ca="1">IFERROR(__xludf.DUMMYFUNCTION("""COMPUTED_VALUE"""),"-27.427052")</f>
        <v>-27.427052</v>
      </c>
      <c r="R974" s="30" t="str">
        <f ca="1">IFERROR(__xludf.DUMMYFUNCTION("""COMPUTED_VALUE"""),"-59.00782585")</f>
        <v>-59.00782585</v>
      </c>
      <c r="S974" s="30" t="str">
        <f ca="1">IFERROR(__xludf.DUMMYFUNCTION("""COMPUTED_VALUE"""),"Provincial")</f>
        <v>Provincial</v>
      </c>
      <c r="T974" s="30" t="str">
        <f ca="1">IFERROR(__xludf.DUMMYFUNCTION("""COMPUTED_VALUE"""),"-")</f>
        <v>-</v>
      </c>
    </row>
    <row r="975" spans="1:20" ht="15.75" customHeight="1" x14ac:dyDescent="0.25">
      <c r="A975" s="30" t="str">
        <f ca="1">IFERROR(__xludf.DUMMYFUNCTION("""COMPUTED_VALUE"""),"50221402126479")</f>
        <v>50221402126479</v>
      </c>
      <c r="B975" s="30" t="str">
        <f ca="1">IFERROR(__xludf.DUMMYFUNCTION("""COMPUTED_VALUE"""),"CENTRO DE SALUD VILLA HORTENSIA")</f>
        <v>CENTRO DE SALUD VILLA HORTENSIA</v>
      </c>
      <c r="C975" s="30" t="str">
        <f ca="1">IFERROR(__xludf.DUMMYFUNCTION("""COMPUTED_VALUE"""),"Chaco")</f>
        <v>Chaco</v>
      </c>
      <c r="D975" s="30" t="str">
        <f ca="1">IFERROR(__xludf.DUMMYFUNCTION("""COMPUTED_VALUE"""),"22")</f>
        <v>22</v>
      </c>
      <c r="E975" s="30" t="str">
        <f ca="1">IFERROR(__xludf.DUMMYFUNCTION("""COMPUTED_VALUE"""),"")</f>
        <v/>
      </c>
      <c r="F975" s="29"/>
      <c r="G975" s="29"/>
      <c r="H975" s="30" t="str">
        <f ca="1">IFERROR(__xludf.DUMMYFUNCTION("""COMPUTED_VALUE"""),"activo")</f>
        <v>activo</v>
      </c>
      <c r="I975" s="29"/>
      <c r="J975" s="29"/>
      <c r="K975" s="29"/>
      <c r="L975" s="30" t="str">
        <f ca="1">IFERROR(__xludf.DUMMYFUNCTION("""COMPUTED_VALUE"""),"No")</f>
        <v>No</v>
      </c>
      <c r="M975" s="30" t="str">
        <f ca="1">IFERROR(__xludf.DUMMYFUNCTION("""COMPUTED_VALUE"""),"22140010000")</f>
        <v>22140010000</v>
      </c>
      <c r="N975" s="30" t="str">
        <f ca="1">IFERROR(__xludf.DUMMYFUNCTION("""COMPUTED_VALUE"""),"BARRANQUERAS")</f>
        <v>BARRANQUERAS</v>
      </c>
      <c r="O975" s="30" t="str">
        <f ca="1">IFERROR(__xludf.DUMMYFUNCTION("""COMPUTED_VALUE"""),"22140")</f>
        <v>22140</v>
      </c>
      <c r="P975" s="30" t="str">
        <f ca="1">IFERROR(__xludf.DUMMYFUNCTION("""COMPUTED_VALUE"""),"SAN FERNANDO")</f>
        <v>SAN FERNANDO</v>
      </c>
      <c r="Q975" s="30" t="str">
        <f ca="1">IFERROR(__xludf.DUMMYFUNCTION("""COMPUTED_VALUE"""),"-27.4739621")</f>
        <v>-27.4739621</v>
      </c>
      <c r="R975" s="30" t="str">
        <f ca="1">IFERROR(__xludf.DUMMYFUNCTION("""COMPUTED_VALUE"""),"-58.9303464")</f>
        <v>-58.9303464</v>
      </c>
      <c r="S975" s="30" t="str">
        <f ca="1">IFERROR(__xludf.DUMMYFUNCTION("""COMPUTED_VALUE"""),"Provincial")</f>
        <v>Provincial</v>
      </c>
      <c r="T975" s="30" t="str">
        <f ca="1">IFERROR(__xludf.DUMMYFUNCTION("""COMPUTED_VALUE"""),"-")</f>
        <v>-</v>
      </c>
    </row>
    <row r="976" spans="1:20" ht="15.75" customHeight="1" x14ac:dyDescent="0.25">
      <c r="A976" s="30" t="str">
        <f ca="1">IFERROR(__xludf.DUMMYFUNCTION("""COMPUTED_VALUE"""),"50221402126482")</f>
        <v>50221402126482</v>
      </c>
      <c r="B976" s="30" t="str">
        <f ca="1">IFERROR(__xludf.DUMMYFUNCTION("""COMPUTED_VALUE"""),"CENTRO DE SALUD VILLA LUZURIAGA DRA MICUCCI")</f>
        <v>CENTRO DE SALUD VILLA LUZURIAGA DRA MICUCCI</v>
      </c>
      <c r="C976" s="30" t="str">
        <f ca="1">IFERROR(__xludf.DUMMYFUNCTION("""COMPUTED_VALUE"""),"Chaco")</f>
        <v>Chaco</v>
      </c>
      <c r="D976" s="30" t="str">
        <f ca="1">IFERROR(__xludf.DUMMYFUNCTION("""COMPUTED_VALUE"""),"22")</f>
        <v>22</v>
      </c>
      <c r="E976" s="30" t="str">
        <f ca="1">IFERROR(__xludf.DUMMYFUNCTION("""COMPUTED_VALUE"""),"si")</f>
        <v>si</v>
      </c>
      <c r="F976" s="29"/>
      <c r="G976" s="29"/>
      <c r="H976" s="30" t="str">
        <f ca="1">IFERROR(__xludf.DUMMYFUNCTION("""COMPUTED_VALUE"""),"activo")</f>
        <v>activo</v>
      </c>
      <c r="I976" s="29"/>
      <c r="J976" s="29"/>
      <c r="K976" s="29"/>
      <c r="L976" s="30" t="str">
        <f ca="1">IFERROR(__xludf.DUMMYFUNCTION("""COMPUTED_VALUE"""),"No")</f>
        <v>No</v>
      </c>
      <c r="M976" s="30" t="str">
        <f ca="1">IFERROR(__xludf.DUMMYFUNCTION("""COMPUTED_VALUE"""),"22140060000")</f>
        <v>22140060000</v>
      </c>
      <c r="N976" s="30" t="str">
        <f ca="1">IFERROR(__xludf.DUMMYFUNCTION("""COMPUTED_VALUE"""),"RESISTENCIA")</f>
        <v>RESISTENCIA</v>
      </c>
      <c r="O976" s="30" t="str">
        <f ca="1">IFERROR(__xludf.DUMMYFUNCTION("""COMPUTED_VALUE"""),"22140")</f>
        <v>22140</v>
      </c>
      <c r="P976" s="30" t="str">
        <f ca="1">IFERROR(__xludf.DUMMYFUNCTION("""COMPUTED_VALUE"""),"SAN FERNANDO")</f>
        <v>SAN FERNANDO</v>
      </c>
      <c r="Q976" s="30" t="str">
        <f ca="1">IFERROR(__xludf.DUMMYFUNCTION("""COMPUTED_VALUE"""),"-27.484569")</f>
        <v>-27.484569</v>
      </c>
      <c r="R976" s="30" t="str">
        <f ca="1">IFERROR(__xludf.DUMMYFUNCTION("""COMPUTED_VALUE"""),"-58.970214")</f>
        <v>-58.970214</v>
      </c>
      <c r="S976" s="30" t="str">
        <f ca="1">IFERROR(__xludf.DUMMYFUNCTION("""COMPUTED_VALUE"""),"Provincial")</f>
        <v>Provincial</v>
      </c>
      <c r="T976" s="30" t="str">
        <f ca="1">IFERROR(__xludf.DUMMYFUNCTION("""COMPUTED_VALUE"""),"-")</f>
        <v>-</v>
      </c>
    </row>
    <row r="977" spans="1:20" ht="15.75" customHeight="1" x14ac:dyDescent="0.25">
      <c r="A977" s="30" t="str">
        <f ca="1">IFERROR(__xludf.DUMMYFUNCTION("""COMPUTED_VALUE"""),"50221402126483")</f>
        <v>50221402126483</v>
      </c>
      <c r="B977" s="30" t="str">
        <f ca="1">IFERROR(__xludf.DUMMYFUNCTION("""COMPUTED_VALUE"""),"CENTRO DE SALUD VILLA ODORICO")</f>
        <v>CENTRO DE SALUD VILLA ODORICO</v>
      </c>
      <c r="C977" s="30" t="str">
        <f ca="1">IFERROR(__xludf.DUMMYFUNCTION("""COMPUTED_VALUE"""),"Chaco")</f>
        <v>Chaco</v>
      </c>
      <c r="D977" s="30" t="str">
        <f ca="1">IFERROR(__xludf.DUMMYFUNCTION("""COMPUTED_VALUE"""),"22")</f>
        <v>22</v>
      </c>
      <c r="E977" s="30" t="str">
        <f ca="1">IFERROR(__xludf.DUMMYFUNCTION("""COMPUTED_VALUE"""),"si")</f>
        <v>si</v>
      </c>
      <c r="F977" s="29"/>
      <c r="G977" s="29"/>
      <c r="H977" s="30" t="str">
        <f ca="1">IFERROR(__xludf.DUMMYFUNCTION("""COMPUTED_VALUE"""),"activo")</f>
        <v>activo</v>
      </c>
      <c r="I977" s="29"/>
      <c r="J977" s="29"/>
      <c r="K977" s="29"/>
      <c r="L977" s="30" t="str">
        <f ca="1">IFERROR(__xludf.DUMMYFUNCTION("""COMPUTED_VALUE"""),"No")</f>
        <v>No</v>
      </c>
      <c r="M977" s="30" t="str">
        <f ca="1">IFERROR(__xludf.DUMMYFUNCTION("""COMPUTED_VALUE"""),"22140060000")</f>
        <v>22140060000</v>
      </c>
      <c r="N977" s="30" t="str">
        <f ca="1">IFERROR(__xludf.DUMMYFUNCTION("""COMPUTED_VALUE"""),"RESISTENCIA")</f>
        <v>RESISTENCIA</v>
      </c>
      <c r="O977" s="30" t="str">
        <f ca="1">IFERROR(__xludf.DUMMYFUNCTION("""COMPUTED_VALUE"""),"22140")</f>
        <v>22140</v>
      </c>
      <c r="P977" s="30" t="str">
        <f ca="1">IFERROR(__xludf.DUMMYFUNCTION("""COMPUTED_VALUE"""),"SAN FERNANDO")</f>
        <v>SAN FERNANDO</v>
      </c>
      <c r="Q977" s="30" t="str">
        <f ca="1">IFERROR(__xludf.DUMMYFUNCTION("""COMPUTED_VALUE"""),"-27.43326075")</f>
        <v>-27.43326075</v>
      </c>
      <c r="R977" s="30" t="str">
        <f ca="1">IFERROR(__xludf.DUMMYFUNCTION("""COMPUTED_VALUE"""),"-58.99143219")</f>
        <v>-58.99143219</v>
      </c>
      <c r="S977" s="30" t="str">
        <f ca="1">IFERROR(__xludf.DUMMYFUNCTION("""COMPUTED_VALUE"""),"Provincial")</f>
        <v>Provincial</v>
      </c>
      <c r="T977" s="30" t="str">
        <f ca="1">IFERROR(__xludf.DUMMYFUNCTION("""COMPUTED_VALUE"""),"-")</f>
        <v>-</v>
      </c>
    </row>
    <row r="978" spans="1:20" ht="15.75" customHeight="1" x14ac:dyDescent="0.25">
      <c r="A978" s="30" t="str">
        <f ca="1">IFERROR(__xludf.DUMMYFUNCTION("""COMPUTED_VALUE"""),"50221402126484")</f>
        <v>50221402126484</v>
      </c>
      <c r="B978" s="30" t="str">
        <f ca="1">IFERROR(__xludf.DUMMYFUNCTION("""COMPUTED_VALUE"""),"CENTRO DE SALUD VILLA PEGORARO")</f>
        <v>CENTRO DE SALUD VILLA PEGORARO</v>
      </c>
      <c r="C978" s="30" t="str">
        <f ca="1">IFERROR(__xludf.DUMMYFUNCTION("""COMPUTED_VALUE"""),"Chaco")</f>
        <v>Chaco</v>
      </c>
      <c r="D978" s="30" t="str">
        <f ca="1">IFERROR(__xludf.DUMMYFUNCTION("""COMPUTED_VALUE"""),"22")</f>
        <v>22</v>
      </c>
      <c r="E978" s="30" t="str">
        <f ca="1">IFERROR(__xludf.DUMMYFUNCTION("""COMPUTED_VALUE"""),"")</f>
        <v/>
      </c>
      <c r="F978" s="29"/>
      <c r="G978" s="29"/>
      <c r="H978" s="30" t="str">
        <f ca="1">IFERROR(__xludf.DUMMYFUNCTION("""COMPUTED_VALUE"""),"activo")</f>
        <v>activo</v>
      </c>
      <c r="I978" s="29"/>
      <c r="J978" s="29"/>
      <c r="K978" s="29"/>
      <c r="L978" s="30" t="str">
        <f ca="1">IFERROR(__xludf.DUMMYFUNCTION("""COMPUTED_VALUE"""),"No")</f>
        <v>No</v>
      </c>
      <c r="M978" s="30" t="str">
        <f ca="1">IFERROR(__xludf.DUMMYFUNCTION("""COMPUTED_VALUE"""),"22140060000")</f>
        <v>22140060000</v>
      </c>
      <c r="N978" s="30" t="str">
        <f ca="1">IFERROR(__xludf.DUMMYFUNCTION("""COMPUTED_VALUE"""),"RESISTENCIA")</f>
        <v>RESISTENCIA</v>
      </c>
      <c r="O978" s="30" t="str">
        <f ca="1">IFERROR(__xludf.DUMMYFUNCTION("""COMPUTED_VALUE"""),"22140")</f>
        <v>22140</v>
      </c>
      <c r="P978" s="30" t="str">
        <f ca="1">IFERROR(__xludf.DUMMYFUNCTION("""COMPUTED_VALUE"""),"SAN FERNANDO")</f>
        <v>SAN FERNANDO</v>
      </c>
      <c r="Q978" s="30" t="str">
        <f ca="1">IFERROR(__xludf.DUMMYFUNCTION("""COMPUTED_VALUE"""),"-27.4518881")</f>
        <v>-27.4518881</v>
      </c>
      <c r="R978" s="30" t="str">
        <f ca="1">IFERROR(__xludf.DUMMYFUNCTION("""COMPUTED_VALUE"""),"-59.0209337")</f>
        <v>-59.0209337</v>
      </c>
      <c r="S978" s="30" t="str">
        <f ca="1">IFERROR(__xludf.DUMMYFUNCTION("""COMPUTED_VALUE"""),"Provincial")</f>
        <v>Provincial</v>
      </c>
      <c r="T978" s="30" t="str">
        <f ca="1">IFERROR(__xludf.DUMMYFUNCTION("""COMPUTED_VALUE"""),"-")</f>
        <v>-</v>
      </c>
    </row>
    <row r="979" spans="1:20" ht="15.75" customHeight="1" x14ac:dyDescent="0.25">
      <c r="A979" s="30" t="str">
        <f ca="1">IFERROR(__xludf.DUMMYFUNCTION("""COMPUTED_VALUE"""),"50221402126485")</f>
        <v>50221402126485</v>
      </c>
      <c r="B979" s="30" t="str">
        <f ca="1">IFERROR(__xludf.DUMMYFUNCTION("""COMPUTED_VALUE"""),"CENTRO DE SALUD VILLA RIO NEGRO")</f>
        <v>CENTRO DE SALUD VILLA RIO NEGRO</v>
      </c>
      <c r="C979" s="30" t="str">
        <f ca="1">IFERROR(__xludf.DUMMYFUNCTION("""COMPUTED_VALUE"""),"Chaco")</f>
        <v>Chaco</v>
      </c>
      <c r="D979" s="30" t="str">
        <f ca="1">IFERROR(__xludf.DUMMYFUNCTION("""COMPUTED_VALUE"""),"22")</f>
        <v>22</v>
      </c>
      <c r="E979" s="30" t="str">
        <f ca="1">IFERROR(__xludf.DUMMYFUNCTION("""COMPUTED_VALUE"""),"")</f>
        <v/>
      </c>
      <c r="F979" s="29"/>
      <c r="G979" s="29"/>
      <c r="H979" s="30" t="str">
        <f ca="1">IFERROR(__xludf.DUMMYFUNCTION("""COMPUTED_VALUE"""),"activo")</f>
        <v>activo</v>
      </c>
      <c r="I979" s="29"/>
      <c r="J979" s="29"/>
      <c r="K979" s="29"/>
      <c r="L979" s="30" t="str">
        <f ca="1">IFERROR(__xludf.DUMMYFUNCTION("""COMPUTED_VALUE"""),"No")</f>
        <v>No</v>
      </c>
      <c r="M979" s="30" t="str">
        <f ca="1">IFERROR(__xludf.DUMMYFUNCTION("""COMPUTED_VALUE"""),"22140060000")</f>
        <v>22140060000</v>
      </c>
      <c r="N979" s="30" t="str">
        <f ca="1">IFERROR(__xludf.DUMMYFUNCTION("""COMPUTED_VALUE"""),"RESISTENCIA")</f>
        <v>RESISTENCIA</v>
      </c>
      <c r="O979" s="30" t="str">
        <f ca="1">IFERROR(__xludf.DUMMYFUNCTION("""COMPUTED_VALUE"""),"22140")</f>
        <v>22140</v>
      </c>
      <c r="P979" s="30" t="str">
        <f ca="1">IFERROR(__xludf.DUMMYFUNCTION("""COMPUTED_VALUE"""),"SAN FERNANDO")</f>
        <v>SAN FERNANDO</v>
      </c>
      <c r="Q979" s="30" t="str">
        <f ca="1">IFERROR(__xludf.DUMMYFUNCTION("""COMPUTED_VALUE"""),"-27.4337597")</f>
        <v>-27.4337597</v>
      </c>
      <c r="R979" s="30" t="str">
        <f ca="1">IFERROR(__xludf.DUMMYFUNCTION("""COMPUTED_VALUE"""),"-58.9822884")</f>
        <v>-58.9822884</v>
      </c>
      <c r="S979" s="30" t="str">
        <f ca="1">IFERROR(__xludf.DUMMYFUNCTION("""COMPUTED_VALUE"""),"Provincial")</f>
        <v>Provincial</v>
      </c>
      <c r="T979" s="30" t="str">
        <f ca="1">IFERROR(__xludf.DUMMYFUNCTION("""COMPUTED_VALUE"""),"-")</f>
        <v>-</v>
      </c>
    </row>
    <row r="980" spans="1:20" ht="15.75" customHeight="1" x14ac:dyDescent="0.25">
      <c r="A980" s="30" t="str">
        <f ca="1">IFERROR(__xludf.DUMMYFUNCTION("""COMPUTED_VALUE"""),"50221402126487")</f>
        <v>50221402126487</v>
      </c>
      <c r="B980" s="30" t="str">
        <f ca="1">IFERROR(__xludf.DUMMYFUNCTION("""COMPUTED_VALUE"""),"CENTRO DE SALUD VILLA URQUIZA")</f>
        <v>CENTRO DE SALUD VILLA URQUIZA</v>
      </c>
      <c r="C980" s="30" t="str">
        <f ca="1">IFERROR(__xludf.DUMMYFUNCTION("""COMPUTED_VALUE"""),"Chaco")</f>
        <v>Chaco</v>
      </c>
      <c r="D980" s="30" t="str">
        <f ca="1">IFERROR(__xludf.DUMMYFUNCTION("""COMPUTED_VALUE"""),"22")</f>
        <v>22</v>
      </c>
      <c r="E980" s="30" t="str">
        <f ca="1">IFERROR(__xludf.DUMMYFUNCTION("""COMPUTED_VALUE"""),"")</f>
        <v/>
      </c>
      <c r="F980" s="29"/>
      <c r="G980" s="29"/>
      <c r="H980" s="30" t="str">
        <f ca="1">IFERROR(__xludf.DUMMYFUNCTION("""COMPUTED_VALUE"""),"activo")</f>
        <v>activo</v>
      </c>
      <c r="I980" s="29"/>
      <c r="J980" s="29"/>
      <c r="K980" s="29"/>
      <c r="L980" s="30" t="str">
        <f ca="1">IFERROR(__xludf.DUMMYFUNCTION("""COMPUTED_VALUE"""),"No")</f>
        <v>No</v>
      </c>
      <c r="M980" s="30" t="str">
        <f ca="1">IFERROR(__xludf.DUMMYFUNCTION("""COMPUTED_VALUE"""),"22140060000")</f>
        <v>22140060000</v>
      </c>
      <c r="N980" s="30" t="str">
        <f ca="1">IFERROR(__xludf.DUMMYFUNCTION("""COMPUTED_VALUE"""),"RESISTENCIA")</f>
        <v>RESISTENCIA</v>
      </c>
      <c r="O980" s="30" t="str">
        <f ca="1">IFERROR(__xludf.DUMMYFUNCTION("""COMPUTED_VALUE"""),"22140")</f>
        <v>22140</v>
      </c>
      <c r="P980" s="30" t="str">
        <f ca="1">IFERROR(__xludf.DUMMYFUNCTION("""COMPUTED_VALUE"""),"SAN FERNANDO")</f>
        <v>SAN FERNANDO</v>
      </c>
      <c r="Q980" s="30" t="str">
        <f ca="1">IFERROR(__xludf.DUMMYFUNCTION("""COMPUTED_VALUE"""),"-27.47565567")</f>
        <v>-27.47565567</v>
      </c>
      <c r="R980" s="30" t="str">
        <f ca="1">IFERROR(__xludf.DUMMYFUNCTION("""COMPUTED_VALUE"""),"-58.98921132")</f>
        <v>-58.98921132</v>
      </c>
      <c r="S980" s="30" t="str">
        <f ca="1">IFERROR(__xludf.DUMMYFUNCTION("""COMPUTED_VALUE"""),"Provincial")</f>
        <v>Provincial</v>
      </c>
      <c r="T980" s="30" t="str">
        <f ca="1">IFERROR(__xludf.DUMMYFUNCTION("""COMPUTED_VALUE"""),"-")</f>
        <v>-</v>
      </c>
    </row>
    <row r="981" spans="1:20" ht="15.75" customHeight="1" x14ac:dyDescent="0.25">
      <c r="A981" s="30" t="str">
        <f ca="1">IFERROR(__xludf.DUMMYFUNCTION("""COMPUTED_VALUE"""),"50221402126517")</f>
        <v>50221402126517</v>
      </c>
      <c r="B981" s="30" t="str">
        <f ca="1">IFERROR(__xludf.DUMMYFUNCTION("""COMPUTED_VALUE"""),"CENTRO REGIONAL DE REFERENCIA VILLA LIBERTAD A. M. DE JUSTO")</f>
        <v>CENTRO REGIONAL DE REFERENCIA VILLA LIBERTAD A. M. DE JUSTO</v>
      </c>
      <c r="C981" s="30" t="str">
        <f ca="1">IFERROR(__xludf.DUMMYFUNCTION("""COMPUTED_VALUE"""),"Chaco")</f>
        <v>Chaco</v>
      </c>
      <c r="D981" s="30" t="str">
        <f ca="1">IFERROR(__xludf.DUMMYFUNCTION("""COMPUTED_VALUE"""),"22")</f>
        <v>22</v>
      </c>
      <c r="E981" s="30" t="str">
        <f ca="1">IFERROR(__xludf.DUMMYFUNCTION("""COMPUTED_VALUE"""),"")</f>
        <v/>
      </c>
      <c r="F981" s="29"/>
      <c r="G981" s="29"/>
      <c r="H981" s="30" t="str">
        <f ca="1">IFERROR(__xludf.DUMMYFUNCTION("""COMPUTED_VALUE"""),"activo")</f>
        <v>activo</v>
      </c>
      <c r="I981" s="29"/>
      <c r="J981" s="29"/>
      <c r="K981" s="29"/>
      <c r="L981" s="30" t="str">
        <f ca="1">IFERROR(__xludf.DUMMYFUNCTION("""COMPUTED_VALUE"""),"No")</f>
        <v>No</v>
      </c>
      <c r="M981" s="30" t="str">
        <f ca="1">IFERROR(__xludf.DUMMYFUNCTION("""COMPUTED_VALUE"""),"22140060000")</f>
        <v>22140060000</v>
      </c>
      <c r="N981" s="30" t="str">
        <f ca="1">IFERROR(__xludf.DUMMYFUNCTION("""COMPUTED_VALUE"""),"RESISTENCIA")</f>
        <v>RESISTENCIA</v>
      </c>
      <c r="O981" s="30" t="str">
        <f ca="1">IFERROR(__xludf.DUMMYFUNCTION("""COMPUTED_VALUE"""),"22140")</f>
        <v>22140</v>
      </c>
      <c r="P981" s="30" t="str">
        <f ca="1">IFERROR(__xludf.DUMMYFUNCTION("""COMPUTED_VALUE"""),"SAN FERNANDO")</f>
        <v>SAN FERNANDO</v>
      </c>
      <c r="Q981" s="30" t="str">
        <f ca="1">IFERROR(__xludf.DUMMYFUNCTION("""COMPUTED_VALUE"""),"-27.4710778")</f>
        <v>-27.4710778</v>
      </c>
      <c r="R981" s="30" t="str">
        <f ca="1">IFERROR(__xludf.DUMMYFUNCTION("""COMPUTED_VALUE"""),"-58.9944617")</f>
        <v>-58.9944617</v>
      </c>
      <c r="S981" s="30" t="str">
        <f ca="1">IFERROR(__xludf.DUMMYFUNCTION("""COMPUTED_VALUE"""),"Provincial")</f>
        <v>Provincial</v>
      </c>
      <c r="T981" s="30" t="str">
        <f ca="1">IFERROR(__xludf.DUMMYFUNCTION("""COMPUTED_VALUE"""),"-")</f>
        <v>-</v>
      </c>
    </row>
    <row r="982" spans="1:20" ht="15.75" customHeight="1" x14ac:dyDescent="0.25">
      <c r="A982" s="30" t="str">
        <f ca="1">IFERROR(__xludf.DUMMYFUNCTION("""COMPUTED_VALUE"""),"50221682126186")</f>
        <v>50221682126186</v>
      </c>
      <c r="B982" s="30" t="str">
        <f ca="1">IFERROR(__xludf.DUMMYFUNCTION("""COMPUTED_VALUE"""),"CENTRO DE SALUD COLONIA ABORIGEN")</f>
        <v>CENTRO DE SALUD COLONIA ABORIGEN</v>
      </c>
      <c r="C982" s="30" t="str">
        <f ca="1">IFERROR(__xludf.DUMMYFUNCTION("""COMPUTED_VALUE"""),"Chaco")</f>
        <v>Chaco</v>
      </c>
      <c r="D982" s="30" t="str">
        <f ca="1">IFERROR(__xludf.DUMMYFUNCTION("""COMPUTED_VALUE"""),"22")</f>
        <v>22</v>
      </c>
      <c r="E982" s="30" t="str">
        <f ca="1">IFERROR(__xludf.DUMMYFUNCTION("""COMPUTED_VALUE"""),"si")</f>
        <v>si</v>
      </c>
      <c r="F982" s="29"/>
      <c r="G982" s="29"/>
      <c r="H982" s="30" t="str">
        <f ca="1">IFERROR(__xludf.DUMMYFUNCTION("""COMPUTED_VALUE"""),"activo")</f>
        <v>activo</v>
      </c>
      <c r="I982" s="29"/>
      <c r="J982" s="29"/>
      <c r="K982" s="29"/>
      <c r="L982" s="30" t="str">
        <f ca="1">IFERROR(__xludf.DUMMYFUNCTION("""COMPUTED_VALUE"""),"No")</f>
        <v>No</v>
      </c>
      <c r="M982" s="30" t="str">
        <f ca="1">IFERROR(__xludf.DUMMYFUNCTION("""COMPUTED_VALUE"""),"22168010000")</f>
        <v>22168010000</v>
      </c>
      <c r="N982" s="30" t="str">
        <f ca="1">IFERROR(__xludf.DUMMYFUNCTION("""COMPUTED_VALUE"""),"COLONIA ABORIGEN")</f>
        <v>COLONIA ABORIGEN</v>
      </c>
      <c r="O982" s="30" t="str">
        <f ca="1">IFERROR(__xludf.DUMMYFUNCTION("""COMPUTED_VALUE"""),"22168")</f>
        <v>22168</v>
      </c>
      <c r="P982" s="30" t="str">
        <f ca="1">IFERROR(__xludf.DUMMYFUNCTION("""COMPUTED_VALUE"""),"25 DE MAYO")</f>
        <v>25 DE MAYO</v>
      </c>
      <c r="Q982" s="30" t="str">
        <f ca="1">IFERROR(__xludf.DUMMYFUNCTION("""COMPUTED_VALUE"""),"-26.97425037")</f>
        <v>-26.97425037</v>
      </c>
      <c r="R982" s="30" t="str">
        <f ca="1">IFERROR(__xludf.DUMMYFUNCTION("""COMPUTED_VALUE"""),"-60.15285015")</f>
        <v>-60.15285015</v>
      </c>
      <c r="S982" s="30" t="str">
        <f ca="1">IFERROR(__xludf.DUMMYFUNCTION("""COMPUTED_VALUE"""),"Provincial")</f>
        <v>Provincial</v>
      </c>
      <c r="T982" s="30" t="str">
        <f ca="1">IFERROR(__xludf.DUMMYFUNCTION("""COMPUTED_VALUE"""),"-")</f>
        <v>-</v>
      </c>
    </row>
    <row r="983" spans="1:20" ht="15.75" customHeight="1" x14ac:dyDescent="0.25">
      <c r="A983" s="30" t="str">
        <f ca="1">IFERROR(__xludf.DUMMYFUNCTION("""COMPUTED_VALUE"""),"10220842126029")</f>
        <v>10220842126029</v>
      </c>
      <c r="B983" s="30" t="str">
        <f ca="1">IFERROR(__xludf.DUMMYFUNCTION("""COMPUTED_VALUE"""),"HOSPITAL DANTE TARDELLI")</f>
        <v>HOSPITAL DANTE TARDELLI</v>
      </c>
      <c r="C983" s="30" t="str">
        <f ca="1">IFERROR(__xludf.DUMMYFUNCTION("""COMPUTED_VALUE"""),"Chaco")</f>
        <v>Chaco</v>
      </c>
      <c r="D983" s="30" t="str">
        <f ca="1">IFERROR(__xludf.DUMMYFUNCTION("""COMPUTED_VALUE"""),"22")</f>
        <v>22</v>
      </c>
      <c r="E983" s="30" t="str">
        <f ca="1">IFERROR(__xludf.DUMMYFUNCTION("""COMPUTED_VALUE"""),"si")</f>
        <v>si</v>
      </c>
      <c r="F983" s="29"/>
      <c r="G983" s="29"/>
      <c r="H983" s="30" t="str">
        <f ca="1">IFERROR(__xludf.DUMMYFUNCTION("""COMPUTED_VALUE"""),"activo")</f>
        <v>activo</v>
      </c>
      <c r="I983" s="30" t="str">
        <f ca="1">IFERROR(__xludf.DUMMYFUNCTION("""COMPUTED_VALUE"""),"circular 2: se pasan de los 50")</f>
        <v>circular 2: se pasan de los 50</v>
      </c>
      <c r="J983" s="29"/>
      <c r="K983" s="29"/>
      <c r="L983" s="30" t="str">
        <f ca="1">IFERROR(__xludf.DUMMYFUNCTION("""COMPUTED_VALUE"""),"No")</f>
        <v>No</v>
      </c>
      <c r="M983" s="30" t="str">
        <f ca="1">IFERROR(__xludf.DUMMYFUNCTION("""COMPUTED_VALUE"""),"22084060000")</f>
        <v>22084060000</v>
      </c>
      <c r="N983" s="30" t="str">
        <f ca="1">IFERROR(__xludf.DUMMYFUNCTION("""COMPUTED_VALUE"""),"PAMPA DEL INDIO")</f>
        <v>PAMPA DEL INDIO</v>
      </c>
      <c r="O983" s="30" t="str">
        <f ca="1">IFERROR(__xludf.DUMMYFUNCTION("""COMPUTED_VALUE"""),"2284")</f>
        <v>2284</v>
      </c>
      <c r="P983" s="30" t="str">
        <f ca="1">IFERROR(__xludf.DUMMYFUNCTION("""COMPUTED_VALUE"""),"LIBERTADOR GENERAL SAN MARTÍN")</f>
        <v>LIBERTADOR GENERAL SAN MARTÍN</v>
      </c>
      <c r="Q983" s="30" t="str">
        <f ca="1">IFERROR(__xludf.DUMMYFUNCTION("""COMPUTED_VALUE"""),"-26.05340942")</f>
        <v>-26.05340942</v>
      </c>
      <c r="R983" s="30" t="str">
        <f ca="1">IFERROR(__xludf.DUMMYFUNCTION("""COMPUTED_VALUE"""),"-59.94795084")</f>
        <v>-59.94795084</v>
      </c>
      <c r="S983" s="30" t="str">
        <f ca="1">IFERROR(__xludf.DUMMYFUNCTION("""COMPUTED_VALUE"""),"Provincial")</f>
        <v>Provincial</v>
      </c>
      <c r="T983" s="30" t="str">
        <f ca="1">IFERROR(__xludf.DUMMYFUNCTION("""COMPUTED_VALUE"""),"-")</f>
        <v>-</v>
      </c>
    </row>
    <row r="984" spans="1:20" ht="15.75" customHeight="1" x14ac:dyDescent="0.25">
      <c r="A984" s="30" t="str">
        <f ca="1">IFERROR(__xludf.DUMMYFUNCTION("""COMPUTED_VALUE"""),"50220842126164")</f>
        <v>50220842126164</v>
      </c>
      <c r="B984" s="30" t="str">
        <f ca="1">IFERROR(__xludf.DUMMYFUNCTION("""COMPUTED_VALUE"""),"CENTRO DE SALUD BARRIO TOBA LOS SILOS")</f>
        <v>CENTRO DE SALUD BARRIO TOBA LOS SILOS</v>
      </c>
      <c r="C984" s="30" t="str">
        <f ca="1">IFERROR(__xludf.DUMMYFUNCTION("""COMPUTED_VALUE"""),"Chaco")</f>
        <v>Chaco</v>
      </c>
      <c r="D984" s="30" t="str">
        <f ca="1">IFERROR(__xludf.DUMMYFUNCTION("""COMPUTED_VALUE"""),"22")</f>
        <v>22</v>
      </c>
      <c r="E984" s="30" t="str">
        <f ca="1">IFERROR(__xludf.DUMMYFUNCTION("""COMPUTED_VALUE"""),"si")</f>
        <v>si</v>
      </c>
      <c r="F984" s="29"/>
      <c r="G984" s="29"/>
      <c r="H984" s="30" t="str">
        <f ca="1">IFERROR(__xludf.DUMMYFUNCTION("""COMPUTED_VALUE"""),"inactivo")</f>
        <v>inactivo</v>
      </c>
      <c r="I984" s="30" t="str">
        <f ca="1">IFERROR(__xludf.DUMMYFUNCTION("""COMPUTED_VALUE"""),"circular 2: se pasan de los 50")</f>
        <v>circular 2: se pasan de los 50</v>
      </c>
      <c r="J984" s="29"/>
      <c r="K984" s="29"/>
      <c r="L984" s="30" t="str">
        <f ca="1">IFERROR(__xludf.DUMMYFUNCTION("""COMPUTED_VALUE"""),"No")</f>
        <v>No</v>
      </c>
      <c r="M984" s="30" t="str">
        <f ca="1">IFERROR(__xludf.DUMMYFUNCTION("""COMPUTED_VALUE"""),"22084020000")</f>
        <v>22084020000</v>
      </c>
      <c r="N984" s="30" t="str">
        <f ca="1">IFERROR(__xludf.DUMMYFUNCTION("""COMPUTED_VALUE"""),"GENERAL JOSE DE SAN MARTIN")</f>
        <v>GENERAL JOSE DE SAN MARTIN</v>
      </c>
      <c r="O984" s="30" t="str">
        <f ca="1">IFERROR(__xludf.DUMMYFUNCTION("""COMPUTED_VALUE"""),"2284")</f>
        <v>2284</v>
      </c>
      <c r="P984" s="30" t="str">
        <f ca="1">IFERROR(__xludf.DUMMYFUNCTION("""COMPUTED_VALUE"""),"LIBERTADOR GENERAL SAN MARTÍN")</f>
        <v>LIBERTADOR GENERAL SAN MARTÍN</v>
      </c>
      <c r="Q984" s="30" t="str">
        <f ca="1">IFERROR(__xludf.DUMMYFUNCTION("""COMPUTED_VALUE"""),"-26.5395479")</f>
        <v>-26.5395479</v>
      </c>
      <c r="R984" s="30" t="str">
        <f ca="1">IFERROR(__xludf.DUMMYFUNCTION("""COMPUTED_VALUE"""),"-59.33561325")</f>
        <v>-59.33561325</v>
      </c>
      <c r="S984" s="30" t="str">
        <f ca="1">IFERROR(__xludf.DUMMYFUNCTION("""COMPUTED_VALUE"""),"Provincial")</f>
        <v>Provincial</v>
      </c>
      <c r="T984" s="30" t="str">
        <f ca="1">IFERROR(__xludf.DUMMYFUNCTION("""COMPUTED_VALUE"""),"-")</f>
        <v>-</v>
      </c>
    </row>
    <row r="985" spans="1:20" ht="15.75" customHeight="1" x14ac:dyDescent="0.25">
      <c r="A985" s="30" t="str">
        <f ca="1">IFERROR(__xludf.DUMMYFUNCTION("""COMPUTED_VALUE"""),"10220632126035")</f>
        <v>10220632126035</v>
      </c>
      <c r="B985" s="30" t="str">
        <f ca="1">IFERROR(__xludf.DUMMYFUNCTION("""COMPUTED_VALUE"""),"HOSPITAL DR. ARTURO HUMBERTO ILLIA")</f>
        <v>HOSPITAL DR. ARTURO HUMBERTO ILLIA</v>
      </c>
      <c r="C985" s="30" t="str">
        <f ca="1">IFERROR(__xludf.DUMMYFUNCTION("""COMPUTED_VALUE"""),"Chaco")</f>
        <v>Chaco</v>
      </c>
      <c r="D985" s="30" t="str">
        <f ca="1">IFERROR(__xludf.DUMMYFUNCTION("""COMPUTED_VALUE"""),"22")</f>
        <v>22</v>
      </c>
      <c r="E985" s="30" t="str">
        <f ca="1">IFERROR(__xludf.DUMMYFUNCTION("""COMPUTED_VALUE"""),"si")</f>
        <v>si</v>
      </c>
      <c r="F985" s="29"/>
      <c r="G985" s="29"/>
      <c r="H985" s="30" t="str">
        <f ca="1">IFERROR(__xludf.DUMMYFUNCTION("""COMPUTED_VALUE"""),"inactivo")</f>
        <v>inactivo</v>
      </c>
      <c r="I985" s="30" t="str">
        <f ca="1">IFERROR(__xludf.DUMMYFUNCTION("""COMPUTED_VALUE"""),"circular 2: se pasan de los 50")</f>
        <v>circular 2: se pasan de los 50</v>
      </c>
      <c r="J985" s="29"/>
      <c r="K985" s="29"/>
      <c r="L985" s="30" t="str">
        <f ca="1">IFERROR(__xludf.DUMMYFUNCTION("""COMPUTED_VALUE"""),"No")</f>
        <v>No</v>
      </c>
      <c r="M985" s="30" t="str">
        <f ca="1">IFERROR(__xludf.DUMMYFUNCTION("""COMPUTED_VALUE"""),"22063030000")</f>
        <v>22063030000</v>
      </c>
      <c r="N985" s="30" t="str">
        <f ca="1">IFERROR(__xludf.DUMMYFUNCTION("""COMPUTED_VALUE"""),"EL SAUZALITO")</f>
        <v>EL SAUZALITO</v>
      </c>
      <c r="O985" s="30" t="str">
        <f ca="1">IFERROR(__xludf.DUMMYFUNCTION("""COMPUTED_VALUE"""),"2263")</f>
        <v>2263</v>
      </c>
      <c r="P985" s="30" t="str">
        <f ca="1">IFERROR(__xludf.DUMMYFUNCTION("""COMPUTED_VALUE"""),"GENERAL GÜEMES")</f>
        <v>GENERAL GÜEMES</v>
      </c>
      <c r="Q985" s="30" t="str">
        <f ca="1">IFERROR(__xludf.DUMMYFUNCTION("""COMPUTED_VALUE"""),"-26.87078409")</f>
        <v>-26.87078409</v>
      </c>
      <c r="R985" s="30" t="str">
        <f ca="1">IFERROR(__xludf.DUMMYFUNCTION("""COMPUTED_VALUE"""),"-60.21546364")</f>
        <v>-60.21546364</v>
      </c>
      <c r="S985" s="30" t="str">
        <f ca="1">IFERROR(__xludf.DUMMYFUNCTION("""COMPUTED_VALUE"""),"Provincial")</f>
        <v>Provincial</v>
      </c>
      <c r="T985" s="30" t="str">
        <f ca="1">IFERROR(__xludf.DUMMYFUNCTION("""COMPUTED_VALUE"""),"-")</f>
        <v>-</v>
      </c>
    </row>
    <row r="986" spans="1:20" ht="15.75" customHeight="1" x14ac:dyDescent="0.25">
      <c r="A986" s="30" t="str">
        <f ca="1">IFERROR(__xludf.DUMMYFUNCTION("""COMPUTED_VALUE"""),"10260912129034")</f>
        <v>10260912129034</v>
      </c>
      <c r="B986" s="30" t="str">
        <f ca="1">IFERROR(__xludf.DUMMYFUNCTION("""COMPUTED_VALUE"""),"HOSPITAL RURAL SARMIENTO")</f>
        <v>HOSPITAL RURAL SARMIENTO</v>
      </c>
      <c r="C986" s="30" t="str">
        <f ca="1">IFERROR(__xludf.DUMMYFUNCTION("""COMPUTED_VALUE"""),"Chubut")</f>
        <v>Chubut</v>
      </c>
      <c r="D986" s="30" t="str">
        <f ca="1">IFERROR(__xludf.DUMMYFUNCTION("""COMPUTED_VALUE"""),"26")</f>
        <v>26</v>
      </c>
      <c r="E986" s="30" t="str">
        <f ca="1">IFERROR(__xludf.DUMMYFUNCTION("""COMPUTED_VALUE"""),"")</f>
        <v/>
      </c>
      <c r="F986" s="29"/>
      <c r="G986" s="29"/>
      <c r="H986" s="30" t="str">
        <f ca="1">IFERROR(__xludf.DUMMYFUNCTION("""COMPUTED_VALUE"""),"activo")</f>
        <v>activo</v>
      </c>
      <c r="I986" s="29"/>
      <c r="J986" s="29"/>
      <c r="K986" s="29"/>
      <c r="L986" s="30" t="str">
        <f ca="1">IFERROR(__xludf.DUMMYFUNCTION("""COMPUTED_VALUE"""),"No")</f>
        <v>No</v>
      </c>
      <c r="M986" s="30" t="str">
        <f ca="1">IFERROR(__xludf.DUMMYFUNCTION("""COMPUTED_VALUE"""),"26091020000")</f>
        <v>26091020000</v>
      </c>
      <c r="N986" s="30" t="str">
        <f ca="1">IFERROR(__xludf.DUMMYFUNCTION("""COMPUTED_VALUE"""),"SARMIENTO")</f>
        <v>SARMIENTO</v>
      </c>
      <c r="O986" s="30" t="str">
        <f ca="1">IFERROR(__xludf.DUMMYFUNCTION("""COMPUTED_VALUE"""),"2691")</f>
        <v>2691</v>
      </c>
      <c r="P986" s="30" t="str">
        <f ca="1">IFERROR(__xludf.DUMMYFUNCTION("""COMPUTED_VALUE"""),"SARMIENTO")</f>
        <v>SARMIENTO</v>
      </c>
      <c r="Q986" s="30" t="str">
        <f ca="1">IFERROR(__xludf.DUMMYFUNCTION("""COMPUTED_VALUE"""),"-45.58238869")</f>
        <v>-45.58238869</v>
      </c>
      <c r="R986" s="30" t="str">
        <f ca="1">IFERROR(__xludf.DUMMYFUNCTION("""COMPUTED_VALUE"""),"-69.07126236")</f>
        <v>-69.07126236</v>
      </c>
      <c r="S986" s="30" t="str">
        <f ca="1">IFERROR(__xludf.DUMMYFUNCTION("""COMPUTED_VALUE"""),"Provincial")</f>
        <v>Provincial</v>
      </c>
      <c r="T986" s="30" t="str">
        <f ca="1">IFERROR(__xludf.DUMMYFUNCTION("""COMPUTED_VALUE"""),"-")</f>
        <v>-</v>
      </c>
    </row>
    <row r="987" spans="1:20" ht="15.75" customHeight="1" x14ac:dyDescent="0.25">
      <c r="A987" s="30" t="str">
        <f ca="1">IFERROR(__xludf.DUMMYFUNCTION("""COMPUTED_VALUE"""),"10260142129027")</f>
        <v>10260142129027</v>
      </c>
      <c r="B987" s="30" t="str">
        <f ca="1">IFERROR(__xludf.DUMMYFUNCTION("""COMPUTED_VALUE"""),"HOSPITAL RURAL LAGO PUELO")</f>
        <v>HOSPITAL RURAL LAGO PUELO</v>
      </c>
      <c r="C987" s="30" t="str">
        <f ca="1">IFERROR(__xludf.DUMMYFUNCTION("""COMPUTED_VALUE"""),"Chubut")</f>
        <v>Chubut</v>
      </c>
      <c r="D987" s="30" t="str">
        <f ca="1">IFERROR(__xludf.DUMMYFUNCTION("""COMPUTED_VALUE"""),"26")</f>
        <v>26</v>
      </c>
      <c r="E987" s="30" t="str">
        <f ca="1">IFERROR(__xludf.DUMMYFUNCTION("""COMPUTED_VALUE"""),"si")</f>
        <v>si</v>
      </c>
      <c r="F987" s="29"/>
      <c r="G987" s="29"/>
      <c r="H987" s="30" t="str">
        <f ca="1">IFERROR(__xludf.DUMMYFUNCTION("""COMPUTED_VALUE"""),"activo")</f>
        <v>activo</v>
      </c>
      <c r="I987" s="29"/>
      <c r="J987" s="29"/>
      <c r="K987" s="29"/>
      <c r="L987" s="30" t="str">
        <f ca="1">IFERROR(__xludf.DUMMYFUNCTION("""COMPUTED_VALUE"""),"No")</f>
        <v>No</v>
      </c>
      <c r="M987" s="30" t="str">
        <f ca="1">IFERROR(__xludf.DUMMYFUNCTION("""COMPUTED_VALUE"""),"26014090000")</f>
        <v>26014090000</v>
      </c>
      <c r="N987" s="30" t="str">
        <f ca="1">IFERROR(__xludf.DUMMYFUNCTION("""COMPUTED_VALUE"""),"LAGO PUELO")</f>
        <v>LAGO PUELO</v>
      </c>
      <c r="O987" s="30" t="str">
        <f ca="1">IFERROR(__xludf.DUMMYFUNCTION("""COMPUTED_VALUE"""),"2614")</f>
        <v>2614</v>
      </c>
      <c r="P987" s="30" t="str">
        <f ca="1">IFERROR(__xludf.DUMMYFUNCTION("""COMPUTED_VALUE"""),"CUSHAMEN")</f>
        <v>CUSHAMEN</v>
      </c>
      <c r="Q987" s="30" t="str">
        <f ca="1">IFERROR(__xludf.DUMMYFUNCTION("""COMPUTED_VALUE"""),"-42.0661165")</f>
        <v>-42.0661165</v>
      </c>
      <c r="R987" s="30" t="str">
        <f ca="1">IFERROR(__xludf.DUMMYFUNCTION("""COMPUTED_VALUE"""),"-71.58041381")</f>
        <v>-71.58041381</v>
      </c>
      <c r="S987" s="30" t="str">
        <f ca="1">IFERROR(__xludf.DUMMYFUNCTION("""COMPUTED_VALUE"""),"Provincial")</f>
        <v>Provincial</v>
      </c>
      <c r="T987" s="30" t="str">
        <f ca="1">IFERROR(__xludf.DUMMYFUNCTION("""COMPUTED_VALUE"""),"-")</f>
        <v>-</v>
      </c>
    </row>
    <row r="988" spans="1:20" ht="15.75" customHeight="1" x14ac:dyDescent="0.25">
      <c r="A988" s="30" t="str">
        <f ca="1">IFERROR(__xludf.DUMMYFUNCTION("""COMPUTED_VALUE"""),"10260422129022")</f>
        <v>10260422129022</v>
      </c>
      <c r="B988" s="30" t="str">
        <f ca="1">IFERROR(__xludf.DUMMYFUNCTION("""COMPUTED_VALUE"""),"HOSPITAL RURAL GAIMAN")</f>
        <v>HOSPITAL RURAL GAIMAN</v>
      </c>
      <c r="C988" s="30" t="str">
        <f ca="1">IFERROR(__xludf.DUMMYFUNCTION("""COMPUTED_VALUE"""),"Chubut")</f>
        <v>Chubut</v>
      </c>
      <c r="D988" s="30" t="str">
        <f ca="1">IFERROR(__xludf.DUMMYFUNCTION("""COMPUTED_VALUE"""),"26")</f>
        <v>26</v>
      </c>
      <c r="E988" s="30" t="str">
        <f ca="1">IFERROR(__xludf.DUMMYFUNCTION("""COMPUTED_VALUE"""),"si")</f>
        <v>si</v>
      </c>
      <c r="F988" s="29"/>
      <c r="G988" s="29"/>
      <c r="H988" s="30" t="str">
        <f ca="1">IFERROR(__xludf.DUMMYFUNCTION("""COMPUTED_VALUE"""),"activo")</f>
        <v>activo</v>
      </c>
      <c r="I988" s="29"/>
      <c r="J988" s="29"/>
      <c r="K988" s="29"/>
      <c r="L988" s="30" t="str">
        <f ca="1">IFERROR(__xludf.DUMMYFUNCTION("""COMPUTED_VALUE"""),"No")</f>
        <v>No</v>
      </c>
      <c r="M988" s="30" t="str">
        <f ca="1">IFERROR(__xludf.DUMMYFUNCTION("""COMPUTED_VALUE"""),"26042030000")</f>
        <v>26042030000</v>
      </c>
      <c r="N988" s="30" t="str">
        <f ca="1">IFERROR(__xludf.DUMMYFUNCTION("""COMPUTED_VALUE"""),"GAIMAN")</f>
        <v>GAIMAN</v>
      </c>
      <c r="O988" s="30" t="str">
        <f ca="1">IFERROR(__xludf.DUMMYFUNCTION("""COMPUTED_VALUE"""),"2642")</f>
        <v>2642</v>
      </c>
      <c r="P988" s="30" t="str">
        <f ca="1">IFERROR(__xludf.DUMMYFUNCTION("""COMPUTED_VALUE"""),"GAIMAN")</f>
        <v>GAIMAN</v>
      </c>
      <c r="Q988" s="30" t="str">
        <f ca="1">IFERROR(__xludf.DUMMYFUNCTION("""COMPUTED_VALUE"""),"-43.28980642")</f>
        <v>-43.28980642</v>
      </c>
      <c r="R988" s="30" t="str">
        <f ca="1">IFERROR(__xludf.DUMMYFUNCTION("""COMPUTED_VALUE"""),"-65.49364901")</f>
        <v>-65.49364901</v>
      </c>
      <c r="S988" s="30" t="str">
        <f ca="1">IFERROR(__xludf.DUMMYFUNCTION("""COMPUTED_VALUE"""),"Provincial")</f>
        <v>Provincial</v>
      </c>
      <c r="T988" s="30" t="str">
        <f ca="1">IFERROR(__xludf.DUMMYFUNCTION("""COMPUTED_VALUE"""),"-")</f>
        <v>-</v>
      </c>
    </row>
    <row r="989" spans="1:20" ht="15.75" customHeight="1" x14ac:dyDescent="0.25">
      <c r="A989" s="30" t="str">
        <f ca="1">IFERROR(__xludf.DUMMYFUNCTION("""COMPUTED_VALUE"""),"10260352129037")</f>
        <v>10260352129037</v>
      </c>
      <c r="B989" s="30" t="str">
        <f ca="1">IFERROR(__xludf.DUMMYFUNCTION("""COMPUTED_VALUE"""),"HOSPITAL RURAL TREVELIN")</f>
        <v>HOSPITAL RURAL TREVELIN</v>
      </c>
      <c r="C989" s="30" t="str">
        <f ca="1">IFERROR(__xludf.DUMMYFUNCTION("""COMPUTED_VALUE"""),"Chubut")</f>
        <v>Chubut</v>
      </c>
      <c r="D989" s="30" t="str">
        <f ca="1">IFERROR(__xludf.DUMMYFUNCTION("""COMPUTED_VALUE"""),"26")</f>
        <v>26</v>
      </c>
      <c r="E989" s="30" t="str">
        <f ca="1">IFERROR(__xludf.DUMMYFUNCTION("""COMPUTED_VALUE"""),"")</f>
        <v/>
      </c>
      <c r="F989" s="29"/>
      <c r="G989" s="30" t="str">
        <f ca="1">IFERROR(__xludf.DUMMYFUNCTION("""COMPUTED_VALUE"""),"10261052129023")</f>
        <v>10261052129023</v>
      </c>
      <c r="H989" s="30" t="str">
        <f ca="1">IFERROR(__xludf.DUMMYFUNCTION("""COMPUTED_VALUE"""),"inactivo")</f>
        <v>inactivo</v>
      </c>
      <c r="I989" s="29"/>
      <c r="J989" s="29"/>
      <c r="K989" s="29"/>
      <c r="L989" s="30" t="str">
        <f ca="1">IFERROR(__xludf.DUMMYFUNCTION("""COMPUTED_VALUE"""),"No")</f>
        <v>No</v>
      </c>
      <c r="M989" s="30" t="str">
        <f ca="1">IFERROR(__xludf.DUMMYFUNCTION("""COMPUTED_VALUE"""),"26035060000")</f>
        <v>26035060000</v>
      </c>
      <c r="N989" s="30" t="str">
        <f ca="1">IFERROR(__xludf.DUMMYFUNCTION("""COMPUTED_VALUE"""),"TREVELIN")</f>
        <v>TREVELIN</v>
      </c>
      <c r="O989" s="30" t="str">
        <f ca="1">IFERROR(__xludf.DUMMYFUNCTION("""COMPUTED_VALUE"""),"2635")</f>
        <v>2635</v>
      </c>
      <c r="P989" s="30" t="str">
        <f ca="1">IFERROR(__xludf.DUMMYFUNCTION("""COMPUTED_VALUE"""),"FUTALEUFÚ")</f>
        <v>FUTALEUFÚ</v>
      </c>
      <c r="Q989" s="30" t="str">
        <f ca="1">IFERROR(__xludf.DUMMYFUNCTION("""COMPUTED_VALUE"""),"-43.07743139")</f>
        <v>-43.07743139</v>
      </c>
      <c r="R989" s="30" t="str">
        <f ca="1">IFERROR(__xludf.DUMMYFUNCTION("""COMPUTED_VALUE"""),"-71.46456528")</f>
        <v>-71.46456528</v>
      </c>
      <c r="S989" s="30" t="str">
        <f ca="1">IFERROR(__xludf.DUMMYFUNCTION("""COMPUTED_VALUE"""),"Provincial")</f>
        <v>Provincial</v>
      </c>
      <c r="T989" s="30" t="str">
        <f ca="1">IFERROR(__xludf.DUMMYFUNCTION("""COMPUTED_VALUE"""),"-")</f>
        <v>-</v>
      </c>
    </row>
    <row r="990" spans="1:20" ht="15.75" customHeight="1" x14ac:dyDescent="0.25">
      <c r="A990" s="30" t="str">
        <f ca="1">IFERROR(__xludf.DUMMYFUNCTION("""COMPUTED_VALUE"""),"10261052129023")</f>
        <v>10261052129023</v>
      </c>
      <c r="B990" s="30" t="str">
        <f ca="1">IFERROR(__xludf.DUMMYFUNCTION("""COMPUTED_VALUE"""),"HOSPITAL RURAL GAN GAN")</f>
        <v>HOSPITAL RURAL GAN GAN</v>
      </c>
      <c r="C990" s="30" t="str">
        <f ca="1">IFERROR(__xludf.DUMMYFUNCTION("""COMPUTED_VALUE"""),"Chubut")</f>
        <v>Chubut</v>
      </c>
      <c r="D990" s="30" t="str">
        <f ca="1">IFERROR(__xludf.DUMMYFUNCTION("""COMPUTED_VALUE"""),"26")</f>
        <v>26</v>
      </c>
      <c r="E990" s="30" t="str">
        <f ca="1">IFERROR(__xludf.DUMMYFUNCTION("""COMPUTED_VALUE"""),"")</f>
        <v/>
      </c>
      <c r="F990" s="30" t="str">
        <f ca="1">IFERROR(__xludf.DUMMYFUNCTION("""COMPUTED_VALUE"""),"10260352129037")</f>
        <v>10260352129037</v>
      </c>
      <c r="G990" s="29"/>
      <c r="H990" s="30" t="str">
        <f ca="1">IFERROR(__xludf.DUMMYFUNCTION("""COMPUTED_VALUE"""),"activo")</f>
        <v>activo</v>
      </c>
      <c r="I990" s="29"/>
      <c r="J990" s="29"/>
      <c r="K990" s="29"/>
      <c r="L990" s="30" t="str">
        <f ca="1">IFERROR(__xludf.DUMMYFUNCTION("""COMPUTED_VALUE"""),"No")</f>
        <v>No</v>
      </c>
      <c r="M990" s="30" t="str">
        <f ca="1">IFERROR(__xludf.DUMMYFUNCTION("""COMPUTED_VALUE"""),"26105010000")</f>
        <v>26105010000</v>
      </c>
      <c r="N990" s="30" t="str">
        <f ca="1">IFERROR(__xludf.DUMMYFUNCTION("""COMPUTED_VALUE"""),"GAN GAN")</f>
        <v>GAN GAN</v>
      </c>
      <c r="O990" s="30" t="str">
        <f ca="1">IFERROR(__xludf.DUMMYFUNCTION("""COMPUTED_VALUE"""),"26105")</f>
        <v>26105</v>
      </c>
      <c r="P990" s="30" t="str">
        <f ca="1">IFERROR(__xludf.DUMMYFUNCTION("""COMPUTED_VALUE"""),"TELSEN")</f>
        <v>TELSEN</v>
      </c>
      <c r="Q990" s="30" t="str">
        <f ca="1">IFERROR(__xludf.DUMMYFUNCTION("""COMPUTED_VALUE"""),"-42.5222225")</f>
        <v>-42.5222225</v>
      </c>
      <c r="R990" s="30" t="str">
        <f ca="1">IFERROR(__xludf.DUMMYFUNCTION("""COMPUTED_VALUE"""),"-68.28357553")</f>
        <v>-68.28357553</v>
      </c>
      <c r="S990" s="30" t="str">
        <f ca="1">IFERROR(__xludf.DUMMYFUNCTION("""COMPUTED_VALUE"""),"Provincial")</f>
        <v>Provincial</v>
      </c>
      <c r="T990" s="30" t="str">
        <f ca="1">IFERROR(__xludf.DUMMYFUNCTION("""COMPUTED_VALUE"""),"-")</f>
        <v>-</v>
      </c>
    </row>
    <row r="991" spans="1:20" ht="15.75" customHeight="1" x14ac:dyDescent="0.25">
      <c r="A991" s="30" t="str">
        <f ca="1">IFERROR(__xludf.DUMMYFUNCTION("""COMPUTED_VALUE"""),"50260072129133")</f>
        <v>50260072129133</v>
      </c>
      <c r="B991" s="30" t="str">
        <f ca="1">IFERROR(__xludf.DUMMYFUNCTION("""COMPUTED_VALUE"""),"CENTRO DE SALUD RENE FAVALORO PUERTO MADRYN")</f>
        <v>CENTRO DE SALUD RENE FAVALORO PUERTO MADRYN</v>
      </c>
      <c r="C991" s="30" t="str">
        <f ca="1">IFERROR(__xludf.DUMMYFUNCTION("""COMPUTED_VALUE"""),"Chubut")</f>
        <v>Chubut</v>
      </c>
      <c r="D991" s="30" t="str">
        <f ca="1">IFERROR(__xludf.DUMMYFUNCTION("""COMPUTED_VALUE"""),"26")</f>
        <v>26</v>
      </c>
      <c r="E991" s="30" t="str">
        <f ca="1">IFERROR(__xludf.DUMMYFUNCTION("""COMPUTED_VALUE"""),"si")</f>
        <v>si</v>
      </c>
      <c r="F991" s="29"/>
      <c r="G991" s="29"/>
      <c r="H991" s="30" t="str">
        <f ca="1">IFERROR(__xludf.DUMMYFUNCTION("""COMPUTED_VALUE"""),"activo")</f>
        <v>activo</v>
      </c>
      <c r="I991" s="29"/>
      <c r="J991" s="29"/>
      <c r="K991" s="29"/>
      <c r="L991" s="30" t="str">
        <f ca="1">IFERROR(__xludf.DUMMYFUNCTION("""COMPUTED_VALUE"""),"No")</f>
        <v>No</v>
      </c>
      <c r="M991" s="30" t="str">
        <f ca="1">IFERROR(__xludf.DUMMYFUNCTION("""COMPUTED_VALUE"""),"26007020000")</f>
        <v>26007020000</v>
      </c>
      <c r="N991" s="30" t="str">
        <f ca="1">IFERROR(__xludf.DUMMYFUNCTION("""COMPUTED_VALUE"""),"PUERTO MADRYN")</f>
        <v>PUERTO MADRYN</v>
      </c>
      <c r="O991" s="30" t="str">
        <f ca="1">IFERROR(__xludf.DUMMYFUNCTION("""COMPUTED_VALUE"""),"267")</f>
        <v>267</v>
      </c>
      <c r="P991" s="30" t="str">
        <f ca="1">IFERROR(__xludf.DUMMYFUNCTION("""COMPUTED_VALUE"""),"BIEDMA")</f>
        <v>BIEDMA</v>
      </c>
      <c r="Q991" s="30" t="str">
        <f ca="1">IFERROR(__xludf.DUMMYFUNCTION("""COMPUTED_VALUE"""),"-42.7586402")</f>
        <v>-42.7586402</v>
      </c>
      <c r="R991" s="30" t="str">
        <f ca="1">IFERROR(__xludf.DUMMYFUNCTION("""COMPUTED_VALUE"""),"-65.06097078")</f>
        <v>-65.06097078</v>
      </c>
      <c r="S991" s="30" t="str">
        <f ca="1">IFERROR(__xludf.DUMMYFUNCTION("""COMPUTED_VALUE"""),"Provincial")</f>
        <v>Provincial</v>
      </c>
      <c r="T991" s="30" t="str">
        <f ca="1">IFERROR(__xludf.DUMMYFUNCTION("""COMPUTED_VALUE"""),"-")</f>
        <v>-</v>
      </c>
    </row>
    <row r="992" spans="1:20" ht="15.75" customHeight="1" x14ac:dyDescent="0.25">
      <c r="A992" s="30" t="str">
        <f ca="1">IFERROR(__xludf.DUMMYFUNCTION("""COMPUTED_VALUE"""),"10260142129014")</f>
        <v>10260142129014</v>
      </c>
      <c r="B992" s="30" t="str">
        <f ca="1">IFERROR(__xludf.DUMMYFUNCTION("""COMPUTED_VALUE"""),"HOSPITAL RURAL CHOLILA")</f>
        <v>HOSPITAL RURAL CHOLILA</v>
      </c>
      <c r="C992" s="30" t="str">
        <f ca="1">IFERROR(__xludf.DUMMYFUNCTION("""COMPUTED_VALUE"""),"Chubut")</f>
        <v>Chubut</v>
      </c>
      <c r="D992" s="30" t="str">
        <f ca="1">IFERROR(__xludf.DUMMYFUNCTION("""COMPUTED_VALUE"""),"26")</f>
        <v>26</v>
      </c>
      <c r="E992" s="30" t="str">
        <f ca="1">IFERROR(__xludf.DUMMYFUNCTION("""COMPUTED_VALUE"""),"")</f>
        <v/>
      </c>
      <c r="F992" s="29"/>
      <c r="G992" s="29"/>
      <c r="H992" s="30" t="str">
        <f ca="1">IFERROR(__xludf.DUMMYFUNCTION("""COMPUTED_VALUE"""),"activo")</f>
        <v>activo</v>
      </c>
      <c r="I992" s="29"/>
      <c r="J992" s="29"/>
      <c r="K992" s="29"/>
      <c r="L992" s="30" t="str">
        <f ca="1">IFERROR(__xludf.DUMMYFUNCTION("""COMPUTED_VALUE"""),"No")</f>
        <v>No</v>
      </c>
      <c r="M992" s="30" t="str">
        <f ca="1">IFERROR(__xludf.DUMMYFUNCTION("""COMPUTED_VALUE"""),"26014020000")</f>
        <v>26014020000</v>
      </c>
      <c r="N992" s="30" t="str">
        <f ca="1">IFERROR(__xludf.DUMMYFUNCTION("""COMPUTED_VALUE"""),"CHOLILA")</f>
        <v>CHOLILA</v>
      </c>
      <c r="O992" s="30" t="str">
        <f ca="1">IFERROR(__xludf.DUMMYFUNCTION("""COMPUTED_VALUE"""),"2614")</f>
        <v>2614</v>
      </c>
      <c r="P992" s="30" t="str">
        <f ca="1">IFERROR(__xludf.DUMMYFUNCTION("""COMPUTED_VALUE"""),"CUSHAMEN")</f>
        <v>CUSHAMEN</v>
      </c>
      <c r="Q992" s="30" t="str">
        <f ca="1">IFERROR(__xludf.DUMMYFUNCTION("""COMPUTED_VALUE"""),"-42.51190998")</f>
        <v>-42.51190998</v>
      </c>
      <c r="R992" s="30" t="str">
        <f ca="1">IFERROR(__xludf.DUMMYFUNCTION("""COMPUTED_VALUE"""),"-71.44732189")</f>
        <v>-71.44732189</v>
      </c>
      <c r="S992" s="30" t="str">
        <f ca="1">IFERROR(__xludf.DUMMYFUNCTION("""COMPUTED_VALUE"""),"Provincial")</f>
        <v>Provincial</v>
      </c>
      <c r="T992" s="30" t="str">
        <f ca="1">IFERROR(__xludf.DUMMYFUNCTION("""COMPUTED_VALUE"""),"-")</f>
        <v>-</v>
      </c>
    </row>
    <row r="993" spans="1:20" ht="15.75" customHeight="1" x14ac:dyDescent="0.25">
      <c r="A993" s="30" t="str">
        <f ca="1">IFERROR(__xludf.DUMMYFUNCTION("""COMPUTED_VALUE"""),"10260842129032")</f>
        <v>10260842129032</v>
      </c>
      <c r="B993" s="30" t="str">
        <f ca="1">IFERROR(__xludf.DUMMYFUNCTION("""COMPUTED_VALUE"""),"HOSPITAL RURAL RIO MAYO")</f>
        <v>HOSPITAL RURAL RIO MAYO</v>
      </c>
      <c r="C993" s="30" t="str">
        <f ca="1">IFERROR(__xludf.DUMMYFUNCTION("""COMPUTED_VALUE"""),"Chubut")</f>
        <v>Chubut</v>
      </c>
      <c r="D993" s="30" t="str">
        <f ca="1">IFERROR(__xludf.DUMMYFUNCTION("""COMPUTED_VALUE"""),"26")</f>
        <v>26</v>
      </c>
      <c r="E993" s="30" t="str">
        <f ca="1">IFERROR(__xludf.DUMMYFUNCTION("""COMPUTED_VALUE"""),"")</f>
        <v/>
      </c>
      <c r="F993" s="29"/>
      <c r="G993" s="29"/>
      <c r="H993" s="30" t="str">
        <f ca="1">IFERROR(__xludf.DUMMYFUNCTION("""COMPUTED_VALUE"""),"activo")</f>
        <v>activo</v>
      </c>
      <c r="I993" s="29"/>
      <c r="J993" s="29"/>
      <c r="K993" s="29"/>
      <c r="L993" s="30" t="str">
        <f ca="1">IFERROR(__xludf.DUMMYFUNCTION("""COMPUTED_VALUE"""),"No")</f>
        <v>No</v>
      </c>
      <c r="M993" s="30" t="str">
        <f ca="1">IFERROR(__xludf.DUMMYFUNCTION("""COMPUTED_VALUE"""),"26084070000")</f>
        <v>26084070000</v>
      </c>
      <c r="N993" s="30" t="str">
        <f ca="1">IFERROR(__xludf.DUMMYFUNCTION("""COMPUTED_VALUE"""),"RIO MAYO")</f>
        <v>RIO MAYO</v>
      </c>
      <c r="O993" s="30" t="str">
        <f ca="1">IFERROR(__xludf.DUMMYFUNCTION("""COMPUTED_VALUE"""),"2684")</f>
        <v>2684</v>
      </c>
      <c r="P993" s="30" t="str">
        <f ca="1">IFERROR(__xludf.DUMMYFUNCTION("""COMPUTED_VALUE"""),"RÍO SENGUER")</f>
        <v>RÍO SENGUER</v>
      </c>
      <c r="Q993" s="30" t="str">
        <f ca="1">IFERROR(__xludf.DUMMYFUNCTION("""COMPUTED_VALUE"""),"-45.6874347")</f>
        <v>-45.6874347</v>
      </c>
      <c r="R993" s="30" t="str">
        <f ca="1">IFERROR(__xludf.DUMMYFUNCTION("""COMPUTED_VALUE"""),"-70.260136")</f>
        <v>-70.260136</v>
      </c>
      <c r="S993" s="30" t="str">
        <f ca="1">IFERROR(__xludf.DUMMYFUNCTION("""COMPUTED_VALUE"""),"Provincial")</f>
        <v>Provincial</v>
      </c>
      <c r="T993" s="30" t="str">
        <f ca="1">IFERROR(__xludf.DUMMYFUNCTION("""COMPUTED_VALUE"""),"-")</f>
        <v>-</v>
      </c>
    </row>
    <row r="994" spans="1:20" ht="15.75" customHeight="1" x14ac:dyDescent="0.25">
      <c r="A994" s="30" t="str">
        <f ca="1">IFERROR(__xludf.DUMMYFUNCTION("""COMPUTED_VALUE"""),"10260142129039")</f>
        <v>10260142129039</v>
      </c>
      <c r="B994" s="30" t="str">
        <f ca="1">IFERROR(__xludf.DUMMYFUNCTION("""COMPUTED_VALUE"""),"HOSPITAL SUBZONAL EL MAITEN")</f>
        <v>HOSPITAL SUBZONAL EL MAITEN</v>
      </c>
      <c r="C994" s="30" t="str">
        <f ca="1">IFERROR(__xludf.DUMMYFUNCTION("""COMPUTED_VALUE"""),"Chubut")</f>
        <v>Chubut</v>
      </c>
      <c r="D994" s="30" t="str">
        <f ca="1">IFERROR(__xludf.DUMMYFUNCTION("""COMPUTED_VALUE"""),"26")</f>
        <v>26</v>
      </c>
      <c r="E994" s="30" t="str">
        <f ca="1">IFERROR(__xludf.DUMMYFUNCTION("""COMPUTED_VALUE"""),"si")</f>
        <v>si</v>
      </c>
      <c r="F994" s="29"/>
      <c r="G994" s="29"/>
      <c r="H994" s="30" t="str">
        <f ca="1">IFERROR(__xludf.DUMMYFUNCTION("""COMPUTED_VALUE"""),"activo")</f>
        <v>activo</v>
      </c>
      <c r="I994" s="29"/>
      <c r="J994" s="29"/>
      <c r="K994" s="29"/>
      <c r="L994" s="30" t="str">
        <f ca="1">IFERROR(__xludf.DUMMYFUNCTION("""COMPUTED_VALUE"""),"No")</f>
        <v>No</v>
      </c>
      <c r="M994" s="30" t="str">
        <f ca="1">IFERROR(__xludf.DUMMYFUNCTION("""COMPUTED_VALUE"""),"26014050000")</f>
        <v>26014050000</v>
      </c>
      <c r="N994" s="30" t="str">
        <f ca="1">IFERROR(__xludf.DUMMYFUNCTION("""COMPUTED_VALUE"""),"EL MAITEN")</f>
        <v>EL MAITEN</v>
      </c>
      <c r="O994" s="30" t="str">
        <f ca="1">IFERROR(__xludf.DUMMYFUNCTION("""COMPUTED_VALUE"""),"2614")</f>
        <v>2614</v>
      </c>
      <c r="P994" s="30" t="str">
        <f ca="1">IFERROR(__xludf.DUMMYFUNCTION("""COMPUTED_VALUE"""),"CUSHAMEN")</f>
        <v>CUSHAMEN</v>
      </c>
      <c r="Q994" s="30" t="str">
        <f ca="1">IFERROR(__xludf.DUMMYFUNCTION("""COMPUTED_VALUE"""),"-42.74701217")</f>
        <v>-42.74701217</v>
      </c>
      <c r="R994" s="30" t="str">
        <f ca="1">IFERROR(__xludf.DUMMYFUNCTION("""COMPUTED_VALUE"""),"-71.10351563")</f>
        <v>-71.10351563</v>
      </c>
      <c r="S994" s="30" t="str">
        <f ca="1">IFERROR(__xludf.DUMMYFUNCTION("""COMPUTED_VALUE"""),"Provincial")</f>
        <v>Provincial</v>
      </c>
      <c r="T994" s="30" t="str">
        <f ca="1">IFERROR(__xludf.DUMMYFUNCTION("""COMPUTED_VALUE"""),"-")</f>
        <v>-</v>
      </c>
    </row>
    <row r="995" spans="1:20" ht="15.75" customHeight="1" x14ac:dyDescent="0.25">
      <c r="A995" s="30" t="str">
        <f ca="1">IFERROR(__xludf.DUMMYFUNCTION("""COMPUTED_VALUE"""),"50260772129131")</f>
        <v>50260772129131</v>
      </c>
      <c r="B995" s="30" t="str">
        <f ca="1">IFERROR(__xludf.DUMMYFUNCTION("""COMPUTED_VALUE"""),"CENTRO DE SALUD RAMON CARRILLO - TRELEW")</f>
        <v>CENTRO DE SALUD RAMON CARRILLO - TRELEW</v>
      </c>
      <c r="C995" s="30" t="str">
        <f ca="1">IFERROR(__xludf.DUMMYFUNCTION("""COMPUTED_VALUE"""),"Chubut")</f>
        <v>Chubut</v>
      </c>
      <c r="D995" s="30" t="str">
        <f ca="1">IFERROR(__xludf.DUMMYFUNCTION("""COMPUTED_VALUE"""),"26")</f>
        <v>26</v>
      </c>
      <c r="E995" s="30" t="str">
        <f ca="1">IFERROR(__xludf.DUMMYFUNCTION("""COMPUTED_VALUE"""),"")</f>
        <v/>
      </c>
      <c r="F995" s="29"/>
      <c r="G995" s="29"/>
      <c r="H995" s="30" t="str">
        <f ca="1">IFERROR(__xludf.DUMMYFUNCTION("""COMPUTED_VALUE"""),"activo")</f>
        <v>activo</v>
      </c>
      <c r="I995" s="29"/>
      <c r="J995" s="29"/>
      <c r="K995" s="29"/>
      <c r="L995" s="30" t="str">
        <f ca="1">IFERROR(__xludf.DUMMYFUNCTION("""COMPUTED_VALUE"""),"No")</f>
        <v>No</v>
      </c>
      <c r="M995" s="30" t="str">
        <f ca="1">IFERROR(__xludf.DUMMYFUNCTION("""COMPUTED_VALUE"""),"26077040000")</f>
        <v>26077040000</v>
      </c>
      <c r="N995" s="30" t="str">
        <f ca="1">IFERROR(__xludf.DUMMYFUNCTION("""COMPUTED_VALUE"""),"TRELEW")</f>
        <v>TRELEW</v>
      </c>
      <c r="O995" s="30" t="str">
        <f ca="1">IFERROR(__xludf.DUMMYFUNCTION("""COMPUTED_VALUE"""),"2677")</f>
        <v>2677</v>
      </c>
      <c r="P995" s="30" t="str">
        <f ca="1">IFERROR(__xludf.DUMMYFUNCTION("""COMPUTED_VALUE"""),"RAWSON")</f>
        <v>RAWSON</v>
      </c>
      <c r="Q995" s="30" t="str">
        <f ca="1">IFERROR(__xludf.DUMMYFUNCTION("""COMPUTED_VALUE"""),"-43.2677849")</f>
        <v>-43.2677849</v>
      </c>
      <c r="R995" s="30" t="str">
        <f ca="1">IFERROR(__xludf.DUMMYFUNCTION("""COMPUTED_VALUE"""),"-65.3508879")</f>
        <v>-65.3508879</v>
      </c>
      <c r="S995" s="30" t="str">
        <f ca="1">IFERROR(__xludf.DUMMYFUNCTION("""COMPUTED_VALUE"""),"Provincial")</f>
        <v>Provincial</v>
      </c>
      <c r="T995" s="30" t="str">
        <f ca="1">IFERROR(__xludf.DUMMYFUNCTION("""COMPUTED_VALUE"""),"-")</f>
        <v>-</v>
      </c>
    </row>
    <row r="996" spans="1:20" ht="15.75" customHeight="1" x14ac:dyDescent="0.25">
      <c r="A996" s="30" t="str">
        <f ca="1">IFERROR(__xludf.DUMMYFUNCTION("""COMPUTED_VALUE"""),"10260142129020")</f>
        <v>10260142129020</v>
      </c>
      <c r="B996" s="30" t="str">
        <f ca="1">IFERROR(__xludf.DUMMYFUNCTION("""COMPUTED_VALUE"""),"HOSPITAL RURAL EL HOYO")</f>
        <v>HOSPITAL RURAL EL HOYO</v>
      </c>
      <c r="C996" s="30" t="str">
        <f ca="1">IFERROR(__xludf.DUMMYFUNCTION("""COMPUTED_VALUE"""),"Chubut")</f>
        <v>Chubut</v>
      </c>
      <c r="D996" s="30" t="str">
        <f ca="1">IFERROR(__xludf.DUMMYFUNCTION("""COMPUTED_VALUE"""),"26")</f>
        <v>26</v>
      </c>
      <c r="E996" s="30" t="str">
        <f ca="1">IFERROR(__xludf.DUMMYFUNCTION("""COMPUTED_VALUE"""),"si")</f>
        <v>si</v>
      </c>
      <c r="F996" s="29"/>
      <c r="G996" s="29"/>
      <c r="H996" s="30" t="str">
        <f ca="1">IFERROR(__xludf.DUMMYFUNCTION("""COMPUTED_VALUE"""),"activo")</f>
        <v>activo</v>
      </c>
      <c r="I996" s="29"/>
      <c r="J996" s="29"/>
      <c r="K996" s="29"/>
      <c r="L996" s="30" t="str">
        <f ca="1">IFERROR(__xludf.DUMMYFUNCTION("""COMPUTED_VALUE"""),"No")</f>
        <v>No</v>
      </c>
      <c r="M996" s="30" t="str">
        <f ca="1">IFERROR(__xludf.DUMMYFUNCTION("""COMPUTED_VALUE"""),"26014040000")</f>
        <v>26014040000</v>
      </c>
      <c r="N996" s="30" t="str">
        <f ca="1">IFERROR(__xludf.DUMMYFUNCTION("""COMPUTED_VALUE"""),"EL HOYO")</f>
        <v>EL HOYO</v>
      </c>
      <c r="O996" s="30" t="str">
        <f ca="1">IFERROR(__xludf.DUMMYFUNCTION("""COMPUTED_VALUE"""),"2614")</f>
        <v>2614</v>
      </c>
      <c r="P996" s="30" t="str">
        <f ca="1">IFERROR(__xludf.DUMMYFUNCTION("""COMPUTED_VALUE"""),"CUSHAMEN")</f>
        <v>CUSHAMEN</v>
      </c>
      <c r="Q996" s="30" t="str">
        <f ca="1">IFERROR(__xludf.DUMMYFUNCTION("""COMPUTED_VALUE"""),"-42.173428")</f>
        <v>-42.173428</v>
      </c>
      <c r="R996" s="30" t="str">
        <f ca="1">IFERROR(__xludf.DUMMYFUNCTION("""COMPUTED_VALUE"""),"-70.6600854")</f>
        <v>-70.6600854</v>
      </c>
      <c r="S996" s="30" t="str">
        <f ca="1">IFERROR(__xludf.DUMMYFUNCTION("""COMPUTED_VALUE"""),"Provincial")</f>
        <v>Provincial</v>
      </c>
      <c r="T996" s="30" t="str">
        <f ca="1">IFERROR(__xludf.DUMMYFUNCTION("""COMPUTED_VALUE"""),"-")</f>
        <v>-</v>
      </c>
    </row>
    <row r="997" spans="1:20" ht="15.75" customHeight="1" x14ac:dyDescent="0.25">
      <c r="A997" s="30" t="str">
        <f ca="1">IFERROR(__xludf.DUMMYFUNCTION("""COMPUTED_VALUE"""),"50260072129139")</f>
        <v>50260072129139</v>
      </c>
      <c r="B997" s="30" t="str">
        <f ca="1">IFERROR(__xludf.DUMMYFUNCTION("""COMPUTED_VALUE"""),"CENTRO DE SALUD RUCA CALIL")</f>
        <v>CENTRO DE SALUD RUCA CALIL</v>
      </c>
      <c r="C997" s="30" t="str">
        <f ca="1">IFERROR(__xludf.DUMMYFUNCTION("""COMPUTED_VALUE"""),"Chubut")</f>
        <v>Chubut</v>
      </c>
      <c r="D997" s="30" t="str">
        <f ca="1">IFERROR(__xludf.DUMMYFUNCTION("""COMPUTED_VALUE"""),"26")</f>
        <v>26</v>
      </c>
      <c r="E997" s="30" t="str">
        <f ca="1">IFERROR(__xludf.DUMMYFUNCTION("""COMPUTED_VALUE"""),"si")</f>
        <v>si</v>
      </c>
      <c r="F997" s="29"/>
      <c r="G997" s="29"/>
      <c r="H997" s="30" t="str">
        <f ca="1">IFERROR(__xludf.DUMMYFUNCTION("""COMPUTED_VALUE"""),"activo")</f>
        <v>activo</v>
      </c>
      <c r="I997" s="29"/>
      <c r="J997" s="29"/>
      <c r="K997" s="29"/>
      <c r="L997" s="30" t="str">
        <f ca="1">IFERROR(__xludf.DUMMYFUNCTION("""COMPUTED_VALUE"""),"No")</f>
        <v>No</v>
      </c>
      <c r="M997" s="30" t="str">
        <f ca="1">IFERROR(__xludf.DUMMYFUNCTION("""COMPUTED_VALUE"""),"26007020000")</f>
        <v>26007020000</v>
      </c>
      <c r="N997" s="30" t="str">
        <f ca="1">IFERROR(__xludf.DUMMYFUNCTION("""COMPUTED_VALUE"""),"PUERTO MADRYN")</f>
        <v>PUERTO MADRYN</v>
      </c>
      <c r="O997" s="30" t="str">
        <f ca="1">IFERROR(__xludf.DUMMYFUNCTION("""COMPUTED_VALUE"""),"267")</f>
        <v>267</v>
      </c>
      <c r="P997" s="30" t="str">
        <f ca="1">IFERROR(__xludf.DUMMYFUNCTION("""COMPUTED_VALUE"""),"BIEDMA")</f>
        <v>BIEDMA</v>
      </c>
      <c r="Q997" s="30" t="str">
        <f ca="1">IFERROR(__xludf.DUMMYFUNCTION("""COMPUTED_VALUE"""),"-42.78600682")</f>
        <v>-42.78600682</v>
      </c>
      <c r="R997" s="30" t="str">
        <f ca="1">IFERROR(__xludf.DUMMYFUNCTION("""COMPUTED_VALUE"""),"-65.0701468")</f>
        <v>-65.0701468</v>
      </c>
      <c r="S997" s="30" t="str">
        <f ca="1">IFERROR(__xludf.DUMMYFUNCTION("""COMPUTED_VALUE"""),"Provincial")</f>
        <v>Provincial</v>
      </c>
      <c r="T997" s="30" t="str">
        <f ca="1">IFERROR(__xludf.DUMMYFUNCTION("""COMPUTED_VALUE"""),"-")</f>
        <v>-</v>
      </c>
    </row>
    <row r="998" spans="1:20" ht="15.75" customHeight="1" x14ac:dyDescent="0.25">
      <c r="A998" s="30" t="str">
        <f ca="1">IFERROR(__xludf.DUMMYFUNCTION("""COMPUTED_VALUE"""),"10260422129029")</f>
        <v>10260422129029</v>
      </c>
      <c r="B998" s="30" t="str">
        <f ca="1">IFERROR(__xludf.DUMMYFUNCTION("""COMPUTED_VALUE"""),"HOSPITAL RURAL DOLAVON -  MARY JONES DE WILLIAMS")</f>
        <v>HOSPITAL RURAL DOLAVON -  MARY JONES DE WILLIAMS</v>
      </c>
      <c r="C998" s="30" t="str">
        <f ca="1">IFERROR(__xludf.DUMMYFUNCTION("""COMPUTED_VALUE"""),"Chubut")</f>
        <v>Chubut</v>
      </c>
      <c r="D998" s="30" t="str">
        <f ca="1">IFERROR(__xludf.DUMMYFUNCTION("""COMPUTED_VALUE"""),"26")</f>
        <v>26</v>
      </c>
      <c r="E998" s="30" t="str">
        <f ca="1">IFERROR(__xludf.DUMMYFUNCTION("""COMPUTED_VALUE"""),"si")</f>
        <v>si</v>
      </c>
      <c r="F998" s="29"/>
      <c r="G998" s="29"/>
      <c r="H998" s="30" t="str">
        <f ca="1">IFERROR(__xludf.DUMMYFUNCTION("""COMPUTED_VALUE"""),"activo")</f>
        <v>activo</v>
      </c>
      <c r="I998" s="29"/>
      <c r="J998" s="29"/>
      <c r="K998" s="29"/>
      <c r="L998" s="30" t="str">
        <f ca="1">IFERROR(__xludf.DUMMYFUNCTION("""COMPUTED_VALUE"""),"No")</f>
        <v>No</v>
      </c>
      <c r="M998" s="30" t="str">
        <f ca="1">IFERROR(__xludf.DUMMYFUNCTION("""COMPUTED_VALUE"""),"26042020000")</f>
        <v>26042020000</v>
      </c>
      <c r="N998" s="30" t="str">
        <f ca="1">IFERROR(__xludf.DUMMYFUNCTION("""COMPUTED_VALUE"""),"DOLAVON")</f>
        <v>DOLAVON</v>
      </c>
      <c r="O998" s="30" t="str">
        <f ca="1">IFERROR(__xludf.DUMMYFUNCTION("""COMPUTED_VALUE"""),"2642")</f>
        <v>2642</v>
      </c>
      <c r="P998" s="30" t="str">
        <f ca="1">IFERROR(__xludf.DUMMYFUNCTION("""COMPUTED_VALUE"""),"GAIMAN")</f>
        <v>GAIMAN</v>
      </c>
      <c r="Q998" s="30" t="str">
        <f ca="1">IFERROR(__xludf.DUMMYFUNCTION("""COMPUTED_VALUE"""),"-43.3065708")</f>
        <v>-43.3065708</v>
      </c>
      <c r="R998" s="30" t="str">
        <f ca="1">IFERROR(__xludf.DUMMYFUNCTION("""COMPUTED_VALUE"""),"-65.7055861")</f>
        <v>-65.7055861</v>
      </c>
      <c r="S998" s="30" t="str">
        <f ca="1">IFERROR(__xludf.DUMMYFUNCTION("""COMPUTED_VALUE"""),"Provincial")</f>
        <v>Provincial</v>
      </c>
      <c r="T998" s="30" t="str">
        <f ca="1">IFERROR(__xludf.DUMMYFUNCTION("""COMPUTED_VALUE"""),"-")</f>
        <v>-</v>
      </c>
    </row>
    <row r="999" spans="1:20" ht="15.75" customHeight="1" x14ac:dyDescent="0.25">
      <c r="A999" s="30" t="str">
        <f ca="1">IFERROR(__xludf.DUMMYFUNCTION("""COMPUTED_VALUE"""),"50260072129087")</f>
        <v>50260072129087</v>
      </c>
      <c r="B999" s="30" t="str">
        <f ca="1">IFERROR(__xludf.DUMMYFUNCTION("""COMPUTED_VALUE"""),"CENTRO DE SALUD ARISTARAIN")</f>
        <v>CENTRO DE SALUD ARISTARAIN</v>
      </c>
      <c r="C999" s="30" t="str">
        <f ca="1">IFERROR(__xludf.DUMMYFUNCTION("""COMPUTED_VALUE"""),"Chubut")</f>
        <v>Chubut</v>
      </c>
      <c r="D999" s="30" t="str">
        <f ca="1">IFERROR(__xludf.DUMMYFUNCTION("""COMPUTED_VALUE"""),"26")</f>
        <v>26</v>
      </c>
      <c r="E999" s="30" t="str">
        <f ca="1">IFERROR(__xludf.DUMMYFUNCTION("""COMPUTED_VALUE"""),"")</f>
        <v/>
      </c>
      <c r="F999" s="29"/>
      <c r="G999" s="30" t="str">
        <f ca="1">IFERROR(__xludf.DUMMYFUNCTION("""COMPUTED_VALUE"""),"50260072129676")</f>
        <v>50260072129676</v>
      </c>
      <c r="H999" s="30" t="str">
        <f ca="1">IFERROR(__xludf.DUMMYFUNCTION("""COMPUTED_VALUE"""),"inactivo")</f>
        <v>inactivo</v>
      </c>
      <c r="I999" s="29"/>
      <c r="J999" s="29"/>
      <c r="K999" s="29"/>
      <c r="L999" s="30" t="str">
        <f ca="1">IFERROR(__xludf.DUMMYFUNCTION("""COMPUTED_VALUE"""),"No")</f>
        <v>No</v>
      </c>
      <c r="M999" s="30" t="str">
        <f ca="1">IFERROR(__xludf.DUMMYFUNCTION("""COMPUTED_VALUE"""),"26007020000")</f>
        <v>26007020000</v>
      </c>
      <c r="N999" s="30" t="str">
        <f ca="1">IFERROR(__xludf.DUMMYFUNCTION("""COMPUTED_VALUE"""),"PUERTO MADRYN")</f>
        <v>PUERTO MADRYN</v>
      </c>
      <c r="O999" s="30" t="str">
        <f ca="1">IFERROR(__xludf.DUMMYFUNCTION("""COMPUTED_VALUE"""),"267")</f>
        <v>267</v>
      </c>
      <c r="P999" s="30" t="str">
        <f ca="1">IFERROR(__xludf.DUMMYFUNCTION("""COMPUTED_VALUE"""),"BIEDMA")</f>
        <v>BIEDMA</v>
      </c>
      <c r="Q999" s="30" t="str">
        <f ca="1">IFERROR(__xludf.DUMMYFUNCTION("""COMPUTED_VALUE"""),"-42.75966424")</f>
        <v>-42.75966424</v>
      </c>
      <c r="R999" s="30" t="str">
        <f ca="1">IFERROR(__xludf.DUMMYFUNCTION("""COMPUTED_VALUE"""),"-65.04440546")</f>
        <v>-65.04440546</v>
      </c>
      <c r="S999" s="30" t="str">
        <f ca="1">IFERROR(__xludf.DUMMYFUNCTION("""COMPUTED_VALUE"""),"Provincial")</f>
        <v>Provincial</v>
      </c>
      <c r="T999" s="30" t="str">
        <f ca="1">IFERROR(__xludf.DUMMYFUNCTION("""COMPUTED_VALUE"""),"-")</f>
        <v>-</v>
      </c>
    </row>
    <row r="1000" spans="1:20" ht="15.75" customHeight="1" x14ac:dyDescent="0.25">
      <c r="A1000" s="30" t="str">
        <f ca="1">IFERROR(__xludf.DUMMYFUNCTION("""COMPUTED_VALUE"""),"50260072129676")</f>
        <v>50260072129676</v>
      </c>
      <c r="B1000" s="30" t="str">
        <f ca="1">IFERROR(__xludf.DUMMYFUNCTION("""COMPUTED_VALUE"""),"CAPS ROQUE GONZALEZ DE PUERTO MADRYN")</f>
        <v>CAPS ROQUE GONZALEZ DE PUERTO MADRYN</v>
      </c>
      <c r="C1000" s="30" t="str">
        <f ca="1">IFERROR(__xludf.DUMMYFUNCTION("""COMPUTED_VALUE"""),"Chubut")</f>
        <v>Chubut</v>
      </c>
      <c r="D1000" s="30" t="str">
        <f ca="1">IFERROR(__xludf.DUMMYFUNCTION("""COMPUTED_VALUE"""),"26")</f>
        <v>26</v>
      </c>
      <c r="E1000" s="30" t="str">
        <f ca="1">IFERROR(__xludf.DUMMYFUNCTION("""COMPUTED_VALUE"""),"")</f>
        <v/>
      </c>
      <c r="F1000" s="30" t="str">
        <f ca="1">IFERROR(__xludf.DUMMYFUNCTION("""COMPUTED_VALUE"""),"50260072129087")</f>
        <v>50260072129087</v>
      </c>
      <c r="G1000" s="29"/>
      <c r="H1000" s="30" t="str">
        <f ca="1">IFERROR(__xludf.DUMMYFUNCTION("""COMPUTED_VALUE"""),"activo")</f>
        <v>activo</v>
      </c>
      <c r="I1000" s="29"/>
      <c r="J1000" s="29"/>
      <c r="K1000" s="29"/>
      <c r="L1000" s="30" t="str">
        <f ca="1">IFERROR(__xludf.DUMMYFUNCTION("""COMPUTED_VALUE"""),"No")</f>
        <v>No</v>
      </c>
      <c r="M1000" s="30" t="str">
        <f ca="1">IFERROR(__xludf.DUMMYFUNCTION("""COMPUTED_VALUE"""),"26007020000")</f>
        <v>26007020000</v>
      </c>
      <c r="N1000" s="30" t="str">
        <f ca="1">IFERROR(__xludf.DUMMYFUNCTION("""COMPUTED_VALUE"""),"PUERTO MADRYN")</f>
        <v>PUERTO MADRYN</v>
      </c>
      <c r="O1000" s="30" t="str">
        <f ca="1">IFERROR(__xludf.DUMMYFUNCTION("""COMPUTED_VALUE"""),"267")</f>
        <v>267</v>
      </c>
      <c r="P1000" s="30" t="str">
        <f ca="1">IFERROR(__xludf.DUMMYFUNCTION("""COMPUTED_VALUE"""),"BIEDMA")</f>
        <v>BIEDMA</v>
      </c>
      <c r="Q1000" s="30" t="str">
        <f ca="1">IFERROR(__xludf.DUMMYFUNCTION("""COMPUTED_VALUE"""),"-42.783862")</f>
        <v>-42.783862</v>
      </c>
      <c r="R1000" s="30" t="str">
        <f ca="1">IFERROR(__xludf.DUMMYFUNCTION("""COMPUTED_VALUE"""),"-65.060698")</f>
        <v>-65.060698</v>
      </c>
      <c r="S1000" s="30" t="str">
        <f ca="1">IFERROR(__xludf.DUMMYFUNCTION("""COMPUTED_VALUE"""),"Provincial")</f>
        <v>Provincial</v>
      </c>
      <c r="T1000" s="30" t="str">
        <f ca="1">IFERROR(__xludf.DUMMYFUNCTION("""COMPUTED_VALUE"""),"-")</f>
        <v>-</v>
      </c>
    </row>
    <row r="1001" spans="1:20" ht="15.75" customHeight="1" x14ac:dyDescent="0.25">
      <c r="A1001" s="30" t="str">
        <f ca="1">IFERROR(__xludf.DUMMYFUNCTION("""COMPUTED_VALUE"""),"50260772129086")</f>
        <v>50260772129086</v>
      </c>
      <c r="B1001" s="30" t="str">
        <f ca="1">IFERROR(__xludf.DUMMYFUNCTION("""COMPUTED_VALUE"""),"CENTRO DE SALUD AREA 16 - MALVINAS ARGENTINAS")</f>
        <v>CENTRO DE SALUD AREA 16 - MALVINAS ARGENTINAS</v>
      </c>
      <c r="C1001" s="30" t="str">
        <f ca="1">IFERROR(__xludf.DUMMYFUNCTION("""COMPUTED_VALUE"""),"Chubut")</f>
        <v>Chubut</v>
      </c>
      <c r="D1001" s="30" t="str">
        <f ca="1">IFERROR(__xludf.DUMMYFUNCTION("""COMPUTED_VALUE"""),"26")</f>
        <v>26</v>
      </c>
      <c r="E1001" s="30" t="str">
        <f ca="1">IFERROR(__xludf.DUMMYFUNCTION("""COMPUTED_VALUE"""),"si")</f>
        <v>si</v>
      </c>
      <c r="F1001" s="29"/>
      <c r="G1001" s="29"/>
      <c r="H1001" s="30" t="str">
        <f ca="1">IFERROR(__xludf.DUMMYFUNCTION("""COMPUTED_VALUE"""),"activo")</f>
        <v>activo</v>
      </c>
      <c r="I1001" s="29"/>
      <c r="J1001" s="29"/>
      <c r="K1001" s="29"/>
      <c r="L1001" s="30" t="str">
        <f ca="1">IFERROR(__xludf.DUMMYFUNCTION("""COMPUTED_VALUE"""),"No")</f>
        <v>No</v>
      </c>
      <c r="M1001" s="30" t="str">
        <f ca="1">IFERROR(__xludf.DUMMYFUNCTION("""COMPUTED_VALUE"""),"26077030000")</f>
        <v>26077030000</v>
      </c>
      <c r="N1001" s="30" t="str">
        <f ca="1">IFERROR(__xludf.DUMMYFUNCTION("""COMPUTED_VALUE"""),"RAWSON")</f>
        <v>RAWSON</v>
      </c>
      <c r="O1001" s="30" t="str">
        <f ca="1">IFERROR(__xludf.DUMMYFUNCTION("""COMPUTED_VALUE"""),"2677")</f>
        <v>2677</v>
      </c>
      <c r="P1001" s="30" t="str">
        <f ca="1">IFERROR(__xludf.DUMMYFUNCTION("""COMPUTED_VALUE"""),"RAWSON")</f>
        <v>RAWSON</v>
      </c>
      <c r="Q1001" s="30" t="str">
        <f ca="1">IFERROR(__xludf.DUMMYFUNCTION("""COMPUTED_VALUE"""),"-42.94033923")</f>
        <v>-42.94033923</v>
      </c>
      <c r="R1001" s="30" t="str">
        <f ca="1">IFERROR(__xludf.DUMMYFUNCTION("""COMPUTED_VALUE"""),"-65.30273438")</f>
        <v>-65.30273438</v>
      </c>
      <c r="S1001" s="30" t="str">
        <f ca="1">IFERROR(__xludf.DUMMYFUNCTION("""COMPUTED_VALUE"""),"Provincial")</f>
        <v>Provincial</v>
      </c>
      <c r="T1001" s="30" t="str">
        <f ca="1">IFERROR(__xludf.DUMMYFUNCTION("""COMPUTED_VALUE"""),"-")</f>
        <v>-</v>
      </c>
    </row>
    <row r="1002" spans="1:20" ht="15.75" customHeight="1" x14ac:dyDescent="0.25">
      <c r="A1002" s="30" t="str">
        <f ca="1">IFERROR(__xludf.DUMMYFUNCTION("""COMPUTED_VALUE"""),"50260212129420")</f>
        <v>50260212129420</v>
      </c>
      <c r="B1002" s="30" t="str">
        <f ca="1">IFERROR(__xludf.DUMMYFUNCTION("""COMPUTED_VALUE"""),"CENTRO DE SALUD RADA TILLY")</f>
        <v>CENTRO DE SALUD RADA TILLY</v>
      </c>
      <c r="C1002" s="30" t="str">
        <f ca="1">IFERROR(__xludf.DUMMYFUNCTION("""COMPUTED_VALUE"""),"Chubut")</f>
        <v>Chubut</v>
      </c>
      <c r="D1002" s="30" t="str">
        <f ca="1">IFERROR(__xludf.DUMMYFUNCTION("""COMPUTED_VALUE"""),"26")</f>
        <v>26</v>
      </c>
      <c r="E1002" s="30" t="str">
        <f ca="1">IFERROR(__xludf.DUMMYFUNCTION("""COMPUTED_VALUE"""),"")</f>
        <v/>
      </c>
      <c r="F1002" s="29"/>
      <c r="G1002" s="29"/>
      <c r="H1002" s="30" t="str">
        <f ca="1">IFERROR(__xludf.DUMMYFUNCTION("""COMPUTED_VALUE"""),"inactivo")</f>
        <v>inactivo</v>
      </c>
      <c r="I1002" s="30" t="str">
        <f ca="1">IFERROR(__xludf.DUMMYFUNCTION("""COMPUTED_VALUE"""),"se dio de baja segun nota de Chubut el 25/02/2021")</f>
        <v>se dio de baja segun nota de Chubut el 25/02/2021</v>
      </c>
      <c r="J1002" s="29"/>
      <c r="K1002" s="29"/>
      <c r="L1002" s="30" t="str">
        <f ca="1">IFERROR(__xludf.DUMMYFUNCTION("""COMPUTED_VALUE"""),"No")</f>
        <v>No</v>
      </c>
      <c r="M1002" s="30" t="str">
        <f ca="1">IFERROR(__xludf.DUMMYFUNCTION("""COMPUTED_VALUE"""),"26021050000")</f>
        <v>26021050000</v>
      </c>
      <c r="N1002" s="30" t="str">
        <f ca="1">IFERROR(__xludf.DUMMYFUNCTION("""COMPUTED_VALUE"""),"RADA TILLY")</f>
        <v>RADA TILLY</v>
      </c>
      <c r="O1002" s="30" t="str">
        <f ca="1">IFERROR(__xludf.DUMMYFUNCTION("""COMPUTED_VALUE"""),"2621")</f>
        <v>2621</v>
      </c>
      <c r="P1002" s="30" t="str">
        <f ca="1">IFERROR(__xludf.DUMMYFUNCTION("""COMPUTED_VALUE"""),"ESCALANTE")</f>
        <v>ESCALANTE</v>
      </c>
      <c r="Q1002" s="30" t="str">
        <f ca="1">IFERROR(__xludf.DUMMYFUNCTION("""COMPUTED_VALUE"""),"-45.9206668")</f>
        <v>-45.9206668</v>
      </c>
      <c r="R1002" s="30" t="str">
        <f ca="1">IFERROR(__xludf.DUMMYFUNCTION("""COMPUTED_VALUE"""),"-67.5557396")</f>
        <v>-67.5557396</v>
      </c>
      <c r="S1002" s="30" t="str">
        <f ca="1">IFERROR(__xludf.DUMMYFUNCTION("""COMPUTED_VALUE"""),"Provincial")</f>
        <v>Provincial</v>
      </c>
      <c r="T1002" s="30" t="str">
        <f ca="1">IFERROR(__xludf.DUMMYFUNCTION("""COMPUTED_VALUE"""),"-")</f>
        <v>-</v>
      </c>
    </row>
    <row r="1003" spans="1:20" ht="15.75" customHeight="1" x14ac:dyDescent="0.25">
      <c r="A1003" s="30" t="str">
        <f ca="1">IFERROR(__xludf.DUMMYFUNCTION("""COMPUTED_VALUE"""),"50260772129104")</f>
        <v>50260772129104</v>
      </c>
      <c r="B1003" s="30" t="str">
        <f ca="1">IFERROR(__xludf.DUMMYFUNCTION("""COMPUTED_VALUE"""),"CENTRO DE SALUD GUENDA WILLIAMS")</f>
        <v>CENTRO DE SALUD GUENDA WILLIAMS</v>
      </c>
      <c r="C1003" s="30" t="str">
        <f ca="1">IFERROR(__xludf.DUMMYFUNCTION("""COMPUTED_VALUE"""),"Chubut")</f>
        <v>Chubut</v>
      </c>
      <c r="D1003" s="30" t="str">
        <f ca="1">IFERROR(__xludf.DUMMYFUNCTION("""COMPUTED_VALUE"""),"26")</f>
        <v>26</v>
      </c>
      <c r="E1003" s="30" t="str">
        <f ca="1">IFERROR(__xludf.DUMMYFUNCTION("""COMPUTED_VALUE"""),"")</f>
        <v/>
      </c>
      <c r="F1003" s="29"/>
      <c r="G1003" s="29"/>
      <c r="H1003" s="30" t="str">
        <f ca="1">IFERROR(__xludf.DUMMYFUNCTION("""COMPUTED_VALUE"""),"activo")</f>
        <v>activo</v>
      </c>
      <c r="I1003" s="29"/>
      <c r="J1003" s="29"/>
      <c r="K1003" s="29"/>
      <c r="L1003" s="30" t="str">
        <f ca="1">IFERROR(__xludf.DUMMYFUNCTION("""COMPUTED_VALUE"""),"No")</f>
        <v>No</v>
      </c>
      <c r="M1003" s="30" t="str">
        <f ca="1">IFERROR(__xludf.DUMMYFUNCTION("""COMPUTED_VALUE"""),"26077040000")</f>
        <v>26077040000</v>
      </c>
      <c r="N1003" s="30" t="str">
        <f ca="1">IFERROR(__xludf.DUMMYFUNCTION("""COMPUTED_VALUE"""),"TRELEW")</f>
        <v>TRELEW</v>
      </c>
      <c r="O1003" s="30" t="str">
        <f ca="1">IFERROR(__xludf.DUMMYFUNCTION("""COMPUTED_VALUE"""),"2677")</f>
        <v>2677</v>
      </c>
      <c r="P1003" s="30" t="str">
        <f ca="1">IFERROR(__xludf.DUMMYFUNCTION("""COMPUTED_VALUE"""),"RAWSON")</f>
        <v>RAWSON</v>
      </c>
      <c r="Q1003" s="30" t="str">
        <f ca="1">IFERROR(__xludf.DUMMYFUNCTION("""COMPUTED_VALUE"""),"-43.2421584")</f>
        <v>-43.2421584</v>
      </c>
      <c r="R1003" s="30" t="str">
        <f ca="1">IFERROR(__xludf.DUMMYFUNCTION("""COMPUTED_VALUE"""),"-65.3044791")</f>
        <v>-65.3044791</v>
      </c>
      <c r="S1003" s="30" t="str">
        <f ca="1">IFERROR(__xludf.DUMMYFUNCTION("""COMPUTED_VALUE"""),"Provincial")</f>
        <v>Provincial</v>
      </c>
      <c r="T1003" s="30" t="str">
        <f ca="1">IFERROR(__xludf.DUMMYFUNCTION("""COMPUTED_VALUE"""),"-")</f>
        <v>-</v>
      </c>
    </row>
    <row r="1004" spans="1:20" ht="15.75" customHeight="1" x14ac:dyDescent="0.25">
      <c r="A1004" s="30" t="str">
        <f ca="1">IFERROR(__xludf.DUMMYFUNCTION("""COMPUTED_VALUE"""),"10260352129015")</f>
        <v>10260352129015</v>
      </c>
      <c r="B1004" s="30" t="str">
        <f ca="1">IFERROR(__xludf.DUMMYFUNCTION("""COMPUTED_VALUE"""),"HOSPITAL RURAL CORCOVADO")</f>
        <v>HOSPITAL RURAL CORCOVADO</v>
      </c>
      <c r="C1004" s="30" t="str">
        <f ca="1">IFERROR(__xludf.DUMMYFUNCTION("""COMPUTED_VALUE"""),"Chubut")</f>
        <v>Chubut</v>
      </c>
      <c r="D1004" s="30" t="str">
        <f ca="1">IFERROR(__xludf.DUMMYFUNCTION("""COMPUTED_VALUE"""),"26")</f>
        <v>26</v>
      </c>
      <c r="E1004" s="30" t="str">
        <f ca="1">IFERROR(__xludf.DUMMYFUNCTION("""COMPUTED_VALUE"""),"")</f>
        <v/>
      </c>
      <c r="F1004" s="29"/>
      <c r="G1004" s="29"/>
      <c r="H1004" s="30" t="str">
        <f ca="1">IFERROR(__xludf.DUMMYFUNCTION("""COMPUTED_VALUE"""),"activo")</f>
        <v>activo</v>
      </c>
      <c r="I1004" s="29"/>
      <c r="J1004" s="29"/>
      <c r="K1004" s="29"/>
      <c r="L1004" s="30" t="str">
        <f ca="1">IFERROR(__xludf.DUMMYFUNCTION("""COMPUTED_VALUE"""),"No")</f>
        <v>No</v>
      </c>
      <c r="M1004" s="30" t="str">
        <f ca="1">IFERROR(__xludf.DUMMYFUNCTION("""COMPUTED_VALUE"""),"26035020000")</f>
        <v>26035020000</v>
      </c>
      <c r="N1004" s="30" t="str">
        <f ca="1">IFERROR(__xludf.DUMMYFUNCTION("""COMPUTED_VALUE"""),"CORCOVADO")</f>
        <v>CORCOVADO</v>
      </c>
      <c r="O1004" s="30" t="str">
        <f ca="1">IFERROR(__xludf.DUMMYFUNCTION("""COMPUTED_VALUE"""),"2635")</f>
        <v>2635</v>
      </c>
      <c r="P1004" s="30" t="str">
        <f ca="1">IFERROR(__xludf.DUMMYFUNCTION("""COMPUTED_VALUE"""),"FUTALEUFÚ")</f>
        <v>FUTALEUFÚ</v>
      </c>
      <c r="Q1004" s="30" t="str">
        <f ca="1">IFERROR(__xludf.DUMMYFUNCTION("""COMPUTED_VALUE"""),"-43.54636453")</f>
        <v>-43.54636453</v>
      </c>
      <c r="R1004" s="30" t="str">
        <f ca="1">IFERROR(__xludf.DUMMYFUNCTION("""COMPUTED_VALUE"""),"-71.46331")</f>
        <v>-71.46331</v>
      </c>
      <c r="S1004" s="30" t="str">
        <f ca="1">IFERROR(__xludf.DUMMYFUNCTION("""COMPUTED_VALUE"""),"Provincial")</f>
        <v>Provincial</v>
      </c>
      <c r="T1004" s="30" t="str">
        <f ca="1">IFERROR(__xludf.DUMMYFUNCTION("""COMPUTED_VALUE"""),"-")</f>
        <v>-</v>
      </c>
    </row>
    <row r="1005" spans="1:20" ht="15.75" customHeight="1" x14ac:dyDescent="0.25">
      <c r="A1005" s="30" t="str">
        <f ca="1">IFERROR(__xludf.DUMMYFUNCTION("""COMPUTED_VALUE"""),"50260772129148")</f>
        <v>50260772129148</v>
      </c>
      <c r="B1005" s="30" t="str">
        <f ca="1">IFERROR(__xludf.DUMMYFUNCTION("""COMPUTED_VALUE"""),"CENTRO DE SALUD TIRO FEDERAL")</f>
        <v>CENTRO DE SALUD TIRO FEDERAL</v>
      </c>
      <c r="C1005" s="30" t="str">
        <f ca="1">IFERROR(__xludf.DUMMYFUNCTION("""COMPUTED_VALUE"""),"Chubut")</f>
        <v>Chubut</v>
      </c>
      <c r="D1005" s="30" t="str">
        <f ca="1">IFERROR(__xludf.DUMMYFUNCTION("""COMPUTED_VALUE"""),"26")</f>
        <v>26</v>
      </c>
      <c r="E1005" s="30" t="str">
        <f ca="1">IFERROR(__xludf.DUMMYFUNCTION("""COMPUTED_VALUE"""),"")</f>
        <v/>
      </c>
      <c r="F1005" s="29"/>
      <c r="G1005" s="29"/>
      <c r="H1005" s="30" t="str">
        <f ca="1">IFERROR(__xludf.DUMMYFUNCTION("""COMPUTED_VALUE"""),"activo")</f>
        <v>activo</v>
      </c>
      <c r="I1005" s="29"/>
      <c r="J1005" s="29"/>
      <c r="K1005" s="29"/>
      <c r="L1005" s="30" t="str">
        <f ca="1">IFERROR(__xludf.DUMMYFUNCTION("""COMPUTED_VALUE"""),"No")</f>
        <v>No</v>
      </c>
      <c r="M1005" s="30" t="str">
        <f ca="1">IFERROR(__xludf.DUMMYFUNCTION("""COMPUTED_VALUE"""),"26077040000")</f>
        <v>26077040000</v>
      </c>
      <c r="N1005" s="30" t="str">
        <f ca="1">IFERROR(__xludf.DUMMYFUNCTION("""COMPUTED_VALUE"""),"TRELEW")</f>
        <v>TRELEW</v>
      </c>
      <c r="O1005" s="30" t="str">
        <f ca="1">IFERROR(__xludf.DUMMYFUNCTION("""COMPUTED_VALUE"""),"2677")</f>
        <v>2677</v>
      </c>
      <c r="P1005" s="30" t="str">
        <f ca="1">IFERROR(__xludf.DUMMYFUNCTION("""COMPUTED_VALUE"""),"RAWSON")</f>
        <v>RAWSON</v>
      </c>
      <c r="Q1005" s="30" t="str">
        <f ca="1">IFERROR(__xludf.DUMMYFUNCTION("""COMPUTED_VALUE"""),"-43.2394719")</f>
        <v>-43.2394719</v>
      </c>
      <c r="R1005" s="30" t="str">
        <f ca="1">IFERROR(__xludf.DUMMYFUNCTION("""COMPUTED_VALUE"""),"-65.3051762")</f>
        <v>-65.3051762</v>
      </c>
      <c r="S1005" s="30" t="str">
        <f ca="1">IFERROR(__xludf.DUMMYFUNCTION("""COMPUTED_VALUE"""),"Provincial")</f>
        <v>Provincial</v>
      </c>
      <c r="T1005" s="30" t="str">
        <f ca="1">IFERROR(__xludf.DUMMYFUNCTION("""COMPUTED_VALUE"""),"-")</f>
        <v>-</v>
      </c>
    </row>
    <row r="1006" spans="1:20" ht="15.75" customHeight="1" x14ac:dyDescent="0.25">
      <c r="A1006" s="30" t="str">
        <f ca="1">IFERROR(__xludf.DUMMYFUNCTION("""COMPUTED_VALUE"""),"10260842129033")</f>
        <v>10260842129033</v>
      </c>
      <c r="B1006" s="30" t="str">
        <f ca="1">IFERROR(__xludf.DUMMYFUNCTION("""COMPUTED_VALUE"""),"HOSPITAL RURAL RIO SENGUER")</f>
        <v>HOSPITAL RURAL RIO SENGUER</v>
      </c>
      <c r="C1006" s="30" t="str">
        <f ca="1">IFERROR(__xludf.DUMMYFUNCTION("""COMPUTED_VALUE"""),"Chubut")</f>
        <v>Chubut</v>
      </c>
      <c r="D1006" s="30" t="str">
        <f ca="1">IFERROR(__xludf.DUMMYFUNCTION("""COMPUTED_VALUE"""),"26")</f>
        <v>26</v>
      </c>
      <c r="E1006" s="30" t="str">
        <f ca="1">IFERROR(__xludf.DUMMYFUNCTION("""COMPUTED_VALUE"""),"")</f>
        <v/>
      </c>
      <c r="F1006" s="29"/>
      <c r="G1006" s="29"/>
      <c r="H1006" s="30" t="str">
        <f ca="1">IFERROR(__xludf.DUMMYFUNCTION("""COMPUTED_VALUE"""),"activo")</f>
        <v>activo</v>
      </c>
      <c r="I1006" s="29"/>
      <c r="J1006" s="29"/>
      <c r="K1006" s="29"/>
      <c r="L1006" s="30" t="str">
        <f ca="1">IFERROR(__xludf.DUMMYFUNCTION("""COMPUTED_VALUE"""),"No")</f>
        <v>No</v>
      </c>
      <c r="M1006" s="30" t="str">
        <f ca="1">IFERROR(__xludf.DUMMYFUNCTION("""COMPUTED_VALUE"""),"26084030000")</f>
        <v>26084030000</v>
      </c>
      <c r="N1006" s="30" t="str">
        <f ca="1">IFERROR(__xludf.DUMMYFUNCTION("""COMPUTED_VALUE"""),"ALTO RIO SENGUER")</f>
        <v>ALTO RIO SENGUER</v>
      </c>
      <c r="O1006" s="30" t="str">
        <f ca="1">IFERROR(__xludf.DUMMYFUNCTION("""COMPUTED_VALUE"""),"2684")</f>
        <v>2684</v>
      </c>
      <c r="P1006" s="30" t="str">
        <f ca="1">IFERROR(__xludf.DUMMYFUNCTION("""COMPUTED_VALUE"""),"RÍO SENGUER")</f>
        <v>RÍO SENGUER</v>
      </c>
      <c r="Q1006" s="30" t="str">
        <f ca="1">IFERROR(__xludf.DUMMYFUNCTION("""COMPUTED_VALUE"""),"-45.04344929")</f>
        <v>-45.04344929</v>
      </c>
      <c r="R1006" s="30" t="str">
        <f ca="1">IFERROR(__xludf.DUMMYFUNCTION("""COMPUTED_VALUE"""),"-70.8178568")</f>
        <v>-70.8178568</v>
      </c>
      <c r="S1006" s="30" t="str">
        <f ca="1">IFERROR(__xludf.DUMMYFUNCTION("""COMPUTED_VALUE"""),"Provincial")</f>
        <v>Provincial</v>
      </c>
      <c r="T1006" s="30" t="str">
        <f ca="1">IFERROR(__xludf.DUMMYFUNCTION("""COMPUTED_VALUE"""),"-")</f>
        <v>-</v>
      </c>
    </row>
    <row r="1007" spans="1:20" ht="15.75" customHeight="1" x14ac:dyDescent="0.25">
      <c r="A1007" s="30" t="str">
        <f ca="1">IFERROR(__xludf.DUMMYFUNCTION("""COMPUTED_VALUE"""),"50260352129089")</f>
        <v>50260352129089</v>
      </c>
      <c r="B1007" s="30" t="str">
        <f ca="1">IFERROR(__xludf.DUMMYFUNCTION("""COMPUTED_VALUE"""),"CENTRO DE SALUD BELLA VISTA")</f>
        <v>CENTRO DE SALUD BELLA VISTA</v>
      </c>
      <c r="C1007" s="30" t="str">
        <f ca="1">IFERROR(__xludf.DUMMYFUNCTION("""COMPUTED_VALUE"""),"Chubut")</f>
        <v>Chubut</v>
      </c>
      <c r="D1007" s="30" t="str">
        <f ca="1">IFERROR(__xludf.DUMMYFUNCTION("""COMPUTED_VALUE"""),"26")</f>
        <v>26</v>
      </c>
      <c r="E1007" s="30" t="str">
        <f ca="1">IFERROR(__xludf.DUMMYFUNCTION("""COMPUTED_VALUE"""),"")</f>
        <v/>
      </c>
      <c r="F1007" s="29"/>
      <c r="G1007" s="29"/>
      <c r="H1007" s="30" t="str">
        <f ca="1">IFERROR(__xludf.DUMMYFUNCTION("""COMPUTED_VALUE"""),"inactivo")</f>
        <v>inactivo</v>
      </c>
      <c r="I1007" s="30" t="str">
        <f ca="1">IFERROR(__xludf.DUMMYFUNCTION("""COMPUTED_VALUE"""),"se dio de baja segun nota de Chubut el 25/02/2021")</f>
        <v>se dio de baja segun nota de Chubut el 25/02/2021</v>
      </c>
      <c r="J1007" s="29"/>
      <c r="K1007" s="29"/>
      <c r="L1007" s="30" t="str">
        <f ca="1">IFERROR(__xludf.DUMMYFUNCTION("""COMPUTED_VALUE"""),"No")</f>
        <v>No</v>
      </c>
      <c r="M1007" s="30" t="str">
        <f ca="1">IFERROR(__xludf.DUMMYFUNCTION("""COMPUTED_VALUE"""),"26035030000")</f>
        <v>26035030000</v>
      </c>
      <c r="N1007" s="30" t="str">
        <f ca="1">IFERROR(__xludf.DUMMYFUNCTION("""COMPUTED_VALUE"""),"ESQUEL")</f>
        <v>ESQUEL</v>
      </c>
      <c r="O1007" s="30" t="str">
        <f ca="1">IFERROR(__xludf.DUMMYFUNCTION("""COMPUTED_VALUE"""),"2635")</f>
        <v>2635</v>
      </c>
      <c r="P1007" s="30" t="str">
        <f ca="1">IFERROR(__xludf.DUMMYFUNCTION("""COMPUTED_VALUE"""),"FUTALEUFÚ")</f>
        <v>FUTALEUFÚ</v>
      </c>
      <c r="Q1007" s="30" t="str">
        <f ca="1">IFERROR(__xludf.DUMMYFUNCTION("""COMPUTED_VALUE"""),"-42.899556")</f>
        <v>-42.899556</v>
      </c>
      <c r="R1007" s="30" t="str">
        <f ca="1">IFERROR(__xludf.DUMMYFUNCTION("""COMPUTED_VALUE"""),"-71.31879")</f>
        <v>-71.31879</v>
      </c>
      <c r="S1007" s="30" t="str">
        <f ca="1">IFERROR(__xludf.DUMMYFUNCTION("""COMPUTED_VALUE"""),"Provincial")</f>
        <v>Provincial</v>
      </c>
      <c r="T1007" s="30" t="str">
        <f ca="1">IFERROR(__xludf.DUMMYFUNCTION("""COMPUTED_VALUE"""),"-")</f>
        <v>-</v>
      </c>
    </row>
    <row r="1008" spans="1:20" ht="15.75" customHeight="1" x14ac:dyDescent="0.25">
      <c r="A1008" s="30" t="str">
        <f ca="1">IFERROR(__xludf.DUMMYFUNCTION("""COMPUTED_VALUE"""),"50260072129103")</f>
        <v>50260072129103</v>
      </c>
      <c r="B1008" s="30" t="str">
        <f ca="1">IFERROR(__xludf.DUMMYFUNCTION("""COMPUTED_VALUE"""),"CENTRO DE SALUD GUEMES")</f>
        <v>CENTRO DE SALUD GUEMES</v>
      </c>
      <c r="C1008" s="30" t="str">
        <f ca="1">IFERROR(__xludf.DUMMYFUNCTION("""COMPUTED_VALUE"""),"Chubut")</f>
        <v>Chubut</v>
      </c>
      <c r="D1008" s="30" t="str">
        <f ca="1">IFERROR(__xludf.DUMMYFUNCTION("""COMPUTED_VALUE"""),"26")</f>
        <v>26</v>
      </c>
      <c r="E1008" s="30" t="str">
        <f ca="1">IFERROR(__xludf.DUMMYFUNCTION("""COMPUTED_VALUE"""),"")</f>
        <v/>
      </c>
      <c r="F1008" s="29"/>
      <c r="G1008" s="29"/>
      <c r="H1008" s="30" t="str">
        <f ca="1">IFERROR(__xludf.DUMMYFUNCTION("""COMPUTED_VALUE"""),"activo")</f>
        <v>activo</v>
      </c>
      <c r="I1008" s="29"/>
      <c r="J1008" s="29"/>
      <c r="K1008" s="29"/>
      <c r="L1008" s="30" t="str">
        <f ca="1">IFERROR(__xludf.DUMMYFUNCTION("""COMPUTED_VALUE"""),"No")</f>
        <v>No</v>
      </c>
      <c r="M1008" s="30" t="str">
        <f ca="1">IFERROR(__xludf.DUMMYFUNCTION("""COMPUTED_VALUE"""),"26007020000")</f>
        <v>26007020000</v>
      </c>
      <c r="N1008" s="30" t="str">
        <f ca="1">IFERROR(__xludf.DUMMYFUNCTION("""COMPUTED_VALUE"""),"PUERTO MADRYN")</f>
        <v>PUERTO MADRYN</v>
      </c>
      <c r="O1008" s="30" t="str">
        <f ca="1">IFERROR(__xludf.DUMMYFUNCTION("""COMPUTED_VALUE"""),"267")</f>
        <v>267</v>
      </c>
      <c r="P1008" s="30" t="str">
        <f ca="1">IFERROR(__xludf.DUMMYFUNCTION("""COMPUTED_VALUE"""),"BIEDMA")</f>
        <v>BIEDMA</v>
      </c>
      <c r="Q1008" s="30" t="str">
        <f ca="1">IFERROR(__xludf.DUMMYFUNCTION("""COMPUTED_VALUE"""),"-42.77238866")</f>
        <v>-42.77238866</v>
      </c>
      <c r="R1008" s="30" t="str">
        <f ca="1">IFERROR(__xludf.DUMMYFUNCTION("""COMPUTED_VALUE"""),"-65.05323812")</f>
        <v>-65.05323812</v>
      </c>
      <c r="S1008" s="30" t="str">
        <f ca="1">IFERROR(__xludf.DUMMYFUNCTION("""COMPUTED_VALUE"""),"Provincial")</f>
        <v>Provincial</v>
      </c>
      <c r="T1008" s="30" t="str">
        <f ca="1">IFERROR(__xludf.DUMMYFUNCTION("""COMPUTED_VALUE"""),"-")</f>
        <v>-</v>
      </c>
    </row>
    <row r="1009" spans="1:20" ht="15.75" customHeight="1" x14ac:dyDescent="0.25">
      <c r="A1009" s="30" t="str">
        <f ca="1">IFERROR(__xludf.DUMMYFUNCTION("""COMPUTED_VALUE"""),"50260072129100")</f>
        <v>50260072129100</v>
      </c>
      <c r="B1009" s="30" t="str">
        <f ca="1">IFERROR(__xludf.DUMMYFUNCTION("""COMPUTED_VALUE"""),"CENTRO DE SALUD GOBERNADOR FONTANA")</f>
        <v>CENTRO DE SALUD GOBERNADOR FONTANA</v>
      </c>
      <c r="C1009" s="30" t="str">
        <f ca="1">IFERROR(__xludf.DUMMYFUNCTION("""COMPUTED_VALUE"""),"Chubut")</f>
        <v>Chubut</v>
      </c>
      <c r="D1009" s="30" t="str">
        <f ca="1">IFERROR(__xludf.DUMMYFUNCTION("""COMPUTED_VALUE"""),"26")</f>
        <v>26</v>
      </c>
      <c r="E1009" s="30" t="str">
        <f ca="1">IFERROR(__xludf.DUMMYFUNCTION("""COMPUTED_VALUE"""),"")</f>
        <v/>
      </c>
      <c r="F1009" s="29"/>
      <c r="G1009" s="29"/>
      <c r="H1009" s="30" t="str">
        <f ca="1">IFERROR(__xludf.DUMMYFUNCTION("""COMPUTED_VALUE"""),"activo")</f>
        <v>activo</v>
      </c>
      <c r="I1009" s="29"/>
      <c r="J1009" s="29"/>
      <c r="K1009" s="29"/>
      <c r="L1009" s="30" t="str">
        <f ca="1">IFERROR(__xludf.DUMMYFUNCTION("""COMPUTED_VALUE"""),"No")</f>
        <v>No</v>
      </c>
      <c r="M1009" s="30" t="str">
        <f ca="1">IFERROR(__xludf.DUMMYFUNCTION("""COMPUTED_VALUE"""),"26007020000")</f>
        <v>26007020000</v>
      </c>
      <c r="N1009" s="30" t="str">
        <f ca="1">IFERROR(__xludf.DUMMYFUNCTION("""COMPUTED_VALUE"""),"PUERTO MADRYN")</f>
        <v>PUERTO MADRYN</v>
      </c>
      <c r="O1009" s="30" t="str">
        <f ca="1">IFERROR(__xludf.DUMMYFUNCTION("""COMPUTED_VALUE"""),"267")</f>
        <v>267</v>
      </c>
      <c r="P1009" s="30" t="str">
        <f ca="1">IFERROR(__xludf.DUMMYFUNCTION("""COMPUTED_VALUE"""),"BIEDMA")</f>
        <v>BIEDMA</v>
      </c>
      <c r="Q1009" s="30" t="str">
        <f ca="1">IFERROR(__xludf.DUMMYFUNCTION("""COMPUTED_VALUE"""),"-42.77947452")</f>
        <v>-42.77947452</v>
      </c>
      <c r="R1009" s="30" t="str">
        <f ca="1">IFERROR(__xludf.DUMMYFUNCTION("""COMPUTED_VALUE"""),"-65.05366728")</f>
        <v>-65.05366728</v>
      </c>
      <c r="S1009" s="30" t="str">
        <f ca="1">IFERROR(__xludf.DUMMYFUNCTION("""COMPUTED_VALUE"""),"Provincial")</f>
        <v>Provincial</v>
      </c>
      <c r="T1009" s="30" t="str">
        <f ca="1">IFERROR(__xludf.DUMMYFUNCTION("""COMPUTED_VALUE"""),"-")</f>
        <v>-</v>
      </c>
    </row>
    <row r="1010" spans="1:20" ht="15.75" customHeight="1" x14ac:dyDescent="0.25">
      <c r="A1010" s="30" t="str">
        <f ca="1">IFERROR(__xludf.DUMMYFUNCTION("""COMPUTED_VALUE"""),"50260352129138")</f>
        <v>50260352129138</v>
      </c>
      <c r="B1010" s="30" t="str">
        <f ca="1">IFERROR(__xludf.DUMMYFUNCTION("""COMPUTED_VALUE"""),"CENTRO DE SALUD RURAL BADEN")</f>
        <v>CENTRO DE SALUD RURAL BADEN</v>
      </c>
      <c r="C1010" s="30" t="str">
        <f ca="1">IFERROR(__xludf.DUMMYFUNCTION("""COMPUTED_VALUE"""),"Chubut")</f>
        <v>Chubut</v>
      </c>
      <c r="D1010" s="30" t="str">
        <f ca="1">IFERROR(__xludf.DUMMYFUNCTION("""COMPUTED_VALUE"""),"26")</f>
        <v>26</v>
      </c>
      <c r="E1010" s="30" t="str">
        <f ca="1">IFERROR(__xludf.DUMMYFUNCTION("""COMPUTED_VALUE"""),"si")</f>
        <v>si</v>
      </c>
      <c r="F1010" s="29"/>
      <c r="G1010" s="29"/>
      <c r="H1010" s="30" t="str">
        <f ca="1">IFERROR(__xludf.DUMMYFUNCTION("""COMPUTED_VALUE"""),"activo")</f>
        <v>activo</v>
      </c>
      <c r="I1010" s="29"/>
      <c r="J1010" s="29"/>
      <c r="K1010" s="29"/>
      <c r="L1010" s="30" t="str">
        <f ca="1">IFERROR(__xludf.DUMMYFUNCTION("""COMPUTED_VALUE"""),"No")</f>
        <v>No</v>
      </c>
      <c r="M1010" s="30" t="str">
        <f ca="1">IFERROR(__xludf.DUMMYFUNCTION("""COMPUTED_VALUE"""),"26035030000")</f>
        <v>26035030000</v>
      </c>
      <c r="N1010" s="30" t="str">
        <f ca="1">IFERROR(__xludf.DUMMYFUNCTION("""COMPUTED_VALUE"""),"ESQUEL")</f>
        <v>ESQUEL</v>
      </c>
      <c r="O1010" s="30" t="str">
        <f ca="1">IFERROR(__xludf.DUMMYFUNCTION("""COMPUTED_VALUE"""),"2635")</f>
        <v>2635</v>
      </c>
      <c r="P1010" s="30" t="str">
        <f ca="1">IFERROR(__xludf.DUMMYFUNCTION("""COMPUTED_VALUE"""),"FUTALEUFÚ")</f>
        <v>FUTALEUFÚ</v>
      </c>
      <c r="Q1010" s="30" t="str">
        <f ca="1">IFERROR(__xludf.DUMMYFUNCTION("""COMPUTED_VALUE"""),"-42.91562028")</f>
        <v>-42.91562028</v>
      </c>
      <c r="R1010" s="30" t="str">
        <f ca="1">IFERROR(__xludf.DUMMYFUNCTION("""COMPUTED_VALUE"""),"-71.296978")</f>
        <v>-71.296978</v>
      </c>
      <c r="S1010" s="30" t="str">
        <f ca="1">IFERROR(__xludf.DUMMYFUNCTION("""COMPUTED_VALUE"""),"Provincial")</f>
        <v>Provincial</v>
      </c>
      <c r="T1010" s="30" t="str">
        <f ca="1">IFERROR(__xludf.DUMMYFUNCTION("""COMPUTED_VALUE"""),"-")</f>
        <v>-</v>
      </c>
    </row>
    <row r="1011" spans="1:20" ht="15.75" customHeight="1" x14ac:dyDescent="0.25">
      <c r="A1011" s="30" t="str">
        <f ca="1">IFERROR(__xludf.DUMMYFUNCTION("""COMPUTED_VALUE"""),"50260212129129")</f>
        <v>50260212129129</v>
      </c>
      <c r="B1011" s="30" t="str">
        <f ca="1">IFERROR(__xludf.DUMMYFUNCTION("""COMPUTED_VALUE"""),"CENTRO DE SALUD PROSPERO PALAZZO")</f>
        <v>CENTRO DE SALUD PROSPERO PALAZZO</v>
      </c>
      <c r="C1011" s="30" t="str">
        <f ca="1">IFERROR(__xludf.DUMMYFUNCTION("""COMPUTED_VALUE"""),"Chubut")</f>
        <v>Chubut</v>
      </c>
      <c r="D1011" s="30" t="str">
        <f ca="1">IFERROR(__xludf.DUMMYFUNCTION("""COMPUTED_VALUE"""),"26")</f>
        <v>26</v>
      </c>
      <c r="E1011" s="30" t="str">
        <f ca="1">IFERROR(__xludf.DUMMYFUNCTION("""COMPUTED_VALUE"""),"si")</f>
        <v>si</v>
      </c>
      <c r="F1011" s="29"/>
      <c r="G1011" s="29"/>
      <c r="H1011" s="30" t="str">
        <f ca="1">IFERROR(__xludf.DUMMYFUNCTION("""COMPUTED_VALUE"""),"activo")</f>
        <v>activo</v>
      </c>
      <c r="I1011" s="29"/>
      <c r="J1011" s="29"/>
      <c r="K1011" s="29"/>
      <c r="L1011" s="30" t="str">
        <f ca="1">IFERROR(__xludf.DUMMYFUNCTION("""COMPUTED_VALUE"""),"No")</f>
        <v>No</v>
      </c>
      <c r="M1011" s="30" t="str">
        <f ca="1">IFERROR(__xludf.DUMMYFUNCTION("""COMPUTED_VALUE"""),"26021030011")</f>
        <v>26021030011</v>
      </c>
      <c r="N1011" s="30" t="str">
        <f ca="1">IFERROR(__xludf.DUMMYFUNCTION("""COMPUTED_VALUE"""),"BARRIO PROSPERO PALAZZO")</f>
        <v>BARRIO PROSPERO PALAZZO</v>
      </c>
      <c r="O1011" s="30" t="str">
        <f ca="1">IFERROR(__xludf.DUMMYFUNCTION("""COMPUTED_VALUE"""),"2621")</f>
        <v>2621</v>
      </c>
      <c r="P1011" s="30" t="str">
        <f ca="1">IFERROR(__xludf.DUMMYFUNCTION("""COMPUTED_VALUE"""),"ESCALANTE")</f>
        <v>ESCALANTE</v>
      </c>
      <c r="Q1011" s="30" t="str">
        <f ca="1">IFERROR(__xludf.DUMMYFUNCTION("""COMPUTED_VALUE"""),"-45.79430372")</f>
        <v>-45.79430372</v>
      </c>
      <c r="R1011" s="30" t="str">
        <f ca="1">IFERROR(__xludf.DUMMYFUNCTION("""COMPUTED_VALUE"""),"-67.46789932")</f>
        <v>-67.46789932</v>
      </c>
      <c r="S1011" s="30" t="str">
        <f ca="1">IFERROR(__xludf.DUMMYFUNCTION("""COMPUTED_VALUE"""),"Provincial")</f>
        <v>Provincial</v>
      </c>
      <c r="T1011" s="30" t="str">
        <f ca="1">IFERROR(__xludf.DUMMYFUNCTION("""COMPUTED_VALUE"""),"-")</f>
        <v>-</v>
      </c>
    </row>
    <row r="1012" spans="1:20" ht="15.75" customHeight="1" x14ac:dyDescent="0.25">
      <c r="A1012" s="30" t="str">
        <f ca="1">IFERROR(__xludf.DUMMYFUNCTION("""COMPUTED_VALUE"""),"50260772129111")</f>
        <v>50260772129111</v>
      </c>
      <c r="B1012" s="30" t="str">
        <f ca="1">IFERROR(__xludf.DUMMYFUNCTION("""COMPUTED_VALUE"""),"CENTRO DE SALUD JORGE MORADO")</f>
        <v>CENTRO DE SALUD JORGE MORADO</v>
      </c>
      <c r="C1012" s="30" t="str">
        <f ca="1">IFERROR(__xludf.DUMMYFUNCTION("""COMPUTED_VALUE"""),"Chubut")</f>
        <v>Chubut</v>
      </c>
      <c r="D1012" s="30" t="str">
        <f ca="1">IFERROR(__xludf.DUMMYFUNCTION("""COMPUTED_VALUE"""),"26")</f>
        <v>26</v>
      </c>
      <c r="E1012" s="30" t="str">
        <f ca="1">IFERROR(__xludf.DUMMYFUNCTION("""COMPUTED_VALUE"""),"")</f>
        <v/>
      </c>
      <c r="F1012" s="29"/>
      <c r="G1012" s="29"/>
      <c r="H1012" s="30" t="str">
        <f ca="1">IFERROR(__xludf.DUMMYFUNCTION("""COMPUTED_VALUE"""),"activo")</f>
        <v>activo</v>
      </c>
      <c r="I1012" s="29"/>
      <c r="J1012" s="29"/>
      <c r="K1012" s="29"/>
      <c r="L1012" s="30" t="str">
        <f ca="1">IFERROR(__xludf.DUMMYFUNCTION("""COMPUTED_VALUE"""),"No")</f>
        <v>No</v>
      </c>
      <c r="M1012" s="30" t="str">
        <f ca="1">IFERROR(__xludf.DUMMYFUNCTION("""COMPUTED_VALUE"""),"26077040000")</f>
        <v>26077040000</v>
      </c>
      <c r="N1012" s="30" t="str">
        <f ca="1">IFERROR(__xludf.DUMMYFUNCTION("""COMPUTED_VALUE"""),"TRELEW")</f>
        <v>TRELEW</v>
      </c>
      <c r="O1012" s="30" t="str">
        <f ca="1">IFERROR(__xludf.DUMMYFUNCTION("""COMPUTED_VALUE"""),"2677")</f>
        <v>2677</v>
      </c>
      <c r="P1012" s="30" t="str">
        <f ca="1">IFERROR(__xludf.DUMMYFUNCTION("""COMPUTED_VALUE"""),"RAWSON")</f>
        <v>RAWSON</v>
      </c>
      <c r="Q1012" s="30" t="str">
        <f ca="1">IFERROR(__xludf.DUMMYFUNCTION("""COMPUTED_VALUE"""),"-43.25132952")</f>
        <v>-43.25132952</v>
      </c>
      <c r="R1012" s="30" t="str">
        <f ca="1">IFERROR(__xludf.DUMMYFUNCTION("""COMPUTED_VALUE"""),"-65.32947063")</f>
        <v>-65.32947063</v>
      </c>
      <c r="S1012" s="30" t="str">
        <f ca="1">IFERROR(__xludf.DUMMYFUNCTION("""COMPUTED_VALUE"""),"Provincial")</f>
        <v>Provincial</v>
      </c>
      <c r="T1012" s="30" t="str">
        <f ca="1">IFERROR(__xludf.DUMMYFUNCTION("""COMPUTED_VALUE"""),"-")</f>
        <v>-</v>
      </c>
    </row>
    <row r="1013" spans="1:20" ht="15.75" customHeight="1" x14ac:dyDescent="0.25">
      <c r="A1013" s="30" t="str">
        <f ca="1">IFERROR(__xludf.DUMMYFUNCTION("""COMPUTED_VALUE"""),"50260212129120")</f>
        <v>50260212129120</v>
      </c>
      <c r="B1013" s="30" t="str">
        <f ca="1">IFERROR(__xludf.DUMMYFUNCTION("""COMPUTED_VALUE"""),"CENTRO DE SALUD MAXIMO ABASOLO")</f>
        <v>CENTRO DE SALUD MAXIMO ABASOLO</v>
      </c>
      <c r="C1013" s="30" t="str">
        <f ca="1">IFERROR(__xludf.DUMMYFUNCTION("""COMPUTED_VALUE"""),"Chubut")</f>
        <v>Chubut</v>
      </c>
      <c r="D1013" s="30" t="str">
        <f ca="1">IFERROR(__xludf.DUMMYFUNCTION("""COMPUTED_VALUE"""),"26")</f>
        <v>26</v>
      </c>
      <c r="E1013" s="30" t="str">
        <f ca="1">IFERROR(__xludf.DUMMYFUNCTION("""COMPUTED_VALUE"""),"")</f>
        <v/>
      </c>
      <c r="F1013" s="29"/>
      <c r="G1013" s="29"/>
      <c r="H1013" s="30" t="str">
        <f ca="1">IFERROR(__xludf.DUMMYFUNCTION("""COMPUTED_VALUE"""),"activo")</f>
        <v>activo</v>
      </c>
      <c r="I1013" s="29"/>
      <c r="J1013" s="29"/>
      <c r="K1013" s="29"/>
      <c r="L1013" s="30" t="str">
        <f ca="1">IFERROR(__xludf.DUMMYFUNCTION("""COMPUTED_VALUE"""),"No")</f>
        <v>No</v>
      </c>
      <c r="M1013" s="30" t="str">
        <f ca="1">IFERROR(__xludf.DUMMYFUNCTION("""COMPUTED_VALUE"""),"26021030018")</f>
        <v>26021030018</v>
      </c>
      <c r="N1013" s="30" t="str">
        <f ca="1">IFERROR(__xludf.DUMMYFUNCTION("""COMPUTED_VALUE"""),"COMODORO RIVADAVIA")</f>
        <v>COMODORO RIVADAVIA</v>
      </c>
      <c r="O1013" s="30" t="str">
        <f ca="1">IFERROR(__xludf.DUMMYFUNCTION("""COMPUTED_VALUE"""),"2621")</f>
        <v>2621</v>
      </c>
      <c r="P1013" s="30" t="str">
        <f ca="1">IFERROR(__xludf.DUMMYFUNCTION("""COMPUTED_VALUE"""),"ESCALANTE")</f>
        <v>ESCALANTE</v>
      </c>
      <c r="Q1013" s="30" t="str">
        <f ca="1">IFERROR(__xludf.DUMMYFUNCTION("""COMPUTED_VALUE"""),"-45.8576811")</f>
        <v>-45.8576811</v>
      </c>
      <c r="R1013" s="30" t="str">
        <f ca="1">IFERROR(__xludf.DUMMYFUNCTION("""COMPUTED_VALUE"""),"-67.5387574")</f>
        <v>-67.5387574</v>
      </c>
      <c r="S1013" s="30" t="str">
        <f ca="1">IFERROR(__xludf.DUMMYFUNCTION("""COMPUTED_VALUE"""),"Provincial")</f>
        <v>Provincial</v>
      </c>
      <c r="T1013" s="30" t="str">
        <f ca="1">IFERROR(__xludf.DUMMYFUNCTION("""COMPUTED_VALUE"""),"-")</f>
        <v>-</v>
      </c>
    </row>
    <row r="1014" spans="1:20" ht="15.75" customHeight="1" x14ac:dyDescent="0.25">
      <c r="A1014" s="30" t="str">
        <f ca="1">IFERROR(__xludf.DUMMYFUNCTION("""COMPUTED_VALUE"""),"50260352129144")</f>
        <v>50260352129144</v>
      </c>
      <c r="B1014" s="30" t="str">
        <f ca="1">IFERROR(__xludf.DUMMYFUNCTION("""COMPUTED_VALUE"""),"CENTRO DE SALUD SARGENTO CABRAL")</f>
        <v>CENTRO DE SALUD SARGENTO CABRAL</v>
      </c>
      <c r="C1014" s="30" t="str">
        <f ca="1">IFERROR(__xludf.DUMMYFUNCTION("""COMPUTED_VALUE"""),"Chubut")</f>
        <v>Chubut</v>
      </c>
      <c r="D1014" s="30" t="str">
        <f ca="1">IFERROR(__xludf.DUMMYFUNCTION("""COMPUTED_VALUE"""),"26")</f>
        <v>26</v>
      </c>
      <c r="E1014" s="30" t="str">
        <f ca="1">IFERROR(__xludf.DUMMYFUNCTION("""COMPUTED_VALUE"""),"")</f>
        <v/>
      </c>
      <c r="F1014" s="29"/>
      <c r="G1014" s="29"/>
      <c r="H1014" s="30" t="str">
        <f ca="1">IFERROR(__xludf.DUMMYFUNCTION("""COMPUTED_VALUE"""),"inactivo")</f>
        <v>inactivo</v>
      </c>
      <c r="I1014" s="30" t="str">
        <f ca="1">IFERROR(__xludf.DUMMYFUNCTION("""COMPUTED_VALUE"""),"se dio de baja segun nota de Chubut el 25/02/2021")</f>
        <v>se dio de baja segun nota de Chubut el 25/02/2021</v>
      </c>
      <c r="J1014" s="29"/>
      <c r="K1014" s="29"/>
      <c r="L1014" s="30" t="str">
        <f ca="1">IFERROR(__xludf.DUMMYFUNCTION("""COMPUTED_VALUE"""),"No")</f>
        <v>No</v>
      </c>
      <c r="M1014" s="30" t="str">
        <f ca="1">IFERROR(__xludf.DUMMYFUNCTION("""COMPUTED_VALUE"""),"26035030000")</f>
        <v>26035030000</v>
      </c>
      <c r="N1014" s="30" t="str">
        <f ca="1">IFERROR(__xludf.DUMMYFUNCTION("""COMPUTED_VALUE"""),"ESQUEL")</f>
        <v>ESQUEL</v>
      </c>
      <c r="O1014" s="30" t="str">
        <f ca="1">IFERROR(__xludf.DUMMYFUNCTION("""COMPUTED_VALUE"""),"2635")</f>
        <v>2635</v>
      </c>
      <c r="P1014" s="30" t="str">
        <f ca="1">IFERROR(__xludf.DUMMYFUNCTION("""COMPUTED_VALUE"""),"FUTALEUFÚ")</f>
        <v>FUTALEUFÚ</v>
      </c>
      <c r="Q1014" s="30" t="str">
        <f ca="1">IFERROR(__xludf.DUMMYFUNCTION("""COMPUTED_VALUE"""),"-42.9145717")</f>
        <v>-42.9145717</v>
      </c>
      <c r="R1014" s="30" t="str">
        <f ca="1">IFERROR(__xludf.DUMMYFUNCTION("""COMPUTED_VALUE"""),"-71.3022313")</f>
        <v>-71.3022313</v>
      </c>
      <c r="S1014" s="30" t="str">
        <f ca="1">IFERROR(__xludf.DUMMYFUNCTION("""COMPUTED_VALUE"""),"Provincial")</f>
        <v>Provincial</v>
      </c>
      <c r="T1014" s="30" t="str">
        <f ca="1">IFERROR(__xludf.DUMMYFUNCTION("""COMPUTED_VALUE"""),"-")</f>
        <v>-</v>
      </c>
    </row>
    <row r="1015" spans="1:20" ht="15.75" customHeight="1" x14ac:dyDescent="0.25">
      <c r="A1015" s="30" t="str">
        <f ca="1">IFERROR(__xludf.DUMMYFUNCTION("""COMPUTED_VALUE"""),"10260142129016")</f>
        <v>10260142129016</v>
      </c>
      <c r="B1015" s="30" t="str">
        <f ca="1">IFERROR(__xludf.DUMMYFUNCTION("""COMPUTED_VALUE"""),"HOSPITAL RURAL CUSHAMEN")</f>
        <v>HOSPITAL RURAL CUSHAMEN</v>
      </c>
      <c r="C1015" s="30" t="str">
        <f ca="1">IFERROR(__xludf.DUMMYFUNCTION("""COMPUTED_VALUE"""),"Chubut")</f>
        <v>Chubut</v>
      </c>
      <c r="D1015" s="30" t="str">
        <f ca="1">IFERROR(__xludf.DUMMYFUNCTION("""COMPUTED_VALUE"""),"26")</f>
        <v>26</v>
      </c>
      <c r="E1015" s="30" t="str">
        <f ca="1">IFERROR(__xludf.DUMMYFUNCTION("""COMPUTED_VALUE"""),"si")</f>
        <v>si</v>
      </c>
      <c r="F1015" s="29"/>
      <c r="G1015" s="29"/>
      <c r="H1015" s="30" t="str">
        <f ca="1">IFERROR(__xludf.DUMMYFUNCTION("""COMPUTED_VALUE"""),"activo")</f>
        <v>activo</v>
      </c>
      <c r="I1015" s="29"/>
      <c r="J1015" s="29"/>
      <c r="K1015" s="29"/>
      <c r="L1015" s="30" t="str">
        <f ca="1">IFERROR(__xludf.DUMMYFUNCTION("""COMPUTED_VALUE"""),"No")</f>
        <v>No</v>
      </c>
      <c r="M1015" s="30" t="str">
        <f ca="1">IFERROR(__xludf.DUMMYFUNCTION("""COMPUTED_VALUE"""),"26014030000")</f>
        <v>26014030000</v>
      </c>
      <c r="N1015" s="30" t="str">
        <f ca="1">IFERROR(__xludf.DUMMYFUNCTION("""COMPUTED_VALUE"""),"CUSHAMEN CENTRO")</f>
        <v>CUSHAMEN CENTRO</v>
      </c>
      <c r="O1015" s="30" t="str">
        <f ca="1">IFERROR(__xludf.DUMMYFUNCTION("""COMPUTED_VALUE"""),"2614")</f>
        <v>2614</v>
      </c>
      <c r="P1015" s="30" t="str">
        <f ca="1">IFERROR(__xludf.DUMMYFUNCTION("""COMPUTED_VALUE"""),"CUSHAMEN")</f>
        <v>CUSHAMEN</v>
      </c>
      <c r="Q1015" s="30" t="str">
        <f ca="1">IFERROR(__xludf.DUMMYFUNCTION("""COMPUTED_VALUE"""),"-42.36666414")</f>
        <v>-42.36666414</v>
      </c>
      <c r="R1015" s="30" t="str">
        <f ca="1">IFERROR(__xludf.DUMMYFUNCTION("""COMPUTED_VALUE"""),"-71.03332928")</f>
        <v>-71.03332928</v>
      </c>
      <c r="S1015" s="30" t="str">
        <f ca="1">IFERROR(__xludf.DUMMYFUNCTION("""COMPUTED_VALUE"""),"Provincial")</f>
        <v>Provincial</v>
      </c>
      <c r="T1015" s="30" t="str">
        <f ca="1">IFERROR(__xludf.DUMMYFUNCTION("""COMPUTED_VALUE"""),"-")</f>
        <v>-</v>
      </c>
    </row>
    <row r="1016" spans="1:20" ht="15.75" customHeight="1" x14ac:dyDescent="0.25">
      <c r="A1016" s="30" t="str">
        <f ca="1">IFERROR(__xludf.DUMMYFUNCTION("""COMPUTED_VALUE"""),"10260142129024")</f>
        <v>10260142129024</v>
      </c>
      <c r="B1016" s="30" t="str">
        <f ca="1">IFERROR(__xludf.DUMMYFUNCTION("""COMPUTED_VALUE"""),"HOSPITAL RURAL GUALJAINA")</f>
        <v>HOSPITAL RURAL GUALJAINA</v>
      </c>
      <c r="C1016" s="30" t="str">
        <f ca="1">IFERROR(__xludf.DUMMYFUNCTION("""COMPUTED_VALUE"""),"Chubut")</f>
        <v>Chubut</v>
      </c>
      <c r="D1016" s="30" t="str">
        <f ca="1">IFERROR(__xludf.DUMMYFUNCTION("""COMPUTED_VALUE"""),"26")</f>
        <v>26</v>
      </c>
      <c r="E1016" s="30" t="str">
        <f ca="1">IFERROR(__xludf.DUMMYFUNCTION("""COMPUTED_VALUE"""),"")</f>
        <v/>
      </c>
      <c r="F1016" s="29"/>
      <c r="G1016" s="29"/>
      <c r="H1016" s="30" t="str">
        <f ca="1">IFERROR(__xludf.DUMMYFUNCTION("""COMPUTED_VALUE"""),"activo")</f>
        <v>activo</v>
      </c>
      <c r="I1016" s="29"/>
      <c r="J1016" s="29"/>
      <c r="K1016" s="29"/>
      <c r="L1016" s="30" t="str">
        <f ca="1">IFERROR(__xludf.DUMMYFUNCTION("""COMPUTED_VALUE"""),"No")</f>
        <v>No</v>
      </c>
      <c r="M1016" s="30" t="str">
        <f ca="1">IFERROR(__xludf.DUMMYFUNCTION("""COMPUTED_VALUE"""),"26014070000")</f>
        <v>26014070000</v>
      </c>
      <c r="N1016" s="30" t="str">
        <f ca="1">IFERROR(__xludf.DUMMYFUNCTION("""COMPUTED_VALUE"""),"GUALJAINA")</f>
        <v>GUALJAINA</v>
      </c>
      <c r="O1016" s="30" t="str">
        <f ca="1">IFERROR(__xludf.DUMMYFUNCTION("""COMPUTED_VALUE"""),"2614")</f>
        <v>2614</v>
      </c>
      <c r="P1016" s="30" t="str">
        <f ca="1">IFERROR(__xludf.DUMMYFUNCTION("""COMPUTED_VALUE"""),"CUSHAMEN")</f>
        <v>CUSHAMEN</v>
      </c>
      <c r="Q1016" s="30" t="str">
        <f ca="1">IFERROR(__xludf.DUMMYFUNCTION("""COMPUTED_VALUE"""),"-42.70211825")</f>
        <v>-42.70211825</v>
      </c>
      <c r="R1016" s="30" t="str">
        <f ca="1">IFERROR(__xludf.DUMMYFUNCTION("""COMPUTED_VALUE"""),"-70.49952507")</f>
        <v>-70.49952507</v>
      </c>
      <c r="S1016" s="30" t="str">
        <f ca="1">IFERROR(__xludf.DUMMYFUNCTION("""COMPUTED_VALUE"""),"Provincial")</f>
        <v>Provincial</v>
      </c>
      <c r="T1016" s="30" t="str">
        <f ca="1">IFERROR(__xludf.DUMMYFUNCTION("""COMPUTED_VALUE"""),"-")</f>
        <v>-</v>
      </c>
    </row>
    <row r="1017" spans="1:20" ht="15.75" customHeight="1" x14ac:dyDescent="0.25">
      <c r="A1017" s="30" t="str">
        <f ca="1">IFERROR(__xludf.DUMMYFUNCTION("""COMPUTED_VALUE"""),"50260212129130")</f>
        <v>50260212129130</v>
      </c>
      <c r="B1017" s="30" t="str">
        <f ca="1">IFERROR(__xludf.DUMMYFUNCTION("""COMPUTED_VALUE"""),"CENTRO DE SALUD QUIRNO COSTA")</f>
        <v>CENTRO DE SALUD QUIRNO COSTA</v>
      </c>
      <c r="C1017" s="30" t="str">
        <f ca="1">IFERROR(__xludf.DUMMYFUNCTION("""COMPUTED_VALUE"""),"Chubut")</f>
        <v>Chubut</v>
      </c>
      <c r="D1017" s="30" t="str">
        <f ca="1">IFERROR(__xludf.DUMMYFUNCTION("""COMPUTED_VALUE"""),"26")</f>
        <v>26</v>
      </c>
      <c r="E1017" s="30" t="str">
        <f ca="1">IFERROR(__xludf.DUMMYFUNCTION("""COMPUTED_VALUE"""),"")</f>
        <v/>
      </c>
      <c r="F1017" s="29"/>
      <c r="G1017" s="29"/>
      <c r="H1017" s="30" t="str">
        <f ca="1">IFERROR(__xludf.DUMMYFUNCTION("""COMPUTED_VALUE"""),"activo")</f>
        <v>activo</v>
      </c>
      <c r="I1017" s="29"/>
      <c r="J1017" s="29"/>
      <c r="K1017" s="29"/>
      <c r="L1017" s="30" t="str">
        <f ca="1">IFERROR(__xludf.DUMMYFUNCTION("""COMPUTED_VALUE"""),"No")</f>
        <v>No</v>
      </c>
      <c r="M1017" s="30" t="str">
        <f ca="1">IFERROR(__xludf.DUMMYFUNCTION("""COMPUTED_VALUE"""),"26021030018")</f>
        <v>26021030018</v>
      </c>
      <c r="N1017" s="30" t="str">
        <f ca="1">IFERROR(__xludf.DUMMYFUNCTION("""COMPUTED_VALUE"""),"COMODORO RIVADAVIA")</f>
        <v>COMODORO RIVADAVIA</v>
      </c>
      <c r="O1017" s="30" t="str">
        <f ca="1">IFERROR(__xludf.DUMMYFUNCTION("""COMPUTED_VALUE"""),"2621")</f>
        <v>2621</v>
      </c>
      <c r="P1017" s="30" t="str">
        <f ca="1">IFERROR(__xludf.DUMMYFUNCTION("""COMPUTED_VALUE"""),"ESCALANTE")</f>
        <v>ESCALANTE</v>
      </c>
      <c r="Q1017" s="30" t="str">
        <f ca="1">IFERROR(__xludf.DUMMYFUNCTION("""COMPUTED_VALUE"""),"-45.8690148")</f>
        <v>-45.8690148</v>
      </c>
      <c r="R1017" s="30" t="str">
        <f ca="1">IFERROR(__xludf.DUMMYFUNCTION("""COMPUTED_VALUE"""),"-67.5336343")</f>
        <v>-67.5336343</v>
      </c>
      <c r="S1017" s="30" t="str">
        <f ca="1">IFERROR(__xludf.DUMMYFUNCTION("""COMPUTED_VALUE"""),"Provincial")</f>
        <v>Provincial</v>
      </c>
      <c r="T1017" s="30" t="str">
        <f ca="1">IFERROR(__xludf.DUMMYFUNCTION("""COMPUTED_VALUE"""),"-")</f>
        <v>-</v>
      </c>
    </row>
    <row r="1018" spans="1:20" ht="15.75" customHeight="1" x14ac:dyDescent="0.25">
      <c r="A1018" s="30" t="str">
        <f ca="1">IFERROR(__xludf.DUMMYFUNCTION("""COMPUTED_VALUE"""),"50260772129126")</f>
        <v>50260772129126</v>
      </c>
      <c r="B1018" s="30" t="str">
        <f ca="1">IFERROR(__xludf.DUMMYFUNCTION("""COMPUTED_VALUE"""),"CENTRO DE SALUD PLANTA DE GAS")</f>
        <v>CENTRO DE SALUD PLANTA DE GAS</v>
      </c>
      <c r="C1018" s="30" t="str">
        <f ca="1">IFERROR(__xludf.DUMMYFUNCTION("""COMPUTED_VALUE"""),"Chubut")</f>
        <v>Chubut</v>
      </c>
      <c r="D1018" s="30" t="str">
        <f ca="1">IFERROR(__xludf.DUMMYFUNCTION("""COMPUTED_VALUE"""),"26")</f>
        <v>26</v>
      </c>
      <c r="E1018" s="30" t="str">
        <f ca="1">IFERROR(__xludf.DUMMYFUNCTION("""COMPUTED_VALUE"""),"")</f>
        <v/>
      </c>
      <c r="F1018" s="29"/>
      <c r="G1018" s="30" t="str">
        <f ca="1">IFERROR(__xludf.DUMMYFUNCTION("""COMPUTED_VALUE"""),"50260772129098")</f>
        <v>50260772129098</v>
      </c>
      <c r="H1018" s="30" t="str">
        <f ca="1">IFERROR(__xludf.DUMMYFUNCTION("""COMPUTED_VALUE"""),"inactivo")</f>
        <v>inactivo</v>
      </c>
      <c r="I1018" s="29"/>
      <c r="J1018" s="29"/>
      <c r="K1018" s="29"/>
      <c r="L1018" s="30" t="str">
        <f ca="1">IFERROR(__xludf.DUMMYFUNCTION("""COMPUTED_VALUE"""),"No")</f>
        <v>No</v>
      </c>
      <c r="M1018" s="30" t="str">
        <f ca="1">IFERROR(__xludf.DUMMYFUNCTION("""COMPUTED_VALUE"""),"26077040000")</f>
        <v>26077040000</v>
      </c>
      <c r="N1018" s="30" t="str">
        <f ca="1">IFERROR(__xludf.DUMMYFUNCTION("""COMPUTED_VALUE"""),"TRELEW")</f>
        <v>TRELEW</v>
      </c>
      <c r="O1018" s="30" t="str">
        <f ca="1">IFERROR(__xludf.DUMMYFUNCTION("""COMPUTED_VALUE"""),"2677")</f>
        <v>2677</v>
      </c>
      <c r="P1018" s="30" t="str">
        <f ca="1">IFERROR(__xludf.DUMMYFUNCTION("""COMPUTED_VALUE"""),"RAWSON")</f>
        <v>RAWSON</v>
      </c>
      <c r="Q1018" s="30" t="str">
        <f ca="1">IFERROR(__xludf.DUMMYFUNCTION("""COMPUTED_VALUE"""),"-43.2444383")</f>
        <v>-43.2444383</v>
      </c>
      <c r="R1018" s="30" t="str">
        <f ca="1">IFERROR(__xludf.DUMMYFUNCTION("""COMPUTED_VALUE"""),"-65.2843109")</f>
        <v>-65.2843109</v>
      </c>
      <c r="S1018" s="30" t="str">
        <f ca="1">IFERROR(__xludf.DUMMYFUNCTION("""COMPUTED_VALUE"""),"Provincial")</f>
        <v>Provincial</v>
      </c>
      <c r="T1018" s="30" t="str">
        <f ca="1">IFERROR(__xludf.DUMMYFUNCTION("""COMPUTED_VALUE"""),"-")</f>
        <v>-</v>
      </c>
    </row>
    <row r="1019" spans="1:20" ht="15.75" customHeight="1" x14ac:dyDescent="0.25">
      <c r="A1019" s="30" t="str">
        <f ca="1">IFERROR(__xludf.DUMMYFUNCTION("""COMPUTED_VALUE"""),"50260772129098")</f>
        <v>50260772129098</v>
      </c>
      <c r="B1019" s="30" t="str">
        <f ca="1">IFERROR(__xludf.DUMMYFUNCTION("""COMPUTED_VALUE"""),"CENTRO DE SALUD ETCHEPARE TRELEW")</f>
        <v>CENTRO DE SALUD ETCHEPARE TRELEW</v>
      </c>
      <c r="C1019" s="30" t="str">
        <f ca="1">IFERROR(__xludf.DUMMYFUNCTION("""COMPUTED_VALUE"""),"Chubut")</f>
        <v>Chubut</v>
      </c>
      <c r="D1019" s="30" t="str">
        <f ca="1">IFERROR(__xludf.DUMMYFUNCTION("""COMPUTED_VALUE"""),"26")</f>
        <v>26</v>
      </c>
      <c r="E1019" s="30" t="str">
        <f ca="1">IFERROR(__xludf.DUMMYFUNCTION("""COMPUTED_VALUE"""),"")</f>
        <v/>
      </c>
      <c r="F1019" s="30" t="str">
        <f ca="1">IFERROR(__xludf.DUMMYFUNCTION("""COMPUTED_VALUE"""),"50260772129126")</f>
        <v>50260772129126</v>
      </c>
      <c r="G1019" s="29"/>
      <c r="H1019" s="30" t="str">
        <f ca="1">IFERROR(__xludf.DUMMYFUNCTION("""COMPUTED_VALUE"""),"activo")</f>
        <v>activo</v>
      </c>
      <c r="I1019" s="29"/>
      <c r="J1019" s="29"/>
      <c r="K1019" s="29"/>
      <c r="L1019" s="30" t="str">
        <f ca="1">IFERROR(__xludf.DUMMYFUNCTION("""COMPUTED_VALUE"""),"No")</f>
        <v>No</v>
      </c>
      <c r="M1019" s="30" t="str">
        <f ca="1">IFERROR(__xludf.DUMMYFUNCTION("""COMPUTED_VALUE"""),"26077040000")</f>
        <v>26077040000</v>
      </c>
      <c r="N1019" s="30" t="str">
        <f ca="1">IFERROR(__xludf.DUMMYFUNCTION("""COMPUTED_VALUE"""),"TRELEW")</f>
        <v>TRELEW</v>
      </c>
      <c r="O1019" s="30" t="str">
        <f ca="1">IFERROR(__xludf.DUMMYFUNCTION("""COMPUTED_VALUE"""),"2677")</f>
        <v>2677</v>
      </c>
      <c r="P1019" s="30" t="str">
        <f ca="1">IFERROR(__xludf.DUMMYFUNCTION("""COMPUTED_VALUE"""),"RAWSON")</f>
        <v>RAWSON</v>
      </c>
      <c r="Q1019" s="30" t="str">
        <f ca="1">IFERROR(__xludf.DUMMYFUNCTION("""COMPUTED_VALUE"""),"-43.2741171")</f>
        <v>-43.2741171</v>
      </c>
      <c r="R1019" s="30" t="str">
        <f ca="1">IFERROR(__xludf.DUMMYFUNCTION("""COMPUTED_VALUE"""),"-65.3059264")</f>
        <v>-65.3059264</v>
      </c>
      <c r="S1019" s="30" t="str">
        <f ca="1">IFERROR(__xludf.DUMMYFUNCTION("""COMPUTED_VALUE"""),"Provincial")</f>
        <v>Provincial</v>
      </c>
      <c r="T1019" s="30" t="str">
        <f ca="1">IFERROR(__xludf.DUMMYFUNCTION("""COMPUTED_VALUE"""),"-")</f>
        <v>-</v>
      </c>
    </row>
    <row r="1020" spans="1:20" ht="15.75" customHeight="1" x14ac:dyDescent="0.25">
      <c r="A1020" s="30" t="str">
        <f ca="1">IFERROR(__xludf.DUMMYFUNCTION("""COMPUTED_VALUE"""),"50260212129105")</f>
        <v>50260212129105</v>
      </c>
      <c r="B1020" s="30" t="str">
        <f ca="1">IFERROR(__xludf.DUMMYFUNCTION("""COMPUTED_VALUE"""),"CENTRO DE SALUD HOSPITAL LAPRIDA")</f>
        <v>CENTRO DE SALUD HOSPITAL LAPRIDA</v>
      </c>
      <c r="C1020" s="30" t="str">
        <f ca="1">IFERROR(__xludf.DUMMYFUNCTION("""COMPUTED_VALUE"""),"Chubut")</f>
        <v>Chubut</v>
      </c>
      <c r="D1020" s="30" t="str">
        <f ca="1">IFERROR(__xludf.DUMMYFUNCTION("""COMPUTED_VALUE"""),"26")</f>
        <v>26</v>
      </c>
      <c r="E1020" s="30" t="str">
        <f ca="1">IFERROR(__xludf.DUMMYFUNCTION("""COMPUTED_VALUE"""),"si")</f>
        <v>si</v>
      </c>
      <c r="F1020" s="29"/>
      <c r="G1020" s="29"/>
      <c r="H1020" s="30" t="str">
        <f ca="1">IFERROR(__xludf.DUMMYFUNCTION("""COMPUTED_VALUE"""),"activo")</f>
        <v>activo</v>
      </c>
      <c r="I1020" s="29"/>
      <c r="J1020" s="29"/>
      <c r="K1020" s="29"/>
      <c r="L1020" s="30" t="str">
        <f ca="1">IFERROR(__xludf.DUMMYFUNCTION("""COMPUTED_VALUE"""),"No")</f>
        <v>No</v>
      </c>
      <c r="M1020" s="30" t="str">
        <f ca="1">IFERROR(__xludf.DUMMYFUNCTION("""COMPUTED_VALUE"""),"26021030008")</f>
        <v>26021030008</v>
      </c>
      <c r="N1020" s="30" t="str">
        <f ca="1">IFERROR(__xludf.DUMMYFUNCTION("""COMPUTED_VALUE"""),"BARRIO LAPRIDA")</f>
        <v>BARRIO LAPRIDA</v>
      </c>
      <c r="O1020" s="30" t="str">
        <f ca="1">IFERROR(__xludf.DUMMYFUNCTION("""COMPUTED_VALUE"""),"2621")</f>
        <v>2621</v>
      </c>
      <c r="P1020" s="30" t="str">
        <f ca="1">IFERROR(__xludf.DUMMYFUNCTION("""COMPUTED_VALUE"""),"ESCALANTE")</f>
        <v>ESCALANTE</v>
      </c>
      <c r="Q1020" s="30" t="str">
        <f ca="1">IFERROR(__xludf.DUMMYFUNCTION("""COMPUTED_VALUE"""),"-45.8283836")</f>
        <v>-45.8283836</v>
      </c>
      <c r="R1020" s="30" t="str">
        <f ca="1">IFERROR(__xludf.DUMMYFUNCTION("""COMPUTED_VALUE"""),"-67.5429638")</f>
        <v>-67.5429638</v>
      </c>
      <c r="S1020" s="30" t="str">
        <f ca="1">IFERROR(__xludf.DUMMYFUNCTION("""COMPUTED_VALUE"""),"Provincial")</f>
        <v>Provincial</v>
      </c>
      <c r="T1020" s="30" t="str">
        <f ca="1">IFERROR(__xludf.DUMMYFUNCTION("""COMPUTED_VALUE"""),"-")</f>
        <v>-</v>
      </c>
    </row>
    <row r="1021" spans="1:20" ht="15.75" customHeight="1" x14ac:dyDescent="0.25">
      <c r="A1021" s="30" t="str">
        <f ca="1">IFERROR(__xludf.DUMMYFUNCTION("""COMPUTED_VALUE"""),"10260142129021")</f>
        <v>10260142129021</v>
      </c>
      <c r="B1021" s="30" t="str">
        <f ca="1">IFERROR(__xludf.DUMMYFUNCTION("""COMPUTED_VALUE"""),"HOSPITAL RURAL EPUYEN")</f>
        <v>HOSPITAL RURAL EPUYEN</v>
      </c>
      <c r="C1021" s="30" t="str">
        <f ca="1">IFERROR(__xludf.DUMMYFUNCTION("""COMPUTED_VALUE"""),"Chubut")</f>
        <v>Chubut</v>
      </c>
      <c r="D1021" s="30" t="str">
        <f ca="1">IFERROR(__xludf.DUMMYFUNCTION("""COMPUTED_VALUE"""),"26")</f>
        <v>26</v>
      </c>
      <c r="E1021" s="30" t="str">
        <f ca="1">IFERROR(__xludf.DUMMYFUNCTION("""COMPUTED_VALUE"""),"")</f>
        <v/>
      </c>
      <c r="F1021" s="29"/>
      <c r="G1021" s="29"/>
      <c r="H1021" s="30" t="str">
        <f ca="1">IFERROR(__xludf.DUMMYFUNCTION("""COMPUTED_VALUE"""),"inactivo")</f>
        <v>inactivo</v>
      </c>
      <c r="I1021" s="30" t="str">
        <f ca="1">IFERROR(__xludf.DUMMYFUNCTION("""COMPUTED_VALUE"""),"se dio de baja segun nota de Chubut el 25/02/2021")</f>
        <v>se dio de baja segun nota de Chubut el 25/02/2021</v>
      </c>
      <c r="J1021" s="29"/>
      <c r="K1021" s="29"/>
      <c r="L1021" s="30" t="str">
        <f ca="1">IFERROR(__xludf.DUMMYFUNCTION("""COMPUTED_VALUE"""),"No")</f>
        <v>No</v>
      </c>
      <c r="M1021" s="30" t="str">
        <f ca="1">IFERROR(__xludf.DUMMYFUNCTION("""COMPUTED_VALUE"""),"26014060000")</f>
        <v>26014060000</v>
      </c>
      <c r="N1021" s="30" t="str">
        <f ca="1">IFERROR(__xludf.DUMMYFUNCTION("""COMPUTED_VALUE"""),"EPUYEN")</f>
        <v>EPUYEN</v>
      </c>
      <c r="O1021" s="30" t="str">
        <f ca="1">IFERROR(__xludf.DUMMYFUNCTION("""COMPUTED_VALUE"""),"2614")</f>
        <v>2614</v>
      </c>
      <c r="P1021" s="30" t="str">
        <f ca="1">IFERROR(__xludf.DUMMYFUNCTION("""COMPUTED_VALUE"""),"CUSHAMEN")</f>
        <v>CUSHAMEN</v>
      </c>
      <c r="Q1021" s="30" t="str">
        <f ca="1">IFERROR(__xludf.DUMMYFUNCTION("""COMPUTED_VALUE"""),"-42.2341735")</f>
        <v>-42.2341735</v>
      </c>
      <c r="R1021" s="30" t="str">
        <f ca="1">IFERROR(__xludf.DUMMYFUNCTION("""COMPUTED_VALUE"""),"-71.35109425")</f>
        <v>-71.35109425</v>
      </c>
      <c r="S1021" s="30" t="str">
        <f ca="1">IFERROR(__xludf.DUMMYFUNCTION("""COMPUTED_VALUE"""),"Provincial")</f>
        <v>Provincial</v>
      </c>
      <c r="T1021" s="30" t="str">
        <f ca="1">IFERROR(__xludf.DUMMYFUNCTION("""COMPUTED_VALUE"""),"-")</f>
        <v>-</v>
      </c>
    </row>
    <row r="1022" spans="1:20" ht="15.75" customHeight="1" x14ac:dyDescent="0.25">
      <c r="A1022" s="30" t="str">
        <f ca="1">IFERROR(__xludf.DUMMYFUNCTION("""COMPUTED_VALUE"""),"50260212129151")</f>
        <v>50260212129151</v>
      </c>
      <c r="B1022" s="30" t="str">
        <f ca="1">IFERROR(__xludf.DUMMYFUNCTION("""COMPUTED_VALUE"""),"CENTRO DE SALUD 30 DE OCTUBRE")</f>
        <v>CENTRO DE SALUD 30 DE OCTUBRE</v>
      </c>
      <c r="C1022" s="30" t="str">
        <f ca="1">IFERROR(__xludf.DUMMYFUNCTION("""COMPUTED_VALUE"""),"Chubut")</f>
        <v>Chubut</v>
      </c>
      <c r="D1022" s="30" t="str">
        <f ca="1">IFERROR(__xludf.DUMMYFUNCTION("""COMPUTED_VALUE"""),"26")</f>
        <v>26</v>
      </c>
      <c r="E1022" s="30" t="str">
        <f ca="1">IFERROR(__xludf.DUMMYFUNCTION("""COMPUTED_VALUE"""),"")</f>
        <v/>
      </c>
      <c r="F1022" s="29"/>
      <c r="G1022" s="29"/>
      <c r="H1022" s="30" t="str">
        <f ca="1">IFERROR(__xludf.DUMMYFUNCTION("""COMPUTED_VALUE"""),"activo")</f>
        <v>activo</v>
      </c>
      <c r="I1022" s="29"/>
      <c r="J1022" s="29"/>
      <c r="K1022" s="29"/>
      <c r="L1022" s="30" t="str">
        <f ca="1">IFERROR(__xludf.DUMMYFUNCTION("""COMPUTED_VALUE"""),"No")</f>
        <v>No</v>
      </c>
      <c r="M1022" s="30" t="str">
        <f ca="1">IFERROR(__xludf.DUMMYFUNCTION("""COMPUTED_VALUE"""),"26021030018")</f>
        <v>26021030018</v>
      </c>
      <c r="N1022" s="30" t="str">
        <f ca="1">IFERROR(__xludf.DUMMYFUNCTION("""COMPUTED_VALUE"""),"COMODORO RIVADAVIA")</f>
        <v>COMODORO RIVADAVIA</v>
      </c>
      <c r="O1022" s="30" t="str">
        <f ca="1">IFERROR(__xludf.DUMMYFUNCTION("""COMPUTED_VALUE"""),"2621")</f>
        <v>2621</v>
      </c>
      <c r="P1022" s="30" t="str">
        <f ca="1">IFERROR(__xludf.DUMMYFUNCTION("""COMPUTED_VALUE"""),"ESCALANTE")</f>
        <v>ESCALANTE</v>
      </c>
      <c r="Q1022" s="30" t="str">
        <f ca="1">IFERROR(__xludf.DUMMYFUNCTION("""COMPUTED_VALUE"""),"-45.8830341")</f>
        <v>-45.8830341</v>
      </c>
      <c r="R1022" s="30" t="str">
        <f ca="1">IFERROR(__xludf.DUMMYFUNCTION("""COMPUTED_VALUE"""),"-67.5358527")</f>
        <v>-67.5358527</v>
      </c>
      <c r="S1022" s="30" t="str">
        <f ca="1">IFERROR(__xludf.DUMMYFUNCTION("""COMPUTED_VALUE"""),"Provincial")</f>
        <v>Provincial</v>
      </c>
      <c r="T1022" s="30" t="str">
        <f ca="1">IFERROR(__xludf.DUMMYFUNCTION("""COMPUTED_VALUE"""),"-")</f>
        <v>-</v>
      </c>
    </row>
    <row r="1023" spans="1:20" ht="15.75" customHeight="1" x14ac:dyDescent="0.25">
      <c r="A1023" s="30" t="str">
        <f ca="1">IFERROR(__xludf.DUMMYFUNCTION("""COMPUTED_VALUE"""),"50260352129095")</f>
        <v>50260352129095</v>
      </c>
      <c r="B1023" s="30" t="str">
        <f ca="1">IFERROR(__xludf.DUMMYFUNCTION("""COMPUTED_VALUE"""),"CENTRO DE SALUD DON BOSCO ESQUEL")</f>
        <v>CENTRO DE SALUD DON BOSCO ESQUEL</v>
      </c>
      <c r="C1023" s="30" t="str">
        <f ca="1">IFERROR(__xludf.DUMMYFUNCTION("""COMPUTED_VALUE"""),"Chubut")</f>
        <v>Chubut</v>
      </c>
      <c r="D1023" s="30" t="str">
        <f ca="1">IFERROR(__xludf.DUMMYFUNCTION("""COMPUTED_VALUE"""),"26")</f>
        <v>26</v>
      </c>
      <c r="E1023" s="30" t="str">
        <f ca="1">IFERROR(__xludf.DUMMYFUNCTION("""COMPUTED_VALUE"""),"si")</f>
        <v>si</v>
      </c>
      <c r="F1023" s="29"/>
      <c r="G1023" s="29"/>
      <c r="H1023" s="30" t="str">
        <f ca="1">IFERROR(__xludf.DUMMYFUNCTION("""COMPUTED_VALUE"""),"activo")</f>
        <v>activo</v>
      </c>
      <c r="I1023" s="29"/>
      <c r="J1023" s="29"/>
      <c r="K1023" s="29"/>
      <c r="L1023" s="30" t="str">
        <f ca="1">IFERROR(__xludf.DUMMYFUNCTION("""COMPUTED_VALUE"""),"No")</f>
        <v>No</v>
      </c>
      <c r="M1023" s="30" t="str">
        <f ca="1">IFERROR(__xludf.DUMMYFUNCTION("""COMPUTED_VALUE"""),"26035030000")</f>
        <v>26035030000</v>
      </c>
      <c r="N1023" s="30" t="str">
        <f ca="1">IFERROR(__xludf.DUMMYFUNCTION("""COMPUTED_VALUE"""),"ESQUEL")</f>
        <v>ESQUEL</v>
      </c>
      <c r="O1023" s="30" t="str">
        <f ca="1">IFERROR(__xludf.DUMMYFUNCTION("""COMPUTED_VALUE"""),"2635")</f>
        <v>2635</v>
      </c>
      <c r="P1023" s="30" t="str">
        <f ca="1">IFERROR(__xludf.DUMMYFUNCTION("""COMPUTED_VALUE"""),"FUTALEUFÚ")</f>
        <v>FUTALEUFÚ</v>
      </c>
      <c r="Q1023" s="30" t="str">
        <f ca="1">IFERROR(__xludf.DUMMYFUNCTION("""COMPUTED_VALUE"""),"-42.9088502")</f>
        <v>-42.9088502</v>
      </c>
      <c r="R1023" s="30" t="str">
        <f ca="1">IFERROR(__xludf.DUMMYFUNCTION("""COMPUTED_VALUE"""),"-71.3235929")</f>
        <v>-71.3235929</v>
      </c>
      <c r="S1023" s="30" t="str">
        <f ca="1">IFERROR(__xludf.DUMMYFUNCTION("""COMPUTED_VALUE"""),"Provincial")</f>
        <v>Provincial</v>
      </c>
      <c r="T1023" s="30" t="str">
        <f ca="1">IFERROR(__xludf.DUMMYFUNCTION("""COMPUTED_VALUE"""),"-")</f>
        <v>-</v>
      </c>
    </row>
    <row r="1024" spans="1:20" ht="15.75" customHeight="1" x14ac:dyDescent="0.25">
      <c r="A1024" s="30" t="str">
        <f ca="1">IFERROR(__xludf.DUMMYFUNCTION("""COMPUTED_VALUE"""),"50260212129140")</f>
        <v>50260212129140</v>
      </c>
      <c r="B1024" s="30" t="str">
        <f ca="1">IFERROR(__xludf.DUMMYFUNCTION("""COMPUTED_VALUE"""),"CENTRO DE SALUD SAN CAYETANO")</f>
        <v>CENTRO DE SALUD SAN CAYETANO</v>
      </c>
      <c r="C1024" s="30" t="str">
        <f ca="1">IFERROR(__xludf.DUMMYFUNCTION("""COMPUTED_VALUE"""),"Chubut")</f>
        <v>Chubut</v>
      </c>
      <c r="D1024" s="30" t="str">
        <f ca="1">IFERROR(__xludf.DUMMYFUNCTION("""COMPUTED_VALUE"""),"26")</f>
        <v>26</v>
      </c>
      <c r="E1024" s="30" t="str">
        <f ca="1">IFERROR(__xludf.DUMMYFUNCTION("""COMPUTED_VALUE"""),"")</f>
        <v/>
      </c>
      <c r="F1024" s="29"/>
      <c r="G1024" s="29"/>
      <c r="H1024" s="30" t="str">
        <f ca="1">IFERROR(__xludf.DUMMYFUNCTION("""COMPUTED_VALUE"""),"inactivo")</f>
        <v>inactivo</v>
      </c>
      <c r="I1024" s="30" t="str">
        <f ca="1">IFERROR(__xludf.DUMMYFUNCTION("""COMPUTED_VALUE"""),"se dio de baja segun nota de Chubut el 25/02/2021")</f>
        <v>se dio de baja segun nota de Chubut el 25/02/2021</v>
      </c>
      <c r="J1024" s="29"/>
      <c r="K1024" s="29"/>
      <c r="L1024" s="30" t="str">
        <f ca="1">IFERROR(__xludf.DUMMYFUNCTION("""COMPUTED_VALUE"""),"No")</f>
        <v>No</v>
      </c>
      <c r="M1024" s="30" t="str">
        <f ca="1">IFERROR(__xludf.DUMMYFUNCTION("""COMPUTED_VALUE"""),"26021030018")</f>
        <v>26021030018</v>
      </c>
      <c r="N1024" s="30" t="str">
        <f ca="1">IFERROR(__xludf.DUMMYFUNCTION("""COMPUTED_VALUE"""),"COMODORO RIVADAVIA")</f>
        <v>COMODORO RIVADAVIA</v>
      </c>
      <c r="O1024" s="30" t="str">
        <f ca="1">IFERROR(__xludf.DUMMYFUNCTION("""COMPUTED_VALUE"""),"2621")</f>
        <v>2621</v>
      </c>
      <c r="P1024" s="30" t="str">
        <f ca="1">IFERROR(__xludf.DUMMYFUNCTION("""COMPUTED_VALUE"""),"ESCALANTE")</f>
        <v>ESCALANTE</v>
      </c>
      <c r="Q1024" s="30" t="str">
        <f ca="1">IFERROR(__xludf.DUMMYFUNCTION("""COMPUTED_VALUE"""),"-45.8607207")</f>
        <v>-45.8607207</v>
      </c>
      <c r="R1024" s="30" t="str">
        <f ca="1">IFERROR(__xludf.DUMMYFUNCTION("""COMPUTED_VALUE"""),"-67.5446074")</f>
        <v>-67.5446074</v>
      </c>
      <c r="S1024" s="30" t="str">
        <f ca="1">IFERROR(__xludf.DUMMYFUNCTION("""COMPUTED_VALUE"""),"Provincial")</f>
        <v>Provincial</v>
      </c>
      <c r="T1024" s="30" t="str">
        <f ca="1">IFERROR(__xludf.DUMMYFUNCTION("""COMPUTED_VALUE"""),"-")</f>
        <v>-</v>
      </c>
    </row>
    <row r="1025" spans="1:20" ht="15.75" customHeight="1" x14ac:dyDescent="0.25">
      <c r="A1025" s="30" t="str">
        <f ca="1">IFERROR(__xludf.DUMMYFUNCTION("""COMPUTED_VALUE"""),"10260492129012")</f>
        <v>10260492129012</v>
      </c>
      <c r="B1025" s="30" t="str">
        <f ca="1">IFERROR(__xludf.DUMMYFUNCTION("""COMPUTED_VALUE"""),"HOSPITAL RURAL  GASTRE")</f>
        <v>HOSPITAL RURAL  GASTRE</v>
      </c>
      <c r="C1025" s="30" t="str">
        <f ca="1">IFERROR(__xludf.DUMMYFUNCTION("""COMPUTED_VALUE"""),"Chubut")</f>
        <v>Chubut</v>
      </c>
      <c r="D1025" s="30" t="str">
        <f ca="1">IFERROR(__xludf.DUMMYFUNCTION("""COMPUTED_VALUE"""),"26")</f>
        <v>26</v>
      </c>
      <c r="E1025" s="30" t="str">
        <f ca="1">IFERROR(__xludf.DUMMYFUNCTION("""COMPUTED_VALUE"""),"")</f>
        <v/>
      </c>
      <c r="F1025" s="29"/>
      <c r="G1025" s="29"/>
      <c r="H1025" s="30" t="str">
        <f ca="1">IFERROR(__xludf.DUMMYFUNCTION("""COMPUTED_VALUE"""),"activo")</f>
        <v>activo</v>
      </c>
      <c r="I1025" s="29"/>
      <c r="J1025" s="29"/>
      <c r="K1025" s="29"/>
      <c r="L1025" s="30" t="str">
        <f ca="1">IFERROR(__xludf.DUMMYFUNCTION("""COMPUTED_VALUE"""),"No")</f>
        <v>No</v>
      </c>
      <c r="M1025" s="30" t="str">
        <f ca="1">IFERROR(__xludf.DUMMYFUNCTION("""COMPUTED_VALUE"""),"26049030000")</f>
        <v>26049030000</v>
      </c>
      <c r="N1025" s="30" t="str">
        <f ca="1">IFERROR(__xludf.DUMMYFUNCTION("""COMPUTED_VALUE"""),"GASTRE")</f>
        <v>GASTRE</v>
      </c>
      <c r="O1025" s="30" t="str">
        <f ca="1">IFERROR(__xludf.DUMMYFUNCTION("""COMPUTED_VALUE"""),"2649")</f>
        <v>2649</v>
      </c>
      <c r="P1025" s="30" t="str">
        <f ca="1">IFERROR(__xludf.DUMMYFUNCTION("""COMPUTED_VALUE"""),"GASTRE")</f>
        <v>GASTRE</v>
      </c>
      <c r="Q1025" s="30" t="str">
        <f ca="1">IFERROR(__xludf.DUMMYFUNCTION("""COMPUTED_VALUE"""),"-42.264664")</f>
        <v>-42.264664</v>
      </c>
      <c r="R1025" s="30" t="str">
        <f ca="1">IFERROR(__xludf.DUMMYFUNCTION("""COMPUTED_VALUE"""),"-69.223046")</f>
        <v>-69.223046</v>
      </c>
      <c r="S1025" s="30" t="str">
        <f ca="1">IFERROR(__xludf.DUMMYFUNCTION("""COMPUTED_VALUE"""),"Provincial")</f>
        <v>Provincial</v>
      </c>
      <c r="T1025" s="30" t="str">
        <f ca="1">IFERROR(__xludf.DUMMYFUNCTION("""COMPUTED_VALUE"""),"-")</f>
        <v>-</v>
      </c>
    </row>
    <row r="1026" spans="1:20" ht="15.75" customHeight="1" x14ac:dyDescent="0.25">
      <c r="A1026" s="30" t="str">
        <f ca="1">IFERROR(__xludf.DUMMYFUNCTION("""COMPUTED_VALUE"""),"10300212142042")</f>
        <v>10300212142042</v>
      </c>
      <c r="B1026" s="30" t="str">
        <f ca="1">IFERROR(__xludf.DUMMYFUNCTION("""COMPUTED_VALUE"""),"HOSPITAL DR. ENRIQUE FIDANZA")</f>
        <v>HOSPITAL DR. ENRIQUE FIDANZA</v>
      </c>
      <c r="C1026" s="30" t="str">
        <f ca="1">IFERROR(__xludf.DUMMYFUNCTION("""COMPUTED_VALUE"""),"Entre Ríos")</f>
        <v>Entre Ríos</v>
      </c>
      <c r="D1026" s="30" t="str">
        <f ca="1">IFERROR(__xludf.DUMMYFUNCTION("""COMPUTED_VALUE"""),"30")</f>
        <v>30</v>
      </c>
      <c r="E1026" s="30" t="str">
        <f ca="1">IFERROR(__xludf.DUMMYFUNCTION("""COMPUTED_VALUE"""),"")</f>
        <v/>
      </c>
      <c r="F1026" s="29"/>
      <c r="G1026" s="29"/>
      <c r="H1026" s="30" t="str">
        <f ca="1">IFERROR(__xludf.DUMMYFUNCTION("""COMPUTED_VALUE"""),"inactivo")</f>
        <v>inactivo</v>
      </c>
      <c r="I1026" s="29"/>
      <c r="J1026" s="29"/>
      <c r="K1026" s="29"/>
      <c r="L1026" s="30" t="str">
        <f ca="1">IFERROR(__xludf.DUMMYFUNCTION("""COMPUTED_VALUE"""),"No")</f>
        <v>No</v>
      </c>
      <c r="M1026" s="30" t="str">
        <f ca="1">IFERROR(__xludf.DUMMYFUNCTION("""COMPUTED_VALUE"""),"30021070000")</f>
        <v>30021070000</v>
      </c>
      <c r="N1026" s="30" t="str">
        <f ca="1">IFERROR(__xludf.DUMMYFUNCTION("""COMPUTED_VALUE"""),"COLONIA ENSAYO")</f>
        <v>COLONIA ENSAYO</v>
      </c>
      <c r="O1026" s="30" t="str">
        <f ca="1">IFERROR(__xludf.DUMMYFUNCTION("""COMPUTED_VALUE"""),"3021")</f>
        <v>3021</v>
      </c>
      <c r="P1026" s="30" t="str">
        <f ca="1">IFERROR(__xludf.DUMMYFUNCTION("""COMPUTED_VALUE"""),"DIAMANTE")</f>
        <v>DIAMANTE</v>
      </c>
      <c r="Q1026" s="30" t="str">
        <f ca="1">IFERROR(__xludf.DUMMYFUNCTION("""COMPUTED_VALUE"""),"-31.85552762")</f>
        <v>-31.85552762</v>
      </c>
      <c r="R1026" s="30" t="str">
        <f ca="1">IFERROR(__xludf.DUMMYFUNCTION("""COMPUTED_VALUE"""),"-60.61740875")</f>
        <v>-60.61740875</v>
      </c>
      <c r="S1026" s="30" t="str">
        <f ca="1">IFERROR(__xludf.DUMMYFUNCTION("""COMPUTED_VALUE"""),"Provincial")</f>
        <v>Provincial</v>
      </c>
      <c r="T1026" s="30" t="str">
        <f ca="1">IFERROR(__xludf.DUMMYFUNCTION("""COMPUTED_VALUE"""),"-")</f>
        <v>-</v>
      </c>
    </row>
    <row r="1027" spans="1:20" ht="15.75" customHeight="1" x14ac:dyDescent="0.25">
      <c r="A1027" s="30" t="str">
        <f ca="1">IFERROR(__xludf.DUMMYFUNCTION("""COMPUTED_VALUE"""),"10300282142068")</f>
        <v>10300282142068</v>
      </c>
      <c r="B1027" s="30" t="str">
        <f ca="1">IFERROR(__xludf.DUMMYFUNCTION("""COMPUTED_VALUE"""),"HOSPITAL SAN JOSE")</f>
        <v>HOSPITAL SAN JOSE</v>
      </c>
      <c r="C1027" s="30" t="str">
        <f ca="1">IFERROR(__xludf.DUMMYFUNCTION("""COMPUTED_VALUE"""),"Entre Ríos")</f>
        <v>Entre Ríos</v>
      </c>
      <c r="D1027" s="30" t="str">
        <f ca="1">IFERROR(__xludf.DUMMYFUNCTION("""COMPUTED_VALUE"""),"30")</f>
        <v>30</v>
      </c>
      <c r="E1027" s="30" t="str">
        <f ca="1">IFERROR(__xludf.DUMMYFUNCTION("""COMPUTED_VALUE"""),"")</f>
        <v/>
      </c>
      <c r="F1027" s="29"/>
      <c r="G1027" s="29"/>
      <c r="H1027" s="30" t="str">
        <f ca="1">IFERROR(__xludf.DUMMYFUNCTION("""COMPUTED_VALUE"""),"inactivo")</f>
        <v>inactivo</v>
      </c>
      <c r="I1027" s="29"/>
      <c r="J1027" s="29"/>
      <c r="K1027" s="29"/>
      <c r="L1027" s="30" t="str">
        <f ca="1">IFERROR(__xludf.DUMMYFUNCTION("""COMPUTED_VALUE"""),"No")</f>
        <v>No</v>
      </c>
      <c r="M1027" s="30" t="str">
        <f ca="1">IFERROR(__xludf.DUMMYFUNCTION("""COMPUTED_VALUE"""),"30028070000")</f>
        <v>30028070000</v>
      </c>
      <c r="N1027" s="30" t="str">
        <f ca="1">IFERROR(__xludf.DUMMYFUNCTION("""COMPUTED_VALUE"""),"FEDERACION")</f>
        <v>FEDERACION</v>
      </c>
      <c r="O1027" s="30" t="str">
        <f ca="1">IFERROR(__xludf.DUMMYFUNCTION("""COMPUTED_VALUE"""),"3028")</f>
        <v>3028</v>
      </c>
      <c r="P1027" s="30" t="str">
        <f ca="1">IFERROR(__xludf.DUMMYFUNCTION("""COMPUTED_VALUE"""),"FEDERACIÓN")</f>
        <v>FEDERACIÓN</v>
      </c>
      <c r="Q1027" s="30" t="str">
        <f ca="1">IFERROR(__xludf.DUMMYFUNCTION("""COMPUTED_VALUE"""),"-30.98626461")</f>
        <v>-30.98626461</v>
      </c>
      <c r="R1027" s="30" t="str">
        <f ca="1">IFERROR(__xludf.DUMMYFUNCTION("""COMPUTED_VALUE"""),"-57.92276502")</f>
        <v>-57.92276502</v>
      </c>
      <c r="S1027" s="30" t="str">
        <f ca="1">IFERROR(__xludf.DUMMYFUNCTION("""COMPUTED_VALUE"""),"Provincial")</f>
        <v>Provincial</v>
      </c>
      <c r="T1027" s="30" t="str">
        <f ca="1">IFERROR(__xludf.DUMMYFUNCTION("""COMPUTED_VALUE"""),"-")</f>
        <v>-</v>
      </c>
    </row>
    <row r="1028" spans="1:20" ht="15.75" customHeight="1" x14ac:dyDescent="0.25">
      <c r="A1028" s="30" t="str">
        <f ca="1">IFERROR(__xludf.DUMMYFUNCTION("""COMPUTED_VALUE"""),"10300282142074")</f>
        <v>10300282142074</v>
      </c>
      <c r="B1028" s="30" t="str">
        <f ca="1">IFERROR(__xludf.DUMMYFUNCTION("""COMPUTED_VALUE"""),"HOSPITAL SAN VICENTE")</f>
        <v>HOSPITAL SAN VICENTE</v>
      </c>
      <c r="C1028" s="30" t="str">
        <f ca="1">IFERROR(__xludf.DUMMYFUNCTION("""COMPUTED_VALUE"""),"Entre Ríos")</f>
        <v>Entre Ríos</v>
      </c>
      <c r="D1028" s="30" t="str">
        <f ca="1">IFERROR(__xludf.DUMMYFUNCTION("""COMPUTED_VALUE"""),"30")</f>
        <v>30</v>
      </c>
      <c r="E1028" s="30" t="str">
        <f ca="1">IFERROR(__xludf.DUMMYFUNCTION("""COMPUTED_VALUE"""),"")</f>
        <v/>
      </c>
      <c r="F1028" s="29"/>
      <c r="G1028" s="29"/>
      <c r="H1028" s="30" t="str">
        <f ca="1">IFERROR(__xludf.DUMMYFUNCTION("""COMPUTED_VALUE"""),"inactivo")</f>
        <v>inactivo</v>
      </c>
      <c r="I1028" s="29"/>
      <c r="J1028" s="29"/>
      <c r="K1028" s="29"/>
      <c r="L1028" s="30" t="str">
        <f ca="1">IFERROR(__xludf.DUMMYFUNCTION("""COMPUTED_VALUE"""),"No")</f>
        <v>No</v>
      </c>
      <c r="M1028" s="30" t="str">
        <f ca="1">IFERROR(__xludf.DUMMYFUNCTION("""COMPUTED_VALUE"""),"30028090000")</f>
        <v>30028090000</v>
      </c>
      <c r="N1028" s="30" t="str">
        <f ca="1">IFERROR(__xludf.DUMMYFUNCTION("""COMPUTED_VALUE"""),"SAN JAIME DE LA FRONTERA")</f>
        <v>SAN JAIME DE LA FRONTERA</v>
      </c>
      <c r="O1028" s="30" t="str">
        <f ca="1">IFERROR(__xludf.DUMMYFUNCTION("""COMPUTED_VALUE"""),"3028")</f>
        <v>3028</v>
      </c>
      <c r="P1028" s="30" t="str">
        <f ca="1">IFERROR(__xludf.DUMMYFUNCTION("""COMPUTED_VALUE"""),"FEDERACIÓN")</f>
        <v>FEDERACIÓN</v>
      </c>
      <c r="Q1028" s="30" t="str">
        <f ca="1">IFERROR(__xludf.DUMMYFUNCTION("""COMPUTED_VALUE"""),"-30.33991709")</f>
        <v>-30.33991709</v>
      </c>
      <c r="R1028" s="30" t="str">
        <f ca="1">IFERROR(__xludf.DUMMYFUNCTION("""COMPUTED_VALUE"""),"-58.31176043")</f>
        <v>-58.31176043</v>
      </c>
      <c r="S1028" s="30" t="str">
        <f ca="1">IFERROR(__xludf.DUMMYFUNCTION("""COMPUTED_VALUE"""),"Provincial")</f>
        <v>Provincial</v>
      </c>
      <c r="T1028" s="30" t="str">
        <f ca="1">IFERROR(__xludf.DUMMYFUNCTION("""COMPUTED_VALUE"""),"-")</f>
        <v>-</v>
      </c>
    </row>
    <row r="1029" spans="1:20" ht="15.75" customHeight="1" x14ac:dyDescent="0.25">
      <c r="A1029" s="30" t="str">
        <f ca="1">IFERROR(__xludf.DUMMYFUNCTION("""COMPUTED_VALUE"""),"10300562142067")</f>
        <v>10300562142067</v>
      </c>
      <c r="B1029" s="30" t="str">
        <f ca="1">IFERROR(__xludf.DUMMYFUNCTION("""COMPUTED_VALUE"""),"HOSPITAL SAN ISIDRO LABRADOR")</f>
        <v>HOSPITAL SAN ISIDRO LABRADOR</v>
      </c>
      <c r="C1029" s="30" t="str">
        <f ca="1">IFERROR(__xludf.DUMMYFUNCTION("""COMPUTED_VALUE"""),"Entre Ríos")</f>
        <v>Entre Ríos</v>
      </c>
      <c r="D1029" s="30" t="str">
        <f ca="1">IFERROR(__xludf.DUMMYFUNCTION("""COMPUTED_VALUE"""),"30")</f>
        <v>30</v>
      </c>
      <c r="E1029" s="30" t="str">
        <f ca="1">IFERROR(__xludf.DUMMYFUNCTION("""COMPUTED_VALUE"""),"")</f>
        <v/>
      </c>
      <c r="F1029" s="29"/>
      <c r="G1029" s="29"/>
      <c r="H1029" s="30" t="str">
        <f ca="1">IFERROR(__xludf.DUMMYFUNCTION("""COMPUTED_VALUE"""),"activo")</f>
        <v>activo</v>
      </c>
      <c r="I1029" s="29"/>
      <c r="J1029" s="29"/>
      <c r="K1029" s="29"/>
      <c r="L1029" s="30" t="str">
        <f ca="1">IFERROR(__xludf.DUMMYFUNCTION("""COMPUTED_VALUE"""),"No")</f>
        <v>No</v>
      </c>
      <c r="M1029" s="30" t="str">
        <f ca="1">IFERROR(__xludf.DUMMYFUNCTION("""COMPUTED_VALUE"""),"30056090000")</f>
        <v>30056090000</v>
      </c>
      <c r="N1029" s="30" t="str">
        <f ca="1">IFERROR(__xludf.DUMMYFUNCTION("""COMPUTED_VALUE"""),"LARROQUE")</f>
        <v>LARROQUE</v>
      </c>
      <c r="O1029" s="30" t="str">
        <f ca="1">IFERROR(__xludf.DUMMYFUNCTION("""COMPUTED_VALUE"""),"3056")</f>
        <v>3056</v>
      </c>
      <c r="P1029" s="30" t="str">
        <f ca="1">IFERROR(__xludf.DUMMYFUNCTION("""COMPUTED_VALUE"""),"GUALEGUAYCHÚ")</f>
        <v>GUALEGUAYCHÚ</v>
      </c>
      <c r="Q1029" s="30" t="str">
        <f ca="1">IFERROR(__xludf.DUMMYFUNCTION("""COMPUTED_VALUE"""),"-33.03070331")</f>
        <v>-33.03070331</v>
      </c>
      <c r="R1029" s="30" t="str">
        <f ca="1">IFERROR(__xludf.DUMMYFUNCTION("""COMPUTED_VALUE"""),"-59.00407076")</f>
        <v>-59.00407076</v>
      </c>
      <c r="S1029" s="30" t="str">
        <f ca="1">IFERROR(__xludf.DUMMYFUNCTION("""COMPUTED_VALUE"""),"Provincial")</f>
        <v>Provincial</v>
      </c>
      <c r="T1029" s="30" t="str">
        <f ca="1">IFERROR(__xludf.DUMMYFUNCTION("""COMPUTED_VALUE"""),"-")</f>
        <v>-</v>
      </c>
    </row>
    <row r="1030" spans="1:20" ht="15.75" customHeight="1" x14ac:dyDescent="0.25">
      <c r="A1030" s="30" t="str">
        <f ca="1">IFERROR(__xludf.DUMMYFUNCTION("""COMPUTED_VALUE"""),"10300702142037")</f>
        <v>10300702142037</v>
      </c>
      <c r="B1030" s="30" t="str">
        <f ca="1">IFERROR(__xludf.DUMMYFUNCTION("""COMPUTED_VALUE"""),"HOSPITAL ECUADOR")</f>
        <v>HOSPITAL ECUADOR</v>
      </c>
      <c r="C1030" s="30" t="str">
        <f ca="1">IFERROR(__xludf.DUMMYFUNCTION("""COMPUTED_VALUE"""),"Entre Ríos")</f>
        <v>Entre Ríos</v>
      </c>
      <c r="D1030" s="30" t="str">
        <f ca="1">IFERROR(__xludf.DUMMYFUNCTION("""COMPUTED_VALUE"""),"30")</f>
        <v>30</v>
      </c>
      <c r="E1030" s="30" t="str">
        <f ca="1">IFERROR(__xludf.DUMMYFUNCTION("""COMPUTED_VALUE"""),"")</f>
        <v/>
      </c>
      <c r="F1030" s="29"/>
      <c r="G1030" s="29"/>
      <c r="H1030" s="30" t="str">
        <f ca="1">IFERROR(__xludf.DUMMYFUNCTION("""COMPUTED_VALUE"""),"activo")</f>
        <v>activo</v>
      </c>
      <c r="I1030" s="29"/>
      <c r="J1030" s="29"/>
      <c r="K1030" s="29"/>
      <c r="L1030" s="30" t="str">
        <f ca="1">IFERROR(__xludf.DUMMYFUNCTION("""COMPUTED_VALUE"""),"No")</f>
        <v>No</v>
      </c>
      <c r="M1030" s="30" t="str">
        <f ca="1">IFERROR(__xludf.DUMMYFUNCTION("""COMPUTED_VALUE"""),"30070130")</f>
        <v>30070130</v>
      </c>
      <c r="N1030" s="30" t="str">
        <f ca="1">IFERROR(__xludf.DUMMYFUNCTION("""COMPUTED_VALUE"""),"ALCARAZ NORTE")</f>
        <v>ALCARAZ NORTE</v>
      </c>
      <c r="O1030" s="30" t="str">
        <f ca="1">IFERROR(__xludf.DUMMYFUNCTION("""COMPUTED_VALUE"""),"3070")</f>
        <v>3070</v>
      </c>
      <c r="P1030" s="30" t="str">
        <f ca="1">IFERROR(__xludf.DUMMYFUNCTION("""COMPUTED_VALUE"""),"LA PAZ")</f>
        <v>LA PAZ</v>
      </c>
      <c r="Q1030" s="30" t="str">
        <f ca="1">IFERROR(__xludf.DUMMYFUNCTION("""COMPUTED_VALUE"""),"-31.45249922")</f>
        <v>-31.45249922</v>
      </c>
      <c r="R1030" s="30" t="str">
        <f ca="1">IFERROR(__xludf.DUMMYFUNCTION("""COMPUTED_VALUE"""),"-59.59720373")</f>
        <v>-59.59720373</v>
      </c>
      <c r="S1030" s="30" t="str">
        <f ca="1">IFERROR(__xludf.DUMMYFUNCTION("""COMPUTED_VALUE"""),"Provincial")</f>
        <v>Provincial</v>
      </c>
      <c r="T1030" s="30" t="str">
        <f ca="1">IFERROR(__xludf.DUMMYFUNCTION("""COMPUTED_VALUE"""),"-")</f>
        <v>-</v>
      </c>
    </row>
    <row r="1031" spans="1:20" ht="15.75" customHeight="1" x14ac:dyDescent="0.25">
      <c r="A1031" s="30" t="str">
        <f ca="1">IFERROR(__xludf.DUMMYFUNCTION("""COMPUTED_VALUE"""),"10300702142075")</f>
        <v>10300702142075</v>
      </c>
      <c r="B1031" s="30" t="str">
        <f ca="1">IFERROR(__xludf.DUMMYFUNCTION("""COMPUTED_VALUE"""),"HOSPITAL SANTA ELENA")</f>
        <v>HOSPITAL SANTA ELENA</v>
      </c>
      <c r="C1031" s="30" t="str">
        <f ca="1">IFERROR(__xludf.DUMMYFUNCTION("""COMPUTED_VALUE"""),"Entre Ríos")</f>
        <v>Entre Ríos</v>
      </c>
      <c r="D1031" s="30" t="str">
        <f ca="1">IFERROR(__xludf.DUMMYFUNCTION("""COMPUTED_VALUE"""),"30")</f>
        <v>30</v>
      </c>
      <c r="E1031" s="30" t="str">
        <f ca="1">IFERROR(__xludf.DUMMYFUNCTION("""COMPUTED_VALUE"""),"")</f>
        <v/>
      </c>
      <c r="F1031" s="29"/>
      <c r="G1031" s="29"/>
      <c r="H1031" s="30" t="str">
        <f ca="1">IFERROR(__xludf.DUMMYFUNCTION("""COMPUTED_VALUE"""),"inactivo")</f>
        <v>inactivo</v>
      </c>
      <c r="I1031" s="29"/>
      <c r="J1031" s="29"/>
      <c r="K1031" s="29"/>
      <c r="L1031" s="30" t="str">
        <f ca="1">IFERROR(__xludf.DUMMYFUNCTION("""COMPUTED_VALUE"""),"No")</f>
        <v>No</v>
      </c>
      <c r="M1031" s="30" t="str">
        <f ca="1">IFERROR(__xludf.DUMMYFUNCTION("""COMPUTED_VALUE"""),"30070080000")</f>
        <v>30070080000</v>
      </c>
      <c r="N1031" s="30" t="str">
        <f ca="1">IFERROR(__xludf.DUMMYFUNCTION("""COMPUTED_VALUE"""),"SANTA ELENA")</f>
        <v>SANTA ELENA</v>
      </c>
      <c r="O1031" s="30" t="str">
        <f ca="1">IFERROR(__xludf.DUMMYFUNCTION("""COMPUTED_VALUE"""),"3070")</f>
        <v>3070</v>
      </c>
      <c r="P1031" s="30" t="str">
        <f ca="1">IFERROR(__xludf.DUMMYFUNCTION("""COMPUTED_VALUE"""),"LA PAZ")</f>
        <v>LA PAZ</v>
      </c>
      <c r="Q1031" s="30" t="str">
        <f ca="1">IFERROR(__xludf.DUMMYFUNCTION("""COMPUTED_VALUE"""),"-30.9478684")</f>
        <v>-30.9478684</v>
      </c>
      <c r="R1031" s="30" t="str">
        <f ca="1">IFERROR(__xludf.DUMMYFUNCTION("""COMPUTED_VALUE"""),"-59.7844127")</f>
        <v>-59.7844127</v>
      </c>
      <c r="S1031" s="30" t="str">
        <f ca="1">IFERROR(__xludf.DUMMYFUNCTION("""COMPUTED_VALUE"""),"Provincial")</f>
        <v>Provincial</v>
      </c>
      <c r="T1031" s="30" t="str">
        <f ca="1">IFERROR(__xludf.DUMMYFUNCTION("""COMPUTED_VALUE"""),"-")</f>
        <v>-</v>
      </c>
    </row>
    <row r="1032" spans="1:20" ht="15.75" customHeight="1" x14ac:dyDescent="0.25">
      <c r="A1032" s="30" t="str">
        <f ca="1">IFERROR(__xludf.DUMMYFUNCTION("""COMPUTED_VALUE"""),"10300772142002")</f>
        <v>10300772142002</v>
      </c>
      <c r="B1032" s="30" t="str">
        <f ca="1">IFERROR(__xludf.DUMMYFUNCTION("""COMPUTED_VALUE"""),"C.A.P.S.  MARTIN FIERRO")</f>
        <v>C.A.P.S.  MARTIN FIERRO</v>
      </c>
      <c r="C1032" s="30" t="str">
        <f ca="1">IFERROR(__xludf.DUMMYFUNCTION("""COMPUTED_VALUE"""),"Entre Ríos")</f>
        <v>Entre Ríos</v>
      </c>
      <c r="D1032" s="30" t="str">
        <f ca="1">IFERROR(__xludf.DUMMYFUNCTION("""COMPUTED_VALUE"""),"30")</f>
        <v>30</v>
      </c>
      <c r="E1032" s="30" t="str">
        <f ca="1">IFERROR(__xludf.DUMMYFUNCTION("""COMPUTED_VALUE"""),"")</f>
        <v/>
      </c>
      <c r="F1032" s="29"/>
      <c r="G1032" s="29"/>
      <c r="H1032" s="30" t="str">
        <f ca="1">IFERROR(__xludf.DUMMYFUNCTION("""COMPUTED_VALUE"""),"activo")</f>
        <v>activo</v>
      </c>
      <c r="I1032" s="29"/>
      <c r="J1032" s="29"/>
      <c r="K1032" s="29"/>
      <c r="L1032" s="30" t="str">
        <f ca="1">IFERROR(__xludf.DUMMYFUNCTION("""COMPUTED_VALUE"""),"No")</f>
        <v>No</v>
      </c>
      <c r="M1032" s="30" t="str">
        <f ca="1">IFERROR(__xludf.DUMMYFUNCTION("""COMPUTED_VALUE"""),"30077050000")</f>
        <v>30077050000</v>
      </c>
      <c r="N1032" s="30" t="str">
        <f ca="1">IFERROR(__xludf.DUMMYFUNCTION("""COMPUTED_VALUE"""),"HERNANDEZ")</f>
        <v>HERNANDEZ</v>
      </c>
      <c r="O1032" s="30" t="str">
        <f ca="1">IFERROR(__xludf.DUMMYFUNCTION("""COMPUTED_VALUE"""),"3077")</f>
        <v>3077</v>
      </c>
      <c r="P1032" s="30" t="str">
        <f ca="1">IFERROR(__xludf.DUMMYFUNCTION("""COMPUTED_VALUE"""),"NOGOYÁ")</f>
        <v>NOGOYÁ</v>
      </c>
      <c r="Q1032" s="30" t="str">
        <f ca="1">IFERROR(__xludf.DUMMYFUNCTION("""COMPUTED_VALUE"""),"-32.33584265")</f>
        <v>-32.33584265</v>
      </c>
      <c r="R1032" s="30" t="str">
        <f ca="1">IFERROR(__xludf.DUMMYFUNCTION("""COMPUTED_VALUE"""),"-60.02468348")</f>
        <v>-60.02468348</v>
      </c>
      <c r="S1032" s="30" t="str">
        <f ca="1">IFERROR(__xludf.DUMMYFUNCTION("""COMPUTED_VALUE"""),"Provincial")</f>
        <v>Provincial</v>
      </c>
      <c r="T1032" s="30" t="str">
        <f ca="1">IFERROR(__xludf.DUMMYFUNCTION("""COMPUTED_VALUE"""),"-")</f>
        <v>-</v>
      </c>
    </row>
    <row r="1033" spans="1:20" ht="15.75" customHeight="1" x14ac:dyDescent="0.25">
      <c r="A1033" s="30" t="str">
        <f ca="1">IFERROR(__xludf.DUMMYFUNCTION("""COMPUTED_VALUE"""),"10300842142024")</f>
        <v>10300842142024</v>
      </c>
      <c r="B1033" s="30" t="str">
        <f ca="1">IFERROR(__xludf.DUMMYFUNCTION("""COMPUTED_VALUE"""),"HOSPITAL  DR. JOSEPH LISTER")</f>
        <v>HOSPITAL  DR. JOSEPH LISTER</v>
      </c>
      <c r="C1033" s="30" t="str">
        <f ca="1">IFERROR(__xludf.DUMMYFUNCTION("""COMPUTED_VALUE"""),"Entre Ríos")</f>
        <v>Entre Ríos</v>
      </c>
      <c r="D1033" s="30" t="str">
        <f ca="1">IFERROR(__xludf.DUMMYFUNCTION("""COMPUTED_VALUE"""),"30")</f>
        <v>30</v>
      </c>
      <c r="E1033" s="30" t="str">
        <f ca="1">IFERROR(__xludf.DUMMYFUNCTION("""COMPUTED_VALUE"""),"")</f>
        <v/>
      </c>
      <c r="F1033" s="29"/>
      <c r="G1033" s="29"/>
      <c r="H1033" s="30" t="str">
        <f ca="1">IFERROR(__xludf.DUMMYFUNCTION("""COMPUTED_VALUE"""),"activo")</f>
        <v>activo</v>
      </c>
      <c r="I1033" s="29"/>
      <c r="J1033" s="29"/>
      <c r="K1033" s="29"/>
      <c r="L1033" s="30" t="str">
        <f ca="1">IFERROR(__xludf.DUMMYFUNCTION("""COMPUTED_VALUE"""),"No")</f>
        <v>No</v>
      </c>
      <c r="M1033" s="30" t="str">
        <f ca="1">IFERROR(__xludf.DUMMYFUNCTION("""COMPUTED_VALUE"""),"30084230000")</f>
        <v>30084230000</v>
      </c>
      <c r="N1033" s="30" t="str">
        <f ca="1">IFERROR(__xludf.DUMMYFUNCTION("""COMPUTED_VALUE"""),"SEGUI")</f>
        <v>SEGUI</v>
      </c>
      <c r="O1033" s="30" t="str">
        <f ca="1">IFERROR(__xludf.DUMMYFUNCTION("""COMPUTED_VALUE"""),"3084")</f>
        <v>3084</v>
      </c>
      <c r="P1033" s="30" t="str">
        <f ca="1">IFERROR(__xludf.DUMMYFUNCTION("""COMPUTED_VALUE"""),"PARANÁ")</f>
        <v>PARANÁ</v>
      </c>
      <c r="Q1033" s="30" t="str">
        <f ca="1">IFERROR(__xludf.DUMMYFUNCTION("""COMPUTED_VALUE"""),"-31.95488409")</f>
        <v>-31.95488409</v>
      </c>
      <c r="R1033" s="30" t="str">
        <f ca="1">IFERROR(__xludf.DUMMYFUNCTION("""COMPUTED_VALUE"""),"-60.12432218")</f>
        <v>-60.12432218</v>
      </c>
      <c r="S1033" s="30" t="str">
        <f ca="1">IFERROR(__xludf.DUMMYFUNCTION("""COMPUTED_VALUE"""),"Provincial")</f>
        <v>Provincial</v>
      </c>
      <c r="T1033" s="30" t="str">
        <f ca="1">IFERROR(__xludf.DUMMYFUNCTION("""COMPUTED_VALUE"""),"-")</f>
        <v>-</v>
      </c>
    </row>
    <row r="1034" spans="1:20" ht="15.75" customHeight="1" x14ac:dyDescent="0.25">
      <c r="A1034" s="30" t="str">
        <f ca="1">IFERROR(__xludf.DUMMYFUNCTION("""COMPUTED_VALUE"""),"10300842142034")</f>
        <v>10300842142034</v>
      </c>
      <c r="B1034" s="30" t="str">
        <f ca="1">IFERROR(__xludf.DUMMYFUNCTION("""COMPUTED_VALUE"""),"HOSPITAL DR. FRANCISCO CASTALDO")</f>
        <v>HOSPITAL DR. FRANCISCO CASTALDO</v>
      </c>
      <c r="C1034" s="30" t="str">
        <f ca="1">IFERROR(__xludf.DUMMYFUNCTION("""COMPUTED_VALUE"""),"Entre Ríos")</f>
        <v>Entre Ríos</v>
      </c>
      <c r="D1034" s="30" t="str">
        <f ca="1">IFERROR(__xludf.DUMMYFUNCTION("""COMPUTED_VALUE"""),"30")</f>
        <v>30</v>
      </c>
      <c r="E1034" s="30" t="str">
        <f ca="1">IFERROR(__xludf.DUMMYFUNCTION("""COMPUTED_VALUE"""),"")</f>
        <v/>
      </c>
      <c r="F1034" s="29"/>
      <c r="G1034" s="29"/>
      <c r="H1034" s="30" t="str">
        <f ca="1">IFERROR(__xludf.DUMMYFUNCTION("""COMPUTED_VALUE"""),"activo")</f>
        <v>activo</v>
      </c>
      <c r="I1034" s="29"/>
      <c r="J1034" s="29"/>
      <c r="K1034" s="29"/>
      <c r="L1034" s="30" t="str">
        <f ca="1">IFERROR(__xludf.DUMMYFUNCTION("""COMPUTED_VALUE"""),"No")</f>
        <v>No</v>
      </c>
      <c r="M1034" s="30" t="str">
        <f ca="1">IFERROR(__xludf.DUMMYFUNCTION("""COMPUTED_VALUE"""),"30084140000")</f>
        <v>30084140000</v>
      </c>
      <c r="N1034" s="30" t="str">
        <f ca="1">IFERROR(__xludf.DUMMYFUNCTION("""COMPUTED_VALUE"""),"MARIA GRANDE")</f>
        <v>MARIA GRANDE</v>
      </c>
      <c r="O1034" s="30" t="str">
        <f ca="1">IFERROR(__xludf.DUMMYFUNCTION("""COMPUTED_VALUE"""),"3084")</f>
        <v>3084</v>
      </c>
      <c r="P1034" s="30" t="str">
        <f ca="1">IFERROR(__xludf.DUMMYFUNCTION("""COMPUTED_VALUE"""),"PARANÁ")</f>
        <v>PARANÁ</v>
      </c>
      <c r="Q1034" s="30" t="str">
        <f ca="1">IFERROR(__xludf.DUMMYFUNCTION("""COMPUTED_VALUE"""),"-31.663016")</f>
        <v>-31.663016</v>
      </c>
      <c r="R1034" s="30" t="str">
        <f ca="1">IFERROR(__xludf.DUMMYFUNCTION("""COMPUTED_VALUE"""),"-59.91020143")</f>
        <v>-59.91020143</v>
      </c>
      <c r="S1034" s="30" t="str">
        <f ca="1">IFERROR(__xludf.DUMMYFUNCTION("""COMPUTED_VALUE"""),"Provincial")</f>
        <v>Provincial</v>
      </c>
      <c r="T1034" s="30" t="str">
        <f ca="1">IFERROR(__xludf.DUMMYFUNCTION("""COMPUTED_VALUE"""),"-")</f>
        <v>-</v>
      </c>
    </row>
    <row r="1035" spans="1:20" ht="15.75" customHeight="1" x14ac:dyDescent="0.25">
      <c r="A1035" s="30" t="str">
        <f ca="1">IFERROR(__xludf.DUMMYFUNCTION("""COMPUTED_VALUE"""),"10300842142049")</f>
        <v>10300842142049</v>
      </c>
      <c r="B1035" s="30" t="str">
        <f ca="1">IFERROR(__xludf.DUMMYFUNCTION("""COMPUTED_VALUE"""),"HOSPITAL JOSE MARIA MIRANDA")</f>
        <v>HOSPITAL JOSE MARIA MIRANDA</v>
      </c>
      <c r="C1035" s="30" t="str">
        <f ca="1">IFERROR(__xludf.DUMMYFUNCTION("""COMPUTED_VALUE"""),"Entre Ríos")</f>
        <v>Entre Ríos</v>
      </c>
      <c r="D1035" s="30" t="str">
        <f ca="1">IFERROR(__xludf.DUMMYFUNCTION("""COMPUTED_VALUE"""),"30")</f>
        <v>30</v>
      </c>
      <c r="E1035" s="30" t="str">
        <f ca="1">IFERROR(__xludf.DUMMYFUNCTION("""COMPUTED_VALUE"""),"")</f>
        <v/>
      </c>
      <c r="F1035" s="29"/>
      <c r="G1035" s="29"/>
      <c r="H1035" s="30" t="str">
        <f ca="1">IFERROR(__xludf.DUMMYFUNCTION("""COMPUTED_VALUE"""),"activo")</f>
        <v>activo</v>
      </c>
      <c r="I1035" s="29"/>
      <c r="J1035" s="29"/>
      <c r="K1035" s="29"/>
      <c r="L1035" s="30" t="str">
        <f ca="1">IFERROR(__xludf.DUMMYFUNCTION("""COMPUTED_VALUE"""),"No")</f>
        <v>No</v>
      </c>
      <c r="M1035" s="30" t="str">
        <f ca="1">IFERROR(__xludf.DUMMYFUNCTION("""COMPUTED_VALUE"""),"30084050001")</f>
        <v>30084050001</v>
      </c>
      <c r="N1035" s="30" t="str">
        <f ca="1">IFERROR(__xludf.DUMMYFUNCTION("""COMPUTED_VALUE"""),"CERRITO")</f>
        <v>CERRITO</v>
      </c>
      <c r="O1035" s="30" t="str">
        <f ca="1">IFERROR(__xludf.DUMMYFUNCTION("""COMPUTED_VALUE"""),"3084")</f>
        <v>3084</v>
      </c>
      <c r="P1035" s="30" t="str">
        <f ca="1">IFERROR(__xludf.DUMMYFUNCTION("""COMPUTED_VALUE"""),"PARANÁ")</f>
        <v>PARANÁ</v>
      </c>
      <c r="Q1035" s="30" t="str">
        <f ca="1">IFERROR(__xludf.DUMMYFUNCTION("""COMPUTED_VALUE"""),"-31.58048226")</f>
        <v>-31.58048226</v>
      </c>
      <c r="R1035" s="30" t="str">
        <f ca="1">IFERROR(__xludf.DUMMYFUNCTION("""COMPUTED_VALUE"""),"-60.07007718")</f>
        <v>-60.07007718</v>
      </c>
      <c r="S1035" s="30" t="str">
        <f ca="1">IFERROR(__xludf.DUMMYFUNCTION("""COMPUTED_VALUE"""),"Provincial")</f>
        <v>Provincial</v>
      </c>
      <c r="T1035" s="30" t="str">
        <f ca="1">IFERROR(__xludf.DUMMYFUNCTION("""COMPUTED_VALUE"""),"-")</f>
        <v>-</v>
      </c>
    </row>
    <row r="1036" spans="1:20" ht="15.75" customHeight="1" x14ac:dyDescent="0.25">
      <c r="A1036" s="30" t="str">
        <f ca="1">IFERROR(__xludf.DUMMYFUNCTION("""COMPUTED_VALUE"""),"10300842242031")</f>
        <v>10300842242031</v>
      </c>
      <c r="B1036" s="30" t="str">
        <f ca="1">IFERROR(__xludf.DUMMYFUNCTION("""COMPUTED_VALUE"""),"C.A.P.S.  DR. ARTURO HUMBERTO ILLIA")</f>
        <v>C.A.P.S.  DR. ARTURO HUMBERTO ILLIA</v>
      </c>
      <c r="C1036" s="30" t="str">
        <f ca="1">IFERROR(__xludf.DUMMYFUNCTION("""COMPUTED_VALUE"""),"Entre Ríos")</f>
        <v>Entre Ríos</v>
      </c>
      <c r="D1036" s="30" t="str">
        <f ca="1">IFERROR(__xludf.DUMMYFUNCTION("""COMPUTED_VALUE"""),"30")</f>
        <v>30</v>
      </c>
      <c r="E1036" s="30" t="str">
        <f ca="1">IFERROR(__xludf.DUMMYFUNCTION("""COMPUTED_VALUE"""),"")</f>
        <v/>
      </c>
      <c r="F1036" s="29"/>
      <c r="G1036" s="29"/>
      <c r="H1036" s="30" t="str">
        <f ca="1">IFERROR(__xludf.DUMMYFUNCTION("""COMPUTED_VALUE"""),"inactivo")</f>
        <v>inactivo</v>
      </c>
      <c r="I1036" s="29"/>
      <c r="J1036" s="29"/>
      <c r="K1036" s="29"/>
      <c r="L1036" s="30" t="str">
        <f ca="1">IFERROR(__xludf.DUMMYFUNCTION("""COMPUTED_VALUE"""),"No")</f>
        <v>No</v>
      </c>
      <c r="M1036" s="30" t="str">
        <f ca="1">IFERROR(__xludf.DUMMYFUNCTION("""COMPUTED_VALUE"""),"30084160000")</f>
        <v>30084160000</v>
      </c>
      <c r="N1036" s="30" t="str">
        <f ca="1">IFERROR(__xludf.DUMMYFUNCTION("""COMPUTED_VALUE"""),"PARANA")</f>
        <v>PARANA</v>
      </c>
      <c r="O1036" s="30" t="str">
        <f ca="1">IFERROR(__xludf.DUMMYFUNCTION("""COMPUTED_VALUE"""),"3084")</f>
        <v>3084</v>
      </c>
      <c r="P1036" s="30" t="str">
        <f ca="1">IFERROR(__xludf.DUMMYFUNCTION("""COMPUTED_VALUE"""),"PARANÁ")</f>
        <v>PARANÁ</v>
      </c>
      <c r="Q1036" s="30" t="str">
        <f ca="1">IFERROR(__xludf.DUMMYFUNCTION("""COMPUTED_VALUE"""),"-31.75663415")</f>
        <v>-31.75663415</v>
      </c>
      <c r="R1036" s="30" t="str">
        <f ca="1">IFERROR(__xludf.DUMMYFUNCTION("""COMPUTED_VALUE"""),"-60.50896168")</f>
        <v>-60.50896168</v>
      </c>
      <c r="S1036" s="30" t="str">
        <f ca="1">IFERROR(__xludf.DUMMYFUNCTION("""COMPUTED_VALUE"""),"Municipal")</f>
        <v>Municipal</v>
      </c>
      <c r="T1036" s="29"/>
    </row>
    <row r="1037" spans="1:20" ht="15.75" customHeight="1" x14ac:dyDescent="0.25">
      <c r="A1037" s="30" t="str">
        <f ca="1">IFERROR(__xludf.DUMMYFUNCTION("""COMPUTED_VALUE"""),"10300152142040")</f>
        <v>10300152142040</v>
      </c>
      <c r="B1037" s="30" t="str">
        <f ca="1">IFERROR(__xludf.DUMMYFUNCTION("""COMPUTED_VALUE"""),"HOSPITAL FELIPE HERAS")</f>
        <v>HOSPITAL FELIPE HERAS</v>
      </c>
      <c r="C1037" s="30" t="str">
        <f ca="1">IFERROR(__xludf.DUMMYFUNCTION("""COMPUTED_VALUE"""),"Entre Ríos")</f>
        <v>Entre Ríos</v>
      </c>
      <c r="D1037" s="30" t="str">
        <f ca="1">IFERROR(__xludf.DUMMYFUNCTION("""COMPUTED_VALUE"""),"30")</f>
        <v>30</v>
      </c>
      <c r="E1037" s="30" t="str">
        <f ca="1">IFERROR(__xludf.DUMMYFUNCTION("""COMPUTED_VALUE"""),"")</f>
        <v/>
      </c>
      <c r="F1037" s="29"/>
      <c r="G1037" s="29"/>
      <c r="H1037" s="30" t="str">
        <f ca="1">IFERROR(__xludf.DUMMYFUNCTION("""COMPUTED_VALUE"""),"activo")</f>
        <v>activo</v>
      </c>
      <c r="I1037" s="29"/>
      <c r="J1037" s="29"/>
      <c r="K1037" s="29"/>
      <c r="L1037" s="30" t="str">
        <f ca="1">IFERROR(__xludf.DUMMYFUNCTION("""COMPUTED_VALUE"""),"No")</f>
        <v>No</v>
      </c>
      <c r="M1037" s="30" t="str">
        <f ca="1">IFERROR(__xludf.DUMMYFUNCTION("""COMPUTED_VALUE"""),"30015060002")</f>
        <v>30015060002</v>
      </c>
      <c r="N1037" s="30" t="str">
        <f ca="1">IFERROR(__xludf.DUMMYFUNCTION("""COMPUTED_VALUE"""),"CONCORDIA")</f>
        <v>CONCORDIA</v>
      </c>
      <c r="O1037" s="30" t="str">
        <f ca="1">IFERROR(__xludf.DUMMYFUNCTION("""COMPUTED_VALUE"""),"3015")</f>
        <v>3015</v>
      </c>
      <c r="P1037" s="30" t="str">
        <f ca="1">IFERROR(__xludf.DUMMYFUNCTION("""COMPUTED_VALUE"""),"CONCORDIA")</f>
        <v>CONCORDIA</v>
      </c>
      <c r="Q1037" s="30" t="str">
        <f ca="1">IFERROR(__xludf.DUMMYFUNCTION("""COMPUTED_VALUE"""),"-31.4061834")</f>
        <v>-31.4061834</v>
      </c>
      <c r="R1037" s="30" t="str">
        <f ca="1">IFERROR(__xludf.DUMMYFUNCTION("""COMPUTED_VALUE"""),"-58.0203725")</f>
        <v>-58.0203725</v>
      </c>
      <c r="S1037" s="30" t="str">
        <f ca="1">IFERROR(__xludf.DUMMYFUNCTION("""COMPUTED_VALUE"""),"Provincial")</f>
        <v>Provincial</v>
      </c>
      <c r="T1037" s="30" t="str">
        <f ca="1">IFERROR(__xludf.DUMMYFUNCTION("""COMPUTED_VALUE"""),"-")</f>
        <v>-</v>
      </c>
    </row>
    <row r="1038" spans="1:20" ht="15.75" customHeight="1" x14ac:dyDescent="0.25">
      <c r="A1038" s="30" t="str">
        <f ca="1">IFERROR(__xludf.DUMMYFUNCTION("""COMPUTED_VALUE"""),"10300912142055")</f>
        <v>10300912142055</v>
      </c>
      <c r="B1038" s="30" t="str">
        <f ca="1">IFERROR(__xludf.DUMMYFUNCTION("""COMPUTED_VALUE"""),"HOSPITAL NUESTRA SEÑORA DEL CARMEN")</f>
        <v>HOSPITAL NUESTRA SEÑORA DEL CARMEN</v>
      </c>
      <c r="C1038" s="30" t="str">
        <f ca="1">IFERROR(__xludf.DUMMYFUNCTION("""COMPUTED_VALUE"""),"Entre Ríos")</f>
        <v>Entre Ríos</v>
      </c>
      <c r="D1038" s="30" t="str">
        <f ca="1">IFERROR(__xludf.DUMMYFUNCTION("""COMPUTED_VALUE"""),"30")</f>
        <v>30</v>
      </c>
      <c r="E1038" s="30" t="str">
        <f ca="1">IFERROR(__xludf.DUMMYFUNCTION("""COMPUTED_VALUE"""),"")</f>
        <v/>
      </c>
      <c r="F1038" s="29"/>
      <c r="G1038" s="29"/>
      <c r="H1038" s="30" t="str">
        <f ca="1">IFERROR(__xludf.DUMMYFUNCTION("""COMPUTED_VALUE"""),"inactivo")</f>
        <v>inactivo</v>
      </c>
      <c r="I1038" s="29"/>
      <c r="J1038" s="29"/>
      <c r="K1038" s="29"/>
      <c r="L1038" s="30" t="str">
        <f ca="1">IFERROR(__xludf.DUMMYFUNCTION("""COMPUTED_VALUE"""),"No")</f>
        <v>No</v>
      </c>
      <c r="M1038" s="30" t="str">
        <f ca="1">IFERROR(__xludf.DUMMYFUNCTION("""COMPUTED_VALUE"""),"30091050000")</f>
        <v>30091050000</v>
      </c>
      <c r="N1038" s="30" t="str">
        <f ca="1">IFERROR(__xludf.DUMMYFUNCTION("""COMPUTED_VALUE"""),"GOBERNADOR MANSILLA")</f>
        <v>GOBERNADOR MANSILLA</v>
      </c>
      <c r="O1038" s="30" t="str">
        <f ca="1">IFERROR(__xludf.DUMMYFUNCTION("""COMPUTED_VALUE"""),"3091")</f>
        <v>3091</v>
      </c>
      <c r="P1038" s="30" t="str">
        <f ca="1">IFERROR(__xludf.DUMMYFUNCTION("""COMPUTED_VALUE"""),"TALA")</f>
        <v>TALA</v>
      </c>
      <c r="Q1038" s="30" t="str">
        <f ca="1">IFERROR(__xludf.DUMMYFUNCTION("""COMPUTED_VALUE"""),"-32.545469")</f>
        <v>-32.545469</v>
      </c>
      <c r="R1038" s="30" t="str">
        <f ca="1">IFERROR(__xludf.DUMMYFUNCTION("""COMPUTED_VALUE"""),"-59.3564459")</f>
        <v>-59.3564459</v>
      </c>
      <c r="S1038" s="30" t="str">
        <f ca="1">IFERROR(__xludf.DUMMYFUNCTION("""COMPUTED_VALUE"""),"Provincial")</f>
        <v>Provincial</v>
      </c>
      <c r="T1038" s="30" t="str">
        <f ca="1">IFERROR(__xludf.DUMMYFUNCTION("""COMPUTED_VALUE"""),"-")</f>
        <v>-</v>
      </c>
    </row>
    <row r="1039" spans="1:20" ht="15.75" customHeight="1" x14ac:dyDescent="0.25">
      <c r="A1039" s="30" t="str">
        <f ca="1">IFERROR(__xludf.DUMMYFUNCTION("""COMPUTED_VALUE"""),"10300912142039")</f>
        <v>10300912142039</v>
      </c>
      <c r="B1039" s="30" t="str">
        <f ca="1">IFERROR(__xludf.DUMMYFUNCTION("""COMPUTED_VALUE"""),"HOSPITAL FALUCHO")</f>
        <v>HOSPITAL FALUCHO</v>
      </c>
      <c r="C1039" s="30" t="str">
        <f ca="1">IFERROR(__xludf.DUMMYFUNCTION("""COMPUTED_VALUE"""),"Entre Ríos")</f>
        <v>Entre Ríos</v>
      </c>
      <c r="D1039" s="30" t="str">
        <f ca="1">IFERROR(__xludf.DUMMYFUNCTION("""COMPUTED_VALUE"""),"30")</f>
        <v>30</v>
      </c>
      <c r="E1039" s="30" t="str">
        <f ca="1">IFERROR(__xludf.DUMMYFUNCTION("""COMPUTED_VALUE"""),"si")</f>
        <v>si</v>
      </c>
      <c r="F1039" s="29"/>
      <c r="G1039" s="29"/>
      <c r="H1039" s="30" t="str">
        <f ca="1">IFERROR(__xludf.DUMMYFUNCTION("""COMPUTED_VALUE"""),"activo")</f>
        <v>activo</v>
      </c>
      <c r="I1039" s="29"/>
      <c r="J1039" s="29"/>
      <c r="K1039" s="29"/>
      <c r="L1039" s="30" t="str">
        <f ca="1">IFERROR(__xludf.DUMMYFUNCTION("""COMPUTED_VALUE"""),"No")</f>
        <v>No</v>
      </c>
      <c r="M1039" s="30" t="str">
        <f ca="1">IFERROR(__xludf.DUMMYFUNCTION("""COMPUTED_VALUE"""),"30091090000")</f>
        <v>30091090000</v>
      </c>
      <c r="N1039" s="30" t="str">
        <f ca="1">IFERROR(__xludf.DUMMYFUNCTION("""COMPUTED_VALUE"""),"MACIA")</f>
        <v>MACIA</v>
      </c>
      <c r="O1039" s="30" t="str">
        <f ca="1">IFERROR(__xludf.DUMMYFUNCTION("""COMPUTED_VALUE"""),"3091")</f>
        <v>3091</v>
      </c>
      <c r="P1039" s="30" t="str">
        <f ca="1">IFERROR(__xludf.DUMMYFUNCTION("""COMPUTED_VALUE"""),"TALA")</f>
        <v>TALA</v>
      </c>
      <c r="Q1039" s="30" t="str">
        <f ca="1">IFERROR(__xludf.DUMMYFUNCTION("""COMPUTED_VALUE"""),"-32.17370589")</f>
        <v>-32.17370589</v>
      </c>
      <c r="R1039" s="30" t="str">
        <f ca="1">IFERROR(__xludf.DUMMYFUNCTION("""COMPUTED_VALUE"""),"-59.40623045")</f>
        <v>-59.40623045</v>
      </c>
      <c r="S1039" s="30" t="str">
        <f ca="1">IFERROR(__xludf.DUMMYFUNCTION("""COMPUTED_VALUE"""),"Provincial")</f>
        <v>Provincial</v>
      </c>
      <c r="T1039" s="30" t="str">
        <f ca="1">IFERROR(__xludf.DUMMYFUNCTION("""COMPUTED_VALUE"""),"-")</f>
        <v>-</v>
      </c>
    </row>
    <row r="1040" spans="1:20" ht="15.75" customHeight="1" x14ac:dyDescent="0.25">
      <c r="A1040" s="30" t="str">
        <f ca="1">IFERROR(__xludf.DUMMYFUNCTION("""COMPUTED_VALUE"""),"10300982142058")</f>
        <v>10300982142058</v>
      </c>
      <c r="B1040" s="30" t="str">
        <f ca="1">IFERROR(__xludf.DUMMYFUNCTION("""COMPUTED_VALUE"""),"HOSPITAL PRESBISTERO ANDRES ZANINETTI")</f>
        <v>HOSPITAL PRESBISTERO ANDRES ZANINETTI</v>
      </c>
      <c r="C1040" s="30" t="str">
        <f ca="1">IFERROR(__xludf.DUMMYFUNCTION("""COMPUTED_VALUE"""),"Entre Ríos")</f>
        <v>Entre Ríos</v>
      </c>
      <c r="D1040" s="30" t="str">
        <f ca="1">IFERROR(__xludf.DUMMYFUNCTION("""COMPUTED_VALUE"""),"30")</f>
        <v>30</v>
      </c>
      <c r="E1040" s="30" t="str">
        <f ca="1">IFERROR(__xludf.DUMMYFUNCTION("""COMPUTED_VALUE"""),"")</f>
        <v/>
      </c>
      <c r="F1040" s="29"/>
      <c r="G1040" s="29"/>
      <c r="H1040" s="30" t="str">
        <f ca="1">IFERROR(__xludf.DUMMYFUNCTION("""COMPUTED_VALUE"""),"inactivo")</f>
        <v>inactivo</v>
      </c>
      <c r="I1040" s="29"/>
      <c r="J1040" s="29"/>
      <c r="K1040" s="29"/>
      <c r="L1040" s="30" t="str">
        <f ca="1">IFERROR(__xludf.DUMMYFUNCTION("""COMPUTED_VALUE"""),"No")</f>
        <v>No</v>
      </c>
      <c r="M1040" s="30" t="str">
        <f ca="1">IFERROR(__xludf.DUMMYFUNCTION("""COMPUTED_VALUE"""),"30098130000")</f>
        <v>30098130000</v>
      </c>
      <c r="N1040" s="30" t="str">
        <f ca="1">IFERROR(__xludf.DUMMYFUNCTION("""COMPUTED_VALUE"""),"VILLA MANTERO")</f>
        <v>VILLA MANTERO</v>
      </c>
      <c r="O1040" s="30" t="str">
        <f ca="1">IFERROR(__xludf.DUMMYFUNCTION("""COMPUTED_VALUE"""),"3098")</f>
        <v>3098</v>
      </c>
      <c r="P1040" s="30" t="str">
        <f ca="1">IFERROR(__xludf.DUMMYFUNCTION("""COMPUTED_VALUE"""),"URUGUAY")</f>
        <v>URUGUAY</v>
      </c>
      <c r="Q1040" s="30" t="str">
        <f ca="1">IFERROR(__xludf.DUMMYFUNCTION("""COMPUTED_VALUE"""),"-32.39737439")</f>
        <v>-32.39737439</v>
      </c>
      <c r="R1040" s="30" t="str">
        <f ca="1">IFERROR(__xludf.DUMMYFUNCTION("""COMPUTED_VALUE"""),"-58.74599934")</f>
        <v>-58.74599934</v>
      </c>
      <c r="S1040" s="30" t="str">
        <f ca="1">IFERROR(__xludf.DUMMYFUNCTION("""COMPUTED_VALUE"""),"Provincial")</f>
        <v>Provincial</v>
      </c>
      <c r="T1040" s="30" t="str">
        <f ca="1">IFERROR(__xludf.DUMMYFUNCTION("""COMPUTED_VALUE"""),"-")</f>
        <v>-</v>
      </c>
    </row>
    <row r="1041" spans="1:20" ht="15.75" customHeight="1" x14ac:dyDescent="0.25">
      <c r="A1041" s="30" t="str">
        <f ca="1">IFERROR(__xludf.DUMMYFUNCTION("""COMPUTED_VALUE"""),"10301132142046")</f>
        <v>10301132142046</v>
      </c>
      <c r="B1041" s="30" t="str">
        <f ca="1">IFERROR(__xludf.DUMMYFUNCTION("""COMPUTED_VALUE"""),"HOSPITAL GENERAL SAN MARTIN")</f>
        <v>HOSPITAL GENERAL SAN MARTIN</v>
      </c>
      <c r="C1041" s="30" t="str">
        <f ca="1">IFERROR(__xludf.DUMMYFUNCTION("""COMPUTED_VALUE"""),"Entre Ríos")</f>
        <v>Entre Ríos</v>
      </c>
      <c r="D1041" s="30" t="str">
        <f ca="1">IFERROR(__xludf.DUMMYFUNCTION("""COMPUTED_VALUE"""),"30")</f>
        <v>30</v>
      </c>
      <c r="E1041" s="30" t="str">
        <f ca="1">IFERROR(__xludf.DUMMYFUNCTION("""COMPUTED_VALUE"""),"")</f>
        <v/>
      </c>
      <c r="F1041" s="29"/>
      <c r="G1041" s="29"/>
      <c r="H1041" s="30" t="str">
        <f ca="1">IFERROR(__xludf.DUMMYFUNCTION("""COMPUTED_VALUE"""),"inactivo")</f>
        <v>inactivo</v>
      </c>
      <c r="I1041" s="29"/>
      <c r="J1041" s="29"/>
      <c r="K1041" s="29"/>
      <c r="L1041" s="30" t="str">
        <f ca="1">IFERROR(__xludf.DUMMYFUNCTION("""COMPUTED_VALUE"""),"No")</f>
        <v>No</v>
      </c>
      <c r="M1041" s="30" t="str">
        <f ca="1">IFERROR(__xludf.DUMMYFUNCTION("""COMPUTED_VALUE"""),"30113060000")</f>
        <v>30113060000</v>
      </c>
      <c r="N1041" s="30" t="str">
        <f ca="1">IFERROR(__xludf.DUMMYFUNCTION("""COMPUTED_VALUE"""),"VILLA CLARA")</f>
        <v>VILLA CLARA</v>
      </c>
      <c r="O1041" s="30" t="str">
        <f ca="1">IFERROR(__xludf.DUMMYFUNCTION("""COMPUTED_VALUE"""),"30113")</f>
        <v>30113</v>
      </c>
      <c r="P1041" s="30" t="str">
        <f ca="1">IFERROR(__xludf.DUMMYFUNCTION("""COMPUTED_VALUE"""),"VILLAGUAY")</f>
        <v>VILLAGUAY</v>
      </c>
      <c r="Q1041" s="30" t="str">
        <f ca="1">IFERROR(__xludf.DUMMYFUNCTION("""COMPUTED_VALUE"""),"-31.82782205")</f>
        <v>-31.82782205</v>
      </c>
      <c r="R1041" s="30" t="str">
        <f ca="1">IFERROR(__xludf.DUMMYFUNCTION("""COMPUTED_VALUE"""),"-58.81884503")</f>
        <v>-58.81884503</v>
      </c>
      <c r="S1041" s="30" t="str">
        <f ca="1">IFERROR(__xludf.DUMMYFUNCTION("""COMPUTED_VALUE"""),"Provincial")</f>
        <v>Provincial</v>
      </c>
      <c r="T1041" s="30" t="str">
        <f ca="1">IFERROR(__xludf.DUMMYFUNCTION("""COMPUTED_VALUE"""),"-")</f>
        <v>-</v>
      </c>
    </row>
    <row r="1042" spans="1:20" ht="15.75" customHeight="1" x14ac:dyDescent="0.25">
      <c r="A1042" s="30" t="str">
        <f ca="1">IFERROR(__xludf.DUMMYFUNCTION("""COMPUTED_VALUE"""),"10301132142053")</f>
        <v>10301132142053</v>
      </c>
      <c r="B1042" s="30" t="str">
        <f ca="1">IFERROR(__xludf.DUMMYFUNCTION("""COMPUTED_VALUE"""),"HOSPITAL NOE YARCHOS")</f>
        <v>HOSPITAL NOE YARCHOS</v>
      </c>
      <c r="C1042" s="30" t="str">
        <f ca="1">IFERROR(__xludf.DUMMYFUNCTION("""COMPUTED_VALUE"""),"Entre Ríos")</f>
        <v>Entre Ríos</v>
      </c>
      <c r="D1042" s="30" t="str">
        <f ca="1">IFERROR(__xludf.DUMMYFUNCTION("""COMPUTED_VALUE"""),"30")</f>
        <v>30</v>
      </c>
      <c r="E1042" s="30" t="str">
        <f ca="1">IFERROR(__xludf.DUMMYFUNCTION("""COMPUTED_VALUE"""),"")</f>
        <v/>
      </c>
      <c r="F1042" s="29"/>
      <c r="G1042" s="29"/>
      <c r="H1042" s="30" t="str">
        <f ca="1">IFERROR(__xludf.DUMMYFUNCTION("""COMPUTED_VALUE"""),"inactivo")</f>
        <v>inactivo</v>
      </c>
      <c r="I1042" s="29"/>
      <c r="J1042" s="29"/>
      <c r="K1042" s="29"/>
      <c r="L1042" s="30" t="str">
        <f ca="1">IFERROR(__xludf.DUMMYFUNCTION("""COMPUTED_VALUE"""),"No")</f>
        <v>No</v>
      </c>
      <c r="M1042" s="30" t="str">
        <f ca="1">IFERROR(__xludf.DUMMYFUNCTION("""COMPUTED_VALUE"""),"30113070000")</f>
        <v>30113070000</v>
      </c>
      <c r="N1042" s="30" t="str">
        <f ca="1">IFERROR(__xludf.DUMMYFUNCTION("""COMPUTED_VALUE"""),"VILLA DOMINGUEZ")</f>
        <v>VILLA DOMINGUEZ</v>
      </c>
      <c r="O1042" s="30" t="str">
        <f ca="1">IFERROR(__xludf.DUMMYFUNCTION("""COMPUTED_VALUE"""),"30113")</f>
        <v>30113</v>
      </c>
      <c r="P1042" s="30" t="str">
        <f ca="1">IFERROR(__xludf.DUMMYFUNCTION("""COMPUTED_VALUE"""),"VILLAGUAY")</f>
        <v>VILLAGUAY</v>
      </c>
      <c r="Q1042" s="30" t="str">
        <f ca="1">IFERROR(__xludf.DUMMYFUNCTION("""COMPUTED_VALUE"""),"-31.98576097")</f>
        <v>-31.98576097</v>
      </c>
      <c r="R1042" s="30" t="str">
        <f ca="1">IFERROR(__xludf.DUMMYFUNCTION("""COMPUTED_VALUE"""),"-58.95987868")</f>
        <v>-58.95987868</v>
      </c>
      <c r="S1042" s="30" t="str">
        <f ca="1">IFERROR(__xludf.DUMMYFUNCTION("""COMPUTED_VALUE"""),"Provincial")</f>
        <v>Provincial</v>
      </c>
      <c r="T1042" s="30" t="str">
        <f ca="1">IFERROR(__xludf.DUMMYFUNCTION("""COMPUTED_VALUE"""),"-")</f>
        <v>-</v>
      </c>
    </row>
    <row r="1043" spans="1:20" ht="15.75" customHeight="1" x14ac:dyDescent="0.25">
      <c r="A1043" s="30" t="str">
        <f ca="1">IFERROR(__xludf.DUMMYFUNCTION("""COMPUTED_VALUE"""),"50300912142495")</f>
        <v>50300912142495</v>
      </c>
      <c r="B1043" s="30" t="str">
        <f ca="1">IFERROR(__xludf.DUMMYFUNCTION("""COMPUTED_VALUE"""),"CAPS DR.HECTOR ROLANDO VICARIO")</f>
        <v>CAPS DR.HECTOR ROLANDO VICARIO</v>
      </c>
      <c r="C1043" s="30" t="str">
        <f ca="1">IFERROR(__xludf.DUMMYFUNCTION("""COMPUTED_VALUE"""),"Entre Ríos")</f>
        <v>Entre Ríos</v>
      </c>
      <c r="D1043" s="30" t="str">
        <f ca="1">IFERROR(__xludf.DUMMYFUNCTION("""COMPUTED_VALUE"""),"30")</f>
        <v>30</v>
      </c>
      <c r="E1043" s="30" t="str">
        <f ca="1">IFERROR(__xludf.DUMMYFUNCTION("""COMPUTED_VALUE"""),"si")</f>
        <v>si</v>
      </c>
      <c r="F1043" s="29"/>
      <c r="G1043" s="29"/>
      <c r="H1043" s="30" t="str">
        <f ca="1">IFERROR(__xludf.DUMMYFUNCTION("""COMPUTED_VALUE"""),"activo")</f>
        <v>activo</v>
      </c>
      <c r="I1043" s="29"/>
      <c r="J1043" s="29"/>
      <c r="K1043" s="29"/>
      <c r="L1043" s="30" t="str">
        <f ca="1">IFERROR(__xludf.DUMMYFUNCTION("""COMPUTED_VALUE"""),"No")</f>
        <v>No</v>
      </c>
      <c r="M1043" s="30" t="str">
        <f ca="1">IFERROR(__xludf.DUMMYFUNCTION("""COMPUTED_VALUE"""),"30091090000")</f>
        <v>30091090000</v>
      </c>
      <c r="N1043" s="30" t="str">
        <f ca="1">IFERROR(__xludf.DUMMYFUNCTION("""COMPUTED_VALUE"""),"MACIA")</f>
        <v>MACIA</v>
      </c>
      <c r="O1043" s="30" t="str">
        <f ca="1">IFERROR(__xludf.DUMMYFUNCTION("""COMPUTED_VALUE"""),"3091")</f>
        <v>3091</v>
      </c>
      <c r="P1043" s="30" t="str">
        <f ca="1">IFERROR(__xludf.DUMMYFUNCTION("""COMPUTED_VALUE"""),"TALA")</f>
        <v>TALA</v>
      </c>
      <c r="Q1043" s="30" t="str">
        <f ca="1">IFERROR(__xludf.DUMMYFUNCTION("""COMPUTED_VALUE"""),"-32.17321504")</f>
        <v>-32.17321504</v>
      </c>
      <c r="R1043" s="30" t="str">
        <f ca="1">IFERROR(__xludf.DUMMYFUNCTION("""COMPUTED_VALUE"""),"-59.39741671")</f>
        <v>-59.39741671</v>
      </c>
      <c r="S1043" s="30" t="str">
        <f ca="1">IFERROR(__xludf.DUMMYFUNCTION("""COMPUTED_VALUE"""),"Municipal")</f>
        <v>Municipal</v>
      </c>
      <c r="T1043" s="29"/>
    </row>
    <row r="1044" spans="1:20" ht="15.75" customHeight="1" x14ac:dyDescent="0.25">
      <c r="A1044" s="30" t="str">
        <f ca="1">IFERROR(__xludf.DUMMYFUNCTION("""COMPUTED_VALUE"""),"50300152142145")</f>
        <v>50300152142145</v>
      </c>
      <c r="B1044" s="30" t="str">
        <f ca="1">IFERROR(__xludf.DUMMYFUNCTION("""COMPUTED_VALUE"""),"ASISTENCIA PUBLICA MUNICIPAL - DIRECCION DE ESPECIALIDADES MEDICAS")</f>
        <v>ASISTENCIA PUBLICA MUNICIPAL - DIRECCION DE ESPECIALIDADES MEDICAS</v>
      </c>
      <c r="C1044" s="30" t="str">
        <f ca="1">IFERROR(__xludf.DUMMYFUNCTION("""COMPUTED_VALUE"""),"Entre Ríos")</f>
        <v>Entre Ríos</v>
      </c>
      <c r="D1044" s="30" t="str">
        <f ca="1">IFERROR(__xludf.DUMMYFUNCTION("""COMPUTED_VALUE"""),"30")</f>
        <v>30</v>
      </c>
      <c r="E1044" s="30" t="str">
        <f ca="1">IFERROR(__xludf.DUMMYFUNCTION("""COMPUTED_VALUE"""),"")</f>
        <v/>
      </c>
      <c r="F1044" s="29"/>
      <c r="G1044" s="29"/>
      <c r="H1044" s="30" t="str">
        <f ca="1">IFERROR(__xludf.DUMMYFUNCTION("""COMPUTED_VALUE"""),"activo")</f>
        <v>activo</v>
      </c>
      <c r="I1044" s="29"/>
      <c r="J1044" s="29"/>
      <c r="K1044" s="29"/>
      <c r="L1044" s="30" t="str">
        <f ca="1">IFERROR(__xludf.DUMMYFUNCTION("""COMPUTED_VALUE"""),"No")</f>
        <v>No</v>
      </c>
      <c r="M1044" s="30" t="str">
        <f ca="1">IFERROR(__xludf.DUMMYFUNCTION("""COMPUTED_VALUE"""),"30015060002")</f>
        <v>30015060002</v>
      </c>
      <c r="N1044" s="30" t="str">
        <f ca="1">IFERROR(__xludf.DUMMYFUNCTION("""COMPUTED_VALUE"""),"CONCORDIA")</f>
        <v>CONCORDIA</v>
      </c>
      <c r="O1044" s="30" t="str">
        <f ca="1">IFERROR(__xludf.DUMMYFUNCTION("""COMPUTED_VALUE"""),"3015")</f>
        <v>3015</v>
      </c>
      <c r="P1044" s="30" t="str">
        <f ca="1">IFERROR(__xludf.DUMMYFUNCTION("""COMPUTED_VALUE"""),"CONCORDIA")</f>
        <v>CONCORDIA</v>
      </c>
      <c r="Q1044" s="30" t="str">
        <f ca="1">IFERROR(__xludf.DUMMYFUNCTION("""COMPUTED_VALUE"""),"-31.39183067")</f>
        <v>-31.39183067</v>
      </c>
      <c r="R1044" s="30" t="str">
        <f ca="1">IFERROR(__xludf.DUMMYFUNCTION("""COMPUTED_VALUE"""),"-58.02083731")</f>
        <v>-58.02083731</v>
      </c>
      <c r="S1044" s="30" t="str">
        <f ca="1">IFERROR(__xludf.DUMMYFUNCTION("""COMPUTED_VALUE"""),"Municipal")</f>
        <v>Municipal</v>
      </c>
      <c r="T1044" s="29"/>
    </row>
    <row r="1045" spans="1:20" ht="15.75" customHeight="1" x14ac:dyDescent="0.25">
      <c r="A1045" s="30" t="str">
        <f ca="1">IFERROR(__xludf.DUMMYFUNCTION("""COMPUTED_VALUE"""),"50300152142197")</f>
        <v>50300152142197</v>
      </c>
      <c r="B1045" s="30" t="str">
        <f ca="1">IFERROR(__xludf.DUMMYFUNCTION("""COMPUTED_VALUE"""),"CENTRO DE SALUD CAPRICORNIO")</f>
        <v>CENTRO DE SALUD CAPRICORNIO</v>
      </c>
      <c r="C1045" s="30" t="str">
        <f ca="1">IFERROR(__xludf.DUMMYFUNCTION("""COMPUTED_VALUE"""),"Entre Ríos")</f>
        <v>Entre Ríos</v>
      </c>
      <c r="D1045" s="30" t="str">
        <f ca="1">IFERROR(__xludf.DUMMYFUNCTION("""COMPUTED_VALUE"""),"30")</f>
        <v>30</v>
      </c>
      <c r="E1045" s="30" t="str">
        <f ca="1">IFERROR(__xludf.DUMMYFUNCTION("""COMPUTED_VALUE"""),"")</f>
        <v/>
      </c>
      <c r="F1045" s="29"/>
      <c r="G1045" s="29"/>
      <c r="H1045" s="30" t="str">
        <f ca="1">IFERROR(__xludf.DUMMYFUNCTION("""COMPUTED_VALUE"""),"inactivo")</f>
        <v>inactivo</v>
      </c>
      <c r="I1045" s="29"/>
      <c r="J1045" s="29"/>
      <c r="K1045" s="29"/>
      <c r="L1045" s="30" t="str">
        <f ca="1">IFERROR(__xludf.DUMMYFUNCTION("""COMPUTED_VALUE"""),"No")</f>
        <v>No</v>
      </c>
      <c r="M1045" s="30" t="str">
        <f ca="1">IFERROR(__xludf.DUMMYFUNCTION("""COMPUTED_VALUE"""),"30015060002")</f>
        <v>30015060002</v>
      </c>
      <c r="N1045" s="30" t="str">
        <f ca="1">IFERROR(__xludf.DUMMYFUNCTION("""COMPUTED_VALUE"""),"CONCORDIA")</f>
        <v>CONCORDIA</v>
      </c>
      <c r="O1045" s="30" t="str">
        <f ca="1">IFERROR(__xludf.DUMMYFUNCTION("""COMPUTED_VALUE"""),"3015")</f>
        <v>3015</v>
      </c>
      <c r="P1045" s="30" t="str">
        <f ca="1">IFERROR(__xludf.DUMMYFUNCTION("""COMPUTED_VALUE"""),"CONCORDIA")</f>
        <v>CONCORDIA</v>
      </c>
      <c r="Q1045" s="30" t="str">
        <f ca="1">IFERROR(__xludf.DUMMYFUNCTION("""COMPUTED_VALUE"""),"-31.36253903")</f>
        <v>-31.36253903</v>
      </c>
      <c r="R1045" s="30" t="str">
        <f ca="1">IFERROR(__xludf.DUMMYFUNCTION("""COMPUTED_VALUE"""),"-58.05227251")</f>
        <v>-58.05227251</v>
      </c>
      <c r="S1045" s="30" t="str">
        <f ca="1">IFERROR(__xludf.DUMMYFUNCTION("""COMPUTED_VALUE"""),"Municipal")</f>
        <v>Municipal</v>
      </c>
      <c r="T1045" s="29"/>
    </row>
    <row r="1046" spans="1:20" ht="15.75" customHeight="1" x14ac:dyDescent="0.25">
      <c r="A1046" s="30" t="str">
        <f ca="1">IFERROR(__xludf.DUMMYFUNCTION("""COMPUTED_VALUE"""),"50300152142206")</f>
        <v>50300152142206</v>
      </c>
      <c r="B1046" s="30" t="str">
        <f ca="1">IFERROR(__xludf.DUMMYFUNCTION("""COMPUTED_VALUE"""),"C.A.P.S.  COLONIA AYUI")</f>
        <v>C.A.P.S.  COLONIA AYUI</v>
      </c>
      <c r="C1046" s="30" t="str">
        <f ca="1">IFERROR(__xludf.DUMMYFUNCTION("""COMPUTED_VALUE"""),"Entre Ríos")</f>
        <v>Entre Ríos</v>
      </c>
      <c r="D1046" s="30" t="str">
        <f ca="1">IFERROR(__xludf.DUMMYFUNCTION("""COMPUTED_VALUE"""),"30")</f>
        <v>30</v>
      </c>
      <c r="E1046" s="30" t="str">
        <f ca="1">IFERROR(__xludf.DUMMYFUNCTION("""COMPUTED_VALUE"""),"")</f>
        <v/>
      </c>
      <c r="F1046" s="29"/>
      <c r="G1046" s="29"/>
      <c r="H1046" s="30" t="str">
        <f ca="1">IFERROR(__xludf.DUMMYFUNCTION("""COMPUTED_VALUE"""),"activo")</f>
        <v>activo</v>
      </c>
      <c r="I1046" s="29"/>
      <c r="J1046" s="29"/>
      <c r="K1046" s="29"/>
      <c r="L1046" s="30" t="str">
        <f ca="1">IFERROR(__xludf.DUMMYFUNCTION("""COMPUTED_VALUE"""),"No")</f>
        <v>No</v>
      </c>
      <c r="M1046" s="30" t="str">
        <f ca="1">IFERROR(__xludf.DUMMYFUNCTION("""COMPUTED_VALUE"""),"30015030000")</f>
        <v>30015030000</v>
      </c>
      <c r="N1046" s="30" t="str">
        <f ca="1">IFERROR(__xludf.DUMMYFUNCTION("""COMPUTED_VALUE"""),"COLONIA AYUI")</f>
        <v>COLONIA AYUI</v>
      </c>
      <c r="O1046" s="30" t="str">
        <f ca="1">IFERROR(__xludf.DUMMYFUNCTION("""COMPUTED_VALUE"""),"3015")</f>
        <v>3015</v>
      </c>
      <c r="P1046" s="30" t="str">
        <f ca="1">IFERROR(__xludf.DUMMYFUNCTION("""COMPUTED_VALUE"""),"CONCORDIA")</f>
        <v>CONCORDIA</v>
      </c>
      <c r="Q1046" s="30" t="str">
        <f ca="1">IFERROR(__xludf.DUMMYFUNCTION("""COMPUTED_VALUE"""),"-31.2068575")</f>
        <v>-31.2068575</v>
      </c>
      <c r="R1046" s="30" t="str">
        <f ca="1">IFERROR(__xludf.DUMMYFUNCTION("""COMPUTED_VALUE"""),"-58.0304248")</f>
        <v>-58.0304248</v>
      </c>
      <c r="S1046" s="30" t="str">
        <f ca="1">IFERROR(__xludf.DUMMYFUNCTION("""COMPUTED_VALUE"""),"Provincial")</f>
        <v>Provincial</v>
      </c>
      <c r="T1046" s="30" t="str">
        <f ca="1">IFERROR(__xludf.DUMMYFUNCTION("""COMPUTED_VALUE"""),"-")</f>
        <v>-</v>
      </c>
    </row>
    <row r="1047" spans="1:20" ht="15.75" customHeight="1" x14ac:dyDescent="0.25">
      <c r="A1047" s="30" t="str">
        <f ca="1">IFERROR(__xludf.DUMMYFUNCTION("""COMPUTED_VALUE"""),"50300152142290")</f>
        <v>50300152142290</v>
      </c>
      <c r="B1047" s="30" t="str">
        <f ca="1">IFERROR(__xludf.DUMMYFUNCTION("""COMPUTED_VALUE"""),"C.A.P.S.  LA BIANCA")</f>
        <v>C.A.P.S.  LA BIANCA</v>
      </c>
      <c r="C1047" s="30" t="str">
        <f ca="1">IFERROR(__xludf.DUMMYFUNCTION("""COMPUTED_VALUE"""),"Entre Ríos")</f>
        <v>Entre Ríos</v>
      </c>
      <c r="D1047" s="30" t="str">
        <f ca="1">IFERROR(__xludf.DUMMYFUNCTION("""COMPUTED_VALUE"""),"30")</f>
        <v>30</v>
      </c>
      <c r="E1047" s="30" t="str">
        <f ca="1">IFERROR(__xludf.DUMMYFUNCTION("""COMPUTED_VALUE"""),"")</f>
        <v/>
      </c>
      <c r="F1047" s="29"/>
      <c r="G1047" s="29"/>
      <c r="H1047" s="30" t="str">
        <f ca="1">IFERROR(__xludf.DUMMYFUNCTION("""COMPUTED_VALUE"""),"activo")</f>
        <v>activo</v>
      </c>
      <c r="I1047" s="29"/>
      <c r="J1047" s="29"/>
      <c r="K1047" s="29"/>
      <c r="L1047" s="30" t="str">
        <f ca="1">IFERROR(__xludf.DUMMYFUNCTION("""COMPUTED_VALUE"""),"No")</f>
        <v>No</v>
      </c>
      <c r="M1047" s="30" t="str">
        <f ca="1">IFERROR(__xludf.DUMMYFUNCTION("""COMPUTED_VALUE"""),"30015060002")</f>
        <v>30015060002</v>
      </c>
      <c r="N1047" s="30" t="str">
        <f ca="1">IFERROR(__xludf.DUMMYFUNCTION("""COMPUTED_VALUE"""),"CONCORDIA")</f>
        <v>CONCORDIA</v>
      </c>
      <c r="O1047" s="30" t="str">
        <f ca="1">IFERROR(__xludf.DUMMYFUNCTION("""COMPUTED_VALUE"""),"3015")</f>
        <v>3015</v>
      </c>
      <c r="P1047" s="30" t="str">
        <f ca="1">IFERROR(__xludf.DUMMYFUNCTION("""COMPUTED_VALUE"""),"CONCORDIA")</f>
        <v>CONCORDIA</v>
      </c>
      <c r="Q1047" s="30" t="str">
        <f ca="1">IFERROR(__xludf.DUMMYFUNCTION("""COMPUTED_VALUE"""),"-31.35123185")</f>
        <v>-31.35123185</v>
      </c>
      <c r="R1047" s="30" t="str">
        <f ca="1">IFERROR(__xludf.DUMMYFUNCTION("""COMPUTED_VALUE"""),"-58.00545752")</f>
        <v>-58.00545752</v>
      </c>
      <c r="S1047" s="30" t="str">
        <f ca="1">IFERROR(__xludf.DUMMYFUNCTION("""COMPUTED_VALUE"""),"Provincial")</f>
        <v>Provincial</v>
      </c>
      <c r="T1047" s="30" t="str">
        <f ca="1">IFERROR(__xludf.DUMMYFUNCTION("""COMPUTED_VALUE"""),"-")</f>
        <v>-</v>
      </c>
    </row>
    <row r="1048" spans="1:20" ht="15.75" customHeight="1" x14ac:dyDescent="0.25">
      <c r="A1048" s="30" t="str">
        <f ca="1">IFERROR(__xludf.DUMMYFUNCTION("""COMPUTED_VALUE"""),"50300152142306")</f>
        <v>50300152142306</v>
      </c>
      <c r="B1048" s="30" t="str">
        <f ca="1">IFERROR(__xludf.DUMMYFUNCTION("""COMPUTED_VALUE"""),"C.A.P.S  MARIA MARTINA B. DE CAMINAL")</f>
        <v>C.A.P.S  MARIA MARTINA B. DE CAMINAL</v>
      </c>
      <c r="C1048" s="30" t="str">
        <f ca="1">IFERROR(__xludf.DUMMYFUNCTION("""COMPUTED_VALUE"""),"Entre Ríos")</f>
        <v>Entre Ríos</v>
      </c>
      <c r="D1048" s="30" t="str">
        <f ca="1">IFERROR(__xludf.DUMMYFUNCTION("""COMPUTED_VALUE"""),"30")</f>
        <v>30</v>
      </c>
      <c r="E1048" s="30" t="str">
        <f ca="1">IFERROR(__xludf.DUMMYFUNCTION("""COMPUTED_VALUE"""),"")</f>
        <v/>
      </c>
      <c r="F1048" s="29"/>
      <c r="G1048" s="29"/>
      <c r="H1048" s="30" t="str">
        <f ca="1">IFERROR(__xludf.DUMMYFUNCTION("""COMPUTED_VALUE"""),"activo")</f>
        <v>activo</v>
      </c>
      <c r="I1048" s="29"/>
      <c r="J1048" s="29"/>
      <c r="K1048" s="29"/>
      <c r="L1048" s="30" t="str">
        <f ca="1">IFERROR(__xludf.DUMMYFUNCTION("""COMPUTED_VALUE"""),"No")</f>
        <v>No</v>
      </c>
      <c r="M1048" s="30" t="str">
        <f ca="1">IFERROR(__xludf.DUMMYFUNCTION("""COMPUTED_VALUE"""),"30015060002")</f>
        <v>30015060002</v>
      </c>
      <c r="N1048" s="30" t="str">
        <f ca="1">IFERROR(__xludf.DUMMYFUNCTION("""COMPUTED_VALUE"""),"CONCORDIA")</f>
        <v>CONCORDIA</v>
      </c>
      <c r="O1048" s="30" t="str">
        <f ca="1">IFERROR(__xludf.DUMMYFUNCTION("""COMPUTED_VALUE"""),"3015")</f>
        <v>3015</v>
      </c>
      <c r="P1048" s="30" t="str">
        <f ca="1">IFERROR(__xludf.DUMMYFUNCTION("""COMPUTED_VALUE"""),"CONCORDIA")</f>
        <v>CONCORDIA</v>
      </c>
      <c r="Q1048" s="30" t="str">
        <f ca="1">IFERROR(__xludf.DUMMYFUNCTION("""COMPUTED_VALUE"""),"-31.39465543")</f>
        <v>-31.39465543</v>
      </c>
      <c r="R1048" s="30" t="str">
        <f ca="1">IFERROR(__xludf.DUMMYFUNCTION("""COMPUTED_VALUE"""),"-58.01610589")</f>
        <v>-58.01610589</v>
      </c>
      <c r="S1048" s="30" t="str">
        <f ca="1">IFERROR(__xludf.DUMMYFUNCTION("""COMPUTED_VALUE"""),"Provincial")</f>
        <v>Provincial</v>
      </c>
      <c r="T1048" s="30" t="str">
        <f ca="1">IFERROR(__xludf.DUMMYFUNCTION("""COMPUTED_VALUE"""),"-")</f>
        <v>-</v>
      </c>
    </row>
    <row r="1049" spans="1:20" ht="15.75" customHeight="1" x14ac:dyDescent="0.25">
      <c r="A1049" s="30" t="str">
        <f ca="1">IFERROR(__xludf.DUMMYFUNCTION("""COMPUTED_VALUE"""),"50300152142418")</f>
        <v>50300152142418</v>
      </c>
      <c r="B1049" s="30" t="str">
        <f ca="1">IFERROR(__xludf.DUMMYFUNCTION("""COMPUTED_VALUE"""),"CENTRO REGIONAL DE REFERENCIA LA CONSTITUCION")</f>
        <v>CENTRO REGIONAL DE REFERENCIA LA CONSTITUCION</v>
      </c>
      <c r="C1049" s="30" t="str">
        <f ca="1">IFERROR(__xludf.DUMMYFUNCTION("""COMPUTED_VALUE"""),"Entre Ríos")</f>
        <v>Entre Ríos</v>
      </c>
      <c r="D1049" s="30" t="str">
        <f ca="1">IFERROR(__xludf.DUMMYFUNCTION("""COMPUTED_VALUE"""),"30")</f>
        <v>30</v>
      </c>
      <c r="E1049" s="30" t="str">
        <f ca="1">IFERROR(__xludf.DUMMYFUNCTION("""COMPUTED_VALUE"""),"")</f>
        <v/>
      </c>
      <c r="F1049" s="29"/>
      <c r="G1049" s="29"/>
      <c r="H1049" s="30" t="str">
        <f ca="1">IFERROR(__xludf.DUMMYFUNCTION("""COMPUTED_VALUE"""),"activo")</f>
        <v>activo</v>
      </c>
      <c r="I1049" s="29"/>
      <c r="J1049" s="29"/>
      <c r="K1049" s="29"/>
      <c r="L1049" s="30" t="str">
        <f ca="1">IFERROR(__xludf.DUMMYFUNCTION("""COMPUTED_VALUE"""),"No")</f>
        <v>No</v>
      </c>
      <c r="M1049" s="30" t="str">
        <f ca="1">IFERROR(__xludf.DUMMYFUNCTION("""COMPUTED_VALUE"""),"30015060002")</f>
        <v>30015060002</v>
      </c>
      <c r="N1049" s="30" t="str">
        <f ca="1">IFERROR(__xludf.DUMMYFUNCTION("""COMPUTED_VALUE"""),"CONCORDIA")</f>
        <v>CONCORDIA</v>
      </c>
      <c r="O1049" s="30" t="str">
        <f ca="1">IFERROR(__xludf.DUMMYFUNCTION("""COMPUTED_VALUE"""),"3015")</f>
        <v>3015</v>
      </c>
      <c r="P1049" s="30" t="str">
        <f ca="1">IFERROR(__xludf.DUMMYFUNCTION("""COMPUTED_VALUE"""),"CONCORDIA")</f>
        <v>CONCORDIA</v>
      </c>
      <c r="Q1049" s="30" t="str">
        <f ca="1">IFERROR(__xludf.DUMMYFUNCTION("""COMPUTED_VALUE"""),"-31.36805475")</f>
        <v>-31.36805475</v>
      </c>
      <c r="R1049" s="30" t="str">
        <f ca="1">IFERROR(__xludf.DUMMYFUNCTION("""COMPUTED_VALUE"""),"-58.04053148")</f>
        <v>-58.04053148</v>
      </c>
      <c r="S1049" s="30" t="str">
        <f ca="1">IFERROR(__xludf.DUMMYFUNCTION("""COMPUTED_VALUE"""),"Provincial")</f>
        <v>Provincial</v>
      </c>
      <c r="T1049" s="30" t="str">
        <f ca="1">IFERROR(__xludf.DUMMYFUNCTION("""COMPUTED_VALUE"""),"-")</f>
        <v>-</v>
      </c>
    </row>
    <row r="1050" spans="1:20" ht="15.75" customHeight="1" x14ac:dyDescent="0.25">
      <c r="A1050" s="30" t="str">
        <f ca="1">IFERROR(__xludf.DUMMYFUNCTION("""COMPUTED_VALUE"""),"50300212142251")</f>
        <v>50300212142251</v>
      </c>
      <c r="B1050" s="30" t="str">
        <f ca="1">IFERROR(__xludf.DUMMYFUNCTION("""COMPUTED_VALUE"""),"C.A.P.S.  DR. RUBEN GHIGGI")</f>
        <v>C.A.P.S.  DR. RUBEN GHIGGI</v>
      </c>
      <c r="C1050" s="30" t="str">
        <f ca="1">IFERROR(__xludf.DUMMYFUNCTION("""COMPUTED_VALUE"""),"Entre Ríos")</f>
        <v>Entre Ríos</v>
      </c>
      <c r="D1050" s="30" t="str">
        <f ca="1">IFERROR(__xludf.DUMMYFUNCTION("""COMPUTED_VALUE"""),"30")</f>
        <v>30</v>
      </c>
      <c r="E1050" s="30" t="str">
        <f ca="1">IFERROR(__xludf.DUMMYFUNCTION("""COMPUTED_VALUE"""),"")</f>
        <v/>
      </c>
      <c r="F1050" s="29"/>
      <c r="G1050" s="29"/>
      <c r="H1050" s="30" t="str">
        <f ca="1">IFERROR(__xludf.DUMMYFUNCTION("""COMPUTED_VALUE"""),"activo")</f>
        <v>activo</v>
      </c>
      <c r="I1050" s="29"/>
      <c r="J1050" s="29"/>
      <c r="K1050" s="29"/>
      <c r="L1050" s="30" t="str">
        <f ca="1">IFERROR(__xludf.DUMMYFUNCTION("""COMPUTED_VALUE"""),"No")</f>
        <v>No</v>
      </c>
      <c r="M1050" s="30" t="str">
        <f ca="1">IFERROR(__xludf.DUMMYFUNCTION("""COMPUTED_VALUE"""),"30021060000")</f>
        <v>30021060000</v>
      </c>
      <c r="N1050" s="30" t="str">
        <f ca="1">IFERROR(__xludf.DUMMYFUNCTION("""COMPUTED_VALUE"""),"ALDEA VALLE MARIA")</f>
        <v>ALDEA VALLE MARIA</v>
      </c>
      <c r="O1050" s="30" t="str">
        <f ca="1">IFERROR(__xludf.DUMMYFUNCTION("""COMPUTED_VALUE"""),"3021")</f>
        <v>3021</v>
      </c>
      <c r="P1050" s="30" t="str">
        <f ca="1">IFERROR(__xludf.DUMMYFUNCTION("""COMPUTED_VALUE"""),"DIAMANTE")</f>
        <v>DIAMANTE</v>
      </c>
      <c r="Q1050" s="30" t="str">
        <f ca="1">IFERROR(__xludf.DUMMYFUNCTION("""COMPUTED_VALUE"""),"-31.99159842")</f>
        <v>-31.99159842</v>
      </c>
      <c r="R1050" s="30" t="str">
        <f ca="1">IFERROR(__xludf.DUMMYFUNCTION("""COMPUTED_VALUE"""),"-60.59079051")</f>
        <v>-60.59079051</v>
      </c>
      <c r="S1050" s="30" t="str">
        <f ca="1">IFERROR(__xludf.DUMMYFUNCTION("""COMPUTED_VALUE"""),"Provincial")</f>
        <v>Provincial</v>
      </c>
      <c r="T1050" s="30" t="str">
        <f ca="1">IFERROR(__xludf.DUMMYFUNCTION("""COMPUTED_VALUE"""),"-")</f>
        <v>-</v>
      </c>
    </row>
    <row r="1051" spans="1:20" ht="15.75" customHeight="1" x14ac:dyDescent="0.25">
      <c r="A1051" s="30" t="str">
        <f ca="1">IFERROR(__xludf.DUMMYFUNCTION("""COMPUTED_VALUE"""),"50300212142458")</f>
        <v>50300212142458</v>
      </c>
      <c r="B1051" s="30" t="str">
        <f ca="1">IFERROR(__xludf.DUMMYFUNCTION("""COMPUTED_VALUE"""),"C.A.P.S.  EVA PERON")</f>
        <v>C.A.P.S.  EVA PERON</v>
      </c>
      <c r="C1051" s="30" t="str">
        <f ca="1">IFERROR(__xludf.DUMMYFUNCTION("""COMPUTED_VALUE"""),"Entre Ríos")</f>
        <v>Entre Ríos</v>
      </c>
      <c r="D1051" s="30" t="str">
        <f ca="1">IFERROR(__xludf.DUMMYFUNCTION("""COMPUTED_VALUE"""),"30")</f>
        <v>30</v>
      </c>
      <c r="E1051" s="30" t="str">
        <f ca="1">IFERROR(__xludf.DUMMYFUNCTION("""COMPUTED_VALUE"""),"")</f>
        <v/>
      </c>
      <c r="F1051" s="29"/>
      <c r="G1051" s="29"/>
      <c r="H1051" s="30" t="str">
        <f ca="1">IFERROR(__xludf.DUMMYFUNCTION("""COMPUTED_VALUE"""),"activo")</f>
        <v>activo</v>
      </c>
      <c r="I1051" s="29"/>
      <c r="J1051" s="29"/>
      <c r="K1051" s="29"/>
      <c r="L1051" s="30" t="str">
        <f ca="1">IFERROR(__xludf.DUMMYFUNCTION("""COMPUTED_VALUE"""),"No")</f>
        <v>No</v>
      </c>
      <c r="M1051" s="30" t="str">
        <f ca="1">IFERROR(__xludf.DUMMYFUNCTION("""COMPUTED_VALUE"""),"30021080002")</f>
        <v>30021080002</v>
      </c>
      <c r="N1051" s="30" t="str">
        <f ca="1">IFERROR(__xludf.DUMMYFUNCTION("""COMPUTED_VALUE"""),"STROBEL")</f>
        <v>STROBEL</v>
      </c>
      <c r="O1051" s="30" t="str">
        <f ca="1">IFERROR(__xludf.DUMMYFUNCTION("""COMPUTED_VALUE"""),"3021")</f>
        <v>3021</v>
      </c>
      <c r="P1051" s="30" t="str">
        <f ca="1">IFERROR(__xludf.DUMMYFUNCTION("""COMPUTED_VALUE"""),"DIAMANTE")</f>
        <v>DIAMANTE</v>
      </c>
      <c r="Q1051" s="30" t="str">
        <f ca="1">IFERROR(__xludf.DUMMYFUNCTION("""COMPUTED_VALUE"""),"-32.05589954")</f>
        <v>-32.05589954</v>
      </c>
      <c r="R1051" s="30" t="str">
        <f ca="1">IFERROR(__xludf.DUMMYFUNCTION("""COMPUTED_VALUE"""),"-60.61281681")</f>
        <v>-60.61281681</v>
      </c>
      <c r="S1051" s="30" t="str">
        <f ca="1">IFERROR(__xludf.DUMMYFUNCTION("""COMPUTED_VALUE"""),"Provincial")</f>
        <v>Provincial</v>
      </c>
      <c r="T1051" s="30" t="str">
        <f ca="1">IFERROR(__xludf.DUMMYFUNCTION("""COMPUTED_VALUE"""),"-")</f>
        <v>-</v>
      </c>
    </row>
    <row r="1052" spans="1:20" ht="15.75" customHeight="1" x14ac:dyDescent="0.25">
      <c r="A1052" s="30" t="str">
        <f ca="1">IFERROR(__xludf.DUMMYFUNCTION("""COMPUTED_VALUE"""),"50300282142320")</f>
        <v>50300282142320</v>
      </c>
      <c r="B1052" s="30" t="str">
        <f ca="1">IFERROR(__xludf.DUMMYFUNCTION("""COMPUTED_VALUE"""),"CENTRO DE SALUD Nº 1 - ANGELITA TAGLIAPIETRA")</f>
        <v>CENTRO DE SALUD Nº 1 - ANGELITA TAGLIAPIETRA</v>
      </c>
      <c r="C1052" s="30" t="str">
        <f ca="1">IFERROR(__xludf.DUMMYFUNCTION("""COMPUTED_VALUE"""),"Entre Ríos")</f>
        <v>Entre Ríos</v>
      </c>
      <c r="D1052" s="30" t="str">
        <f ca="1">IFERROR(__xludf.DUMMYFUNCTION("""COMPUTED_VALUE"""),"30")</f>
        <v>30</v>
      </c>
      <c r="E1052" s="30" t="str">
        <f ca="1">IFERROR(__xludf.DUMMYFUNCTION("""COMPUTED_VALUE"""),"")</f>
        <v/>
      </c>
      <c r="F1052" s="29"/>
      <c r="G1052" s="29"/>
      <c r="H1052" s="30" t="str">
        <f ca="1">IFERROR(__xludf.DUMMYFUNCTION("""COMPUTED_VALUE"""),"activo")</f>
        <v>activo</v>
      </c>
      <c r="I1052" s="29"/>
      <c r="J1052" s="29"/>
      <c r="K1052" s="29"/>
      <c r="L1052" s="30" t="str">
        <f ca="1">IFERROR(__xludf.DUMMYFUNCTION("""COMPUTED_VALUE"""),"No")</f>
        <v>No</v>
      </c>
      <c r="M1052" s="30" t="str">
        <f ca="1">IFERROR(__xludf.DUMMYFUNCTION("""COMPUTED_VALUE"""),"30028010000")</f>
        <v>30028010000</v>
      </c>
      <c r="N1052" s="30" t="str">
        <f ca="1">IFERROR(__xludf.DUMMYFUNCTION("""COMPUTED_VALUE"""),"CHAJARI")</f>
        <v>CHAJARI</v>
      </c>
      <c r="O1052" s="30" t="str">
        <f ca="1">IFERROR(__xludf.DUMMYFUNCTION("""COMPUTED_VALUE"""),"3028")</f>
        <v>3028</v>
      </c>
      <c r="P1052" s="30" t="str">
        <f ca="1">IFERROR(__xludf.DUMMYFUNCTION("""COMPUTED_VALUE"""),"FEDERACIÓN")</f>
        <v>FEDERACIÓN</v>
      </c>
      <c r="Q1052" s="30" t="str">
        <f ca="1">IFERROR(__xludf.DUMMYFUNCTION("""COMPUTED_VALUE"""),"-30.7670598")</f>
        <v>-30.7670598</v>
      </c>
      <c r="R1052" s="30" t="str">
        <f ca="1">IFERROR(__xludf.DUMMYFUNCTION("""COMPUTED_VALUE"""),"-57.9984743")</f>
        <v>-57.9984743</v>
      </c>
      <c r="S1052" s="30" t="str">
        <f ca="1">IFERROR(__xludf.DUMMYFUNCTION("""COMPUTED_VALUE"""),"Municipal")</f>
        <v>Municipal</v>
      </c>
      <c r="T1052" s="29"/>
    </row>
    <row r="1053" spans="1:20" ht="15.75" customHeight="1" x14ac:dyDescent="0.25">
      <c r="A1053" s="30" t="str">
        <f ca="1">IFERROR(__xludf.DUMMYFUNCTION("""COMPUTED_VALUE"""),"50300282142449")</f>
        <v>50300282142449</v>
      </c>
      <c r="B1053" s="30" t="str">
        <f ca="1">IFERROR(__xludf.DUMMYFUNCTION("""COMPUTED_VALUE"""),"CIC ISABEL POLETTO")</f>
        <v>CIC ISABEL POLETTO</v>
      </c>
      <c r="C1053" s="30" t="str">
        <f ca="1">IFERROR(__xludf.DUMMYFUNCTION("""COMPUTED_VALUE"""),"Entre Ríos")</f>
        <v>Entre Ríos</v>
      </c>
      <c r="D1053" s="30" t="str">
        <f ca="1">IFERROR(__xludf.DUMMYFUNCTION("""COMPUTED_VALUE"""),"30")</f>
        <v>30</v>
      </c>
      <c r="E1053" s="30" t="str">
        <f ca="1">IFERROR(__xludf.DUMMYFUNCTION("""COMPUTED_VALUE"""),"")</f>
        <v/>
      </c>
      <c r="F1053" s="29"/>
      <c r="G1053" s="29"/>
      <c r="H1053" s="30" t="str">
        <f ca="1">IFERROR(__xludf.DUMMYFUNCTION("""COMPUTED_VALUE"""),"activo")</f>
        <v>activo</v>
      </c>
      <c r="I1053" s="29"/>
      <c r="J1053" s="29"/>
      <c r="K1053" s="29"/>
      <c r="L1053" s="30" t="str">
        <f ca="1">IFERROR(__xludf.DUMMYFUNCTION("""COMPUTED_VALUE"""),"No")</f>
        <v>No</v>
      </c>
      <c r="M1053" s="30" t="str">
        <f ca="1">IFERROR(__xludf.DUMMYFUNCTION("""COMPUTED_VALUE"""),"30028120000")</f>
        <v>30028120000</v>
      </c>
      <c r="N1053" s="30" t="str">
        <f ca="1">IFERROR(__xludf.DUMMYFUNCTION("""COMPUTED_VALUE"""),"VILLA DEL ROSARIO")</f>
        <v>VILLA DEL ROSARIO</v>
      </c>
      <c r="O1053" s="30" t="str">
        <f ca="1">IFERROR(__xludf.DUMMYFUNCTION("""COMPUTED_VALUE"""),"3028")</f>
        <v>3028</v>
      </c>
      <c r="P1053" s="30" t="str">
        <f ca="1">IFERROR(__xludf.DUMMYFUNCTION("""COMPUTED_VALUE"""),"FEDERACIÓN")</f>
        <v>FEDERACIÓN</v>
      </c>
      <c r="Q1053" s="30" t="str">
        <f ca="1">IFERROR(__xludf.DUMMYFUNCTION("""COMPUTED_VALUE"""),"-30.7444212")</f>
        <v>-30.7444212</v>
      </c>
      <c r="R1053" s="30" t="str">
        <f ca="1">IFERROR(__xludf.DUMMYFUNCTION("""COMPUTED_VALUE"""),"-57.9884047")</f>
        <v>-57.9884047</v>
      </c>
      <c r="S1053" s="30" t="str">
        <f ca="1">IFERROR(__xludf.DUMMYFUNCTION("""COMPUTED_VALUE"""),"Municipal")</f>
        <v>Municipal</v>
      </c>
      <c r="T1053" s="29"/>
    </row>
    <row r="1054" spans="1:20" ht="15.75" customHeight="1" x14ac:dyDescent="0.25">
      <c r="A1054" s="30" t="str">
        <f ca="1">IFERROR(__xludf.DUMMYFUNCTION("""COMPUTED_VALUE"""),"10300702142070")</f>
        <v>10300702142070</v>
      </c>
      <c r="B1054" s="30" t="str">
        <f ca="1">IFERROR(__xludf.DUMMYFUNCTION("""COMPUTED_VALUE"""),"HOSPITAL SAN MIGUEL")</f>
        <v>HOSPITAL SAN MIGUEL</v>
      </c>
      <c r="C1054" s="30" t="str">
        <f ca="1">IFERROR(__xludf.DUMMYFUNCTION("""COMPUTED_VALUE"""),"Entre Ríos")</f>
        <v>Entre Ríos</v>
      </c>
      <c r="D1054" s="30" t="str">
        <f ca="1">IFERROR(__xludf.DUMMYFUNCTION("""COMPUTED_VALUE"""),"30")</f>
        <v>30</v>
      </c>
      <c r="E1054" s="30" t="str">
        <f ca="1">IFERROR(__xludf.DUMMYFUNCTION("""COMPUTED_VALUE"""),"")</f>
        <v/>
      </c>
      <c r="F1054" s="29"/>
      <c r="G1054" s="29"/>
      <c r="H1054" s="30" t="str">
        <f ca="1">IFERROR(__xludf.DUMMYFUNCTION("""COMPUTED_VALUE"""),"activo")</f>
        <v>activo</v>
      </c>
      <c r="I1054" s="29"/>
      <c r="J1054" s="29"/>
      <c r="K1054" s="29"/>
      <c r="L1054" s="30" t="str">
        <f ca="1">IFERROR(__xludf.DUMMYFUNCTION("""COMPUTED_VALUE"""),"No")</f>
        <v>No</v>
      </c>
      <c r="M1054" s="30" t="str">
        <f ca="1">IFERROR(__xludf.DUMMYFUNCTION("""COMPUTED_VALUE"""),"30070010000")</f>
        <v>30070010000</v>
      </c>
      <c r="N1054" s="30" t="str">
        <f ca="1">IFERROR(__xludf.DUMMYFUNCTION("""COMPUTED_VALUE"""),"BOVRIL")</f>
        <v>BOVRIL</v>
      </c>
      <c r="O1054" s="30" t="str">
        <f ca="1">IFERROR(__xludf.DUMMYFUNCTION("""COMPUTED_VALUE"""),"3070")</f>
        <v>3070</v>
      </c>
      <c r="P1054" s="30" t="str">
        <f ca="1">IFERROR(__xludf.DUMMYFUNCTION("""COMPUTED_VALUE"""),"LA PAZ")</f>
        <v>LA PAZ</v>
      </c>
      <c r="Q1054" s="30" t="str">
        <f ca="1">IFERROR(__xludf.DUMMYFUNCTION("""COMPUTED_VALUE"""),"-31.34540893")</f>
        <v>-31.34540893</v>
      </c>
      <c r="R1054" s="30" t="str">
        <f ca="1">IFERROR(__xludf.DUMMYFUNCTION("""COMPUTED_VALUE"""),"-59.44565361")</f>
        <v>-59.44565361</v>
      </c>
      <c r="S1054" s="30" t="str">
        <f ca="1">IFERROR(__xludf.DUMMYFUNCTION("""COMPUTED_VALUE"""),"Provincial")</f>
        <v>Provincial</v>
      </c>
      <c r="T1054" s="30" t="str">
        <f ca="1">IFERROR(__xludf.DUMMYFUNCTION("""COMPUTED_VALUE"""),"-")</f>
        <v>-</v>
      </c>
    </row>
    <row r="1055" spans="1:20" ht="15.75" customHeight="1" x14ac:dyDescent="0.25">
      <c r="A1055" s="30" t="str">
        <f ca="1">IFERROR(__xludf.DUMMYFUNCTION("""COMPUTED_VALUE"""),"50300562142226")</f>
        <v>50300562142226</v>
      </c>
      <c r="B1055" s="30" t="str">
        <f ca="1">IFERROR(__xludf.DUMMYFUNCTION("""COMPUTED_VALUE"""),"C.A.P.S.  DR. CARLOS ARTUSI")</f>
        <v>C.A.P.S.  DR. CARLOS ARTUSI</v>
      </c>
      <c r="C1055" s="30" t="str">
        <f ca="1">IFERROR(__xludf.DUMMYFUNCTION("""COMPUTED_VALUE"""),"Entre Ríos")</f>
        <v>Entre Ríos</v>
      </c>
      <c r="D1055" s="30" t="str">
        <f ca="1">IFERROR(__xludf.DUMMYFUNCTION("""COMPUTED_VALUE"""),"30")</f>
        <v>30</v>
      </c>
      <c r="E1055" s="30" t="str">
        <f ca="1">IFERROR(__xludf.DUMMYFUNCTION("""COMPUTED_VALUE"""),"")</f>
        <v/>
      </c>
      <c r="F1055" s="29"/>
      <c r="G1055" s="29"/>
      <c r="H1055" s="30" t="str">
        <f ca="1">IFERROR(__xludf.DUMMYFUNCTION("""COMPUTED_VALUE"""),"activo")</f>
        <v>activo</v>
      </c>
      <c r="I1055" s="29"/>
      <c r="J1055" s="29"/>
      <c r="K1055" s="29"/>
      <c r="L1055" s="30" t="str">
        <f ca="1">IFERROR(__xludf.DUMMYFUNCTION("""COMPUTED_VALUE"""),"No")</f>
        <v>No</v>
      </c>
      <c r="M1055" s="30" t="str">
        <f ca="1">IFERROR(__xludf.DUMMYFUNCTION("""COMPUTED_VALUE"""),"30056100000")</f>
        <v>30056100000</v>
      </c>
      <c r="N1055" s="30" t="str">
        <f ca="1">IFERROR(__xludf.DUMMYFUNCTION("""COMPUTED_VALUE"""),"PUEBLO GENERAL BELGRANO")</f>
        <v>PUEBLO GENERAL BELGRANO</v>
      </c>
      <c r="O1055" s="30" t="str">
        <f ca="1">IFERROR(__xludf.DUMMYFUNCTION("""COMPUTED_VALUE"""),"3056")</f>
        <v>3056</v>
      </c>
      <c r="P1055" s="30" t="str">
        <f ca="1">IFERROR(__xludf.DUMMYFUNCTION("""COMPUTED_VALUE"""),"GUALEGUAYCHÚ")</f>
        <v>GUALEGUAYCHÚ</v>
      </c>
      <c r="Q1055" s="30" t="str">
        <f ca="1">IFERROR(__xludf.DUMMYFUNCTION("""COMPUTED_VALUE"""),"-33.01766911")</f>
        <v>-33.01766911</v>
      </c>
      <c r="R1055" s="30" t="str">
        <f ca="1">IFERROR(__xludf.DUMMYFUNCTION("""COMPUTED_VALUE"""),"-58.46765994")</f>
        <v>-58.46765994</v>
      </c>
      <c r="S1055" s="30" t="str">
        <f ca="1">IFERROR(__xludf.DUMMYFUNCTION("""COMPUTED_VALUE"""),"Provincial")</f>
        <v>Provincial</v>
      </c>
      <c r="T1055" s="30" t="str">
        <f ca="1">IFERROR(__xludf.DUMMYFUNCTION("""COMPUTED_VALUE"""),"-")</f>
        <v>-</v>
      </c>
    </row>
    <row r="1056" spans="1:20" ht="15.75" customHeight="1" x14ac:dyDescent="0.25">
      <c r="A1056" s="30" t="str">
        <f ca="1">IFERROR(__xludf.DUMMYFUNCTION("""COMPUTED_VALUE"""),"50300562142255")</f>
        <v>50300562142255</v>
      </c>
      <c r="B1056" s="30" t="str">
        <f ca="1">IFERROR(__xludf.DUMMYFUNCTION("""COMPUTED_VALUE"""),"CENTRO DE SALUD DR. SANTIAGO BOUGNARD")</f>
        <v>CENTRO DE SALUD DR. SANTIAGO BOUGNARD</v>
      </c>
      <c r="C1056" s="30" t="str">
        <f ca="1">IFERROR(__xludf.DUMMYFUNCTION("""COMPUTED_VALUE"""),"Entre Ríos")</f>
        <v>Entre Ríos</v>
      </c>
      <c r="D1056" s="30" t="str">
        <f ca="1">IFERROR(__xludf.DUMMYFUNCTION("""COMPUTED_VALUE"""),"30")</f>
        <v>30</v>
      </c>
      <c r="E1056" s="30" t="str">
        <f ca="1">IFERROR(__xludf.DUMMYFUNCTION("""COMPUTED_VALUE"""),"")</f>
        <v/>
      </c>
      <c r="F1056" s="29"/>
      <c r="G1056" s="29"/>
      <c r="H1056" s="30" t="str">
        <f ca="1">IFERROR(__xludf.DUMMYFUNCTION("""COMPUTED_VALUE"""),"activo")</f>
        <v>activo</v>
      </c>
      <c r="I1056" s="29"/>
      <c r="J1056" s="29"/>
      <c r="K1056" s="29"/>
      <c r="L1056" s="30" t="str">
        <f ca="1">IFERROR(__xludf.DUMMYFUNCTION("""COMPUTED_VALUE"""),"No")</f>
        <v>No</v>
      </c>
      <c r="M1056" s="30" t="str">
        <f ca="1">IFERROR(__xludf.DUMMYFUNCTION("""COMPUTED_VALUE"""),"30056090000")</f>
        <v>30056090000</v>
      </c>
      <c r="N1056" s="30" t="str">
        <f ca="1">IFERROR(__xludf.DUMMYFUNCTION("""COMPUTED_VALUE"""),"LARROQUE")</f>
        <v>LARROQUE</v>
      </c>
      <c r="O1056" s="30" t="str">
        <f ca="1">IFERROR(__xludf.DUMMYFUNCTION("""COMPUTED_VALUE"""),"3056")</f>
        <v>3056</v>
      </c>
      <c r="P1056" s="30" t="str">
        <f ca="1">IFERROR(__xludf.DUMMYFUNCTION("""COMPUTED_VALUE"""),"GUALEGUAYCHÚ")</f>
        <v>GUALEGUAYCHÚ</v>
      </c>
      <c r="Q1056" s="30" t="str">
        <f ca="1">IFERROR(__xludf.DUMMYFUNCTION("""COMPUTED_VALUE"""),"-33.04180282")</f>
        <v>-33.04180282</v>
      </c>
      <c r="R1056" s="30" t="str">
        <f ca="1">IFERROR(__xludf.DUMMYFUNCTION("""COMPUTED_VALUE"""),"-59.00285304")</f>
        <v>-59.00285304</v>
      </c>
      <c r="S1056" s="30" t="str">
        <f ca="1">IFERROR(__xludf.DUMMYFUNCTION("""COMPUTED_VALUE"""),"Municipal")</f>
        <v>Municipal</v>
      </c>
      <c r="T1056" s="29"/>
    </row>
    <row r="1057" spans="1:20" ht="15.75" customHeight="1" x14ac:dyDescent="0.25">
      <c r="A1057" s="30" t="str">
        <f ca="1">IFERROR(__xludf.DUMMYFUNCTION("""COMPUTED_VALUE"""),"50300562142283")</f>
        <v>50300562142283</v>
      </c>
      <c r="B1057" s="30" t="str">
        <f ca="1">IFERROR(__xludf.DUMMYFUNCTION("""COMPUTED_VALUE"""),"C.A.P.S.  JUAN BAGGIO")</f>
        <v>C.A.P.S.  JUAN BAGGIO</v>
      </c>
      <c r="C1057" s="30" t="str">
        <f ca="1">IFERROR(__xludf.DUMMYFUNCTION("""COMPUTED_VALUE"""),"Entre Ríos")</f>
        <v>Entre Ríos</v>
      </c>
      <c r="D1057" s="30" t="str">
        <f ca="1">IFERROR(__xludf.DUMMYFUNCTION("""COMPUTED_VALUE"""),"30")</f>
        <v>30</v>
      </c>
      <c r="E1057" s="30" t="str">
        <f ca="1">IFERROR(__xludf.DUMMYFUNCTION("""COMPUTED_VALUE"""),"")</f>
        <v/>
      </c>
      <c r="F1057" s="29"/>
      <c r="G1057" s="29"/>
      <c r="H1057" s="30" t="str">
        <f ca="1">IFERROR(__xludf.DUMMYFUNCTION("""COMPUTED_VALUE"""),"activo")</f>
        <v>activo</v>
      </c>
      <c r="I1057" s="29"/>
      <c r="J1057" s="29"/>
      <c r="K1057" s="29"/>
      <c r="L1057" s="30" t="str">
        <f ca="1">IFERROR(__xludf.DUMMYFUNCTION("""COMPUTED_VALUE"""),"No")</f>
        <v>No</v>
      </c>
      <c r="M1057" s="30" t="str">
        <f ca="1">IFERROR(__xludf.DUMMYFUNCTION("""COMPUTED_VALUE"""),"30056070000")</f>
        <v>30056070000</v>
      </c>
      <c r="N1057" s="30" t="str">
        <f ca="1">IFERROR(__xludf.DUMMYFUNCTION("""COMPUTED_VALUE"""),"GUALEGUAYCHU")</f>
        <v>GUALEGUAYCHU</v>
      </c>
      <c r="O1057" s="30" t="str">
        <f ca="1">IFERROR(__xludf.DUMMYFUNCTION("""COMPUTED_VALUE"""),"3056")</f>
        <v>3056</v>
      </c>
      <c r="P1057" s="30" t="str">
        <f ca="1">IFERROR(__xludf.DUMMYFUNCTION("""COMPUTED_VALUE"""),"GUALEGUAYCHÚ")</f>
        <v>GUALEGUAYCHÚ</v>
      </c>
      <c r="Q1057" s="30" t="str">
        <f ca="1">IFERROR(__xludf.DUMMYFUNCTION("""COMPUTED_VALUE"""),"-33.02487923")</f>
        <v>-33.02487923</v>
      </c>
      <c r="R1057" s="30" t="str">
        <f ca="1">IFERROR(__xludf.DUMMYFUNCTION("""COMPUTED_VALUE"""),"-58.51959407")</f>
        <v>-58.51959407</v>
      </c>
      <c r="S1057" s="30" t="str">
        <f ca="1">IFERROR(__xludf.DUMMYFUNCTION("""COMPUTED_VALUE"""),"Provincial")</f>
        <v>Provincial</v>
      </c>
      <c r="T1057" s="30" t="str">
        <f ca="1">IFERROR(__xludf.DUMMYFUNCTION("""COMPUTED_VALUE"""),"-")</f>
        <v>-</v>
      </c>
    </row>
    <row r="1058" spans="1:20" ht="15.75" customHeight="1" x14ac:dyDescent="0.25">
      <c r="A1058" s="30" t="str">
        <f ca="1">IFERROR(__xludf.DUMMYFUNCTION("""COMPUTED_VALUE"""),"50300562142287")</f>
        <v>50300562142287</v>
      </c>
      <c r="B1058" s="30" t="str">
        <f ca="1">IFERROR(__xludf.DUMMYFUNCTION("""COMPUTED_VALUE"""),"C.A.P.S.  JUAN JOSE FRANCO")</f>
        <v>C.A.P.S.  JUAN JOSE FRANCO</v>
      </c>
      <c r="C1058" s="30" t="str">
        <f ca="1">IFERROR(__xludf.DUMMYFUNCTION("""COMPUTED_VALUE"""),"Entre Ríos")</f>
        <v>Entre Ríos</v>
      </c>
      <c r="D1058" s="30" t="str">
        <f ca="1">IFERROR(__xludf.DUMMYFUNCTION("""COMPUTED_VALUE"""),"30")</f>
        <v>30</v>
      </c>
      <c r="E1058" s="30" t="str">
        <f ca="1">IFERROR(__xludf.DUMMYFUNCTION("""COMPUTED_VALUE"""),"")</f>
        <v/>
      </c>
      <c r="F1058" s="29"/>
      <c r="G1058" s="29"/>
      <c r="H1058" s="30" t="str">
        <f ca="1">IFERROR(__xludf.DUMMYFUNCTION("""COMPUTED_VALUE"""),"activo")</f>
        <v>activo</v>
      </c>
      <c r="I1058" s="29"/>
      <c r="J1058" s="29"/>
      <c r="K1058" s="29"/>
      <c r="L1058" s="30" t="str">
        <f ca="1">IFERROR(__xludf.DUMMYFUNCTION("""COMPUTED_VALUE"""),"No")</f>
        <v>No</v>
      </c>
      <c r="M1058" s="30" t="str">
        <f ca="1">IFERROR(__xludf.DUMMYFUNCTION("""COMPUTED_VALUE"""),"30056070000")</f>
        <v>30056070000</v>
      </c>
      <c r="N1058" s="30" t="str">
        <f ca="1">IFERROR(__xludf.DUMMYFUNCTION("""COMPUTED_VALUE"""),"GUALEGUAYCHU")</f>
        <v>GUALEGUAYCHU</v>
      </c>
      <c r="O1058" s="30" t="str">
        <f ca="1">IFERROR(__xludf.DUMMYFUNCTION("""COMPUTED_VALUE"""),"3056")</f>
        <v>3056</v>
      </c>
      <c r="P1058" s="30" t="str">
        <f ca="1">IFERROR(__xludf.DUMMYFUNCTION("""COMPUTED_VALUE"""),"GUALEGUAYCHÚ")</f>
        <v>GUALEGUAYCHÚ</v>
      </c>
      <c r="Q1058" s="30" t="str">
        <f ca="1">IFERROR(__xludf.DUMMYFUNCTION("""COMPUTED_VALUE"""),"-32.99885614")</f>
        <v>-32.99885614</v>
      </c>
      <c r="R1058" s="30" t="str">
        <f ca="1">IFERROR(__xludf.DUMMYFUNCTION("""COMPUTED_VALUE"""),"-58.51086669")</f>
        <v>-58.51086669</v>
      </c>
      <c r="S1058" s="30" t="str">
        <f ca="1">IFERROR(__xludf.DUMMYFUNCTION("""COMPUTED_VALUE"""),"Provincial")</f>
        <v>Provincial</v>
      </c>
      <c r="T1058" s="30" t="str">
        <f ca="1">IFERROR(__xludf.DUMMYFUNCTION("""COMPUTED_VALUE"""),"-")</f>
        <v>-</v>
      </c>
    </row>
    <row r="1059" spans="1:20" ht="15.75" customHeight="1" x14ac:dyDescent="0.25">
      <c r="A1059" s="30" t="str">
        <f ca="1">IFERROR(__xludf.DUMMYFUNCTION("""COMPUTED_VALUE"""),"50300562142315")</f>
        <v>50300562142315</v>
      </c>
      <c r="B1059" s="30" t="str">
        <f ca="1">IFERROR(__xludf.DUMMYFUNCTION("""COMPUTED_VALUE"""),"CENTRO DE SALUD Nº 5 - MEDANOS")</f>
        <v>CENTRO DE SALUD Nº 5 - MEDANOS</v>
      </c>
      <c r="C1059" s="30" t="str">
        <f ca="1">IFERROR(__xludf.DUMMYFUNCTION("""COMPUTED_VALUE"""),"Entre Ríos")</f>
        <v>Entre Ríos</v>
      </c>
      <c r="D1059" s="30" t="str">
        <f ca="1">IFERROR(__xludf.DUMMYFUNCTION("""COMPUTED_VALUE"""),"30")</f>
        <v>30</v>
      </c>
      <c r="E1059" s="30" t="str">
        <f ca="1">IFERROR(__xludf.DUMMYFUNCTION("""COMPUTED_VALUE"""),"")</f>
        <v/>
      </c>
      <c r="F1059" s="29"/>
      <c r="G1059" s="29"/>
      <c r="H1059" s="30" t="str">
        <f ca="1">IFERROR(__xludf.DUMMYFUNCTION("""COMPUTED_VALUE"""),"activo")</f>
        <v>activo</v>
      </c>
      <c r="I1059" s="29"/>
      <c r="J1059" s="29"/>
      <c r="K1059" s="29"/>
      <c r="L1059" s="30" t="str">
        <f ca="1">IFERROR(__xludf.DUMMYFUNCTION("""COMPUTED_VALUE"""),"No")</f>
        <v>No</v>
      </c>
      <c r="M1059" s="30" t="str">
        <f ca="1">IFERROR(__xludf.DUMMYFUNCTION("""COMPUTED_VALUE"""),"30056070000")</f>
        <v>30056070000</v>
      </c>
      <c r="N1059" s="30" t="str">
        <f ca="1">IFERROR(__xludf.DUMMYFUNCTION("""COMPUTED_VALUE"""),"GUALEGUAYCHU")</f>
        <v>GUALEGUAYCHU</v>
      </c>
      <c r="O1059" s="30" t="str">
        <f ca="1">IFERROR(__xludf.DUMMYFUNCTION("""COMPUTED_VALUE"""),"3056")</f>
        <v>3056</v>
      </c>
      <c r="P1059" s="30" t="str">
        <f ca="1">IFERROR(__xludf.DUMMYFUNCTION("""COMPUTED_VALUE"""),"GUALEGUAYCHÚ")</f>
        <v>GUALEGUAYCHÚ</v>
      </c>
      <c r="Q1059" s="30" t="str">
        <f ca="1">IFERROR(__xludf.DUMMYFUNCTION("""COMPUTED_VALUE"""),"-33.01489375")</f>
        <v>-33.01489375</v>
      </c>
      <c r="R1059" s="30" t="str">
        <f ca="1">IFERROR(__xludf.DUMMYFUNCTION("""COMPUTED_VALUE"""),"-58.54340138")</f>
        <v>-58.54340138</v>
      </c>
      <c r="S1059" s="30" t="str">
        <f ca="1">IFERROR(__xludf.DUMMYFUNCTION("""COMPUTED_VALUE"""),"Municipal")</f>
        <v>Municipal</v>
      </c>
      <c r="T1059" s="29"/>
    </row>
    <row r="1060" spans="1:20" ht="15.75" customHeight="1" x14ac:dyDescent="0.25">
      <c r="A1060" s="30" t="str">
        <f ca="1">IFERROR(__xludf.DUMMYFUNCTION("""COMPUTED_VALUE"""),"50300562142322")</f>
        <v>50300562142322</v>
      </c>
      <c r="B1060" s="30" t="str">
        <f ca="1">IFERROR(__xludf.DUMMYFUNCTION("""COMPUTED_VALUE"""),"CENTRO DE SALUD Nº 3 - VILLA MARIA")</f>
        <v>CENTRO DE SALUD Nº 3 - VILLA MARIA</v>
      </c>
      <c r="C1060" s="30" t="str">
        <f ca="1">IFERROR(__xludf.DUMMYFUNCTION("""COMPUTED_VALUE"""),"Entre Ríos")</f>
        <v>Entre Ríos</v>
      </c>
      <c r="D1060" s="30" t="str">
        <f ca="1">IFERROR(__xludf.DUMMYFUNCTION("""COMPUTED_VALUE"""),"30")</f>
        <v>30</v>
      </c>
      <c r="E1060" s="30" t="str">
        <f ca="1">IFERROR(__xludf.DUMMYFUNCTION("""COMPUTED_VALUE"""),"")</f>
        <v/>
      </c>
      <c r="F1060" s="29"/>
      <c r="G1060" s="29"/>
      <c r="H1060" s="30" t="str">
        <f ca="1">IFERROR(__xludf.DUMMYFUNCTION("""COMPUTED_VALUE"""),"activo")</f>
        <v>activo</v>
      </c>
      <c r="I1060" s="29"/>
      <c r="J1060" s="29"/>
      <c r="K1060" s="29"/>
      <c r="L1060" s="30" t="str">
        <f ca="1">IFERROR(__xludf.DUMMYFUNCTION("""COMPUTED_VALUE"""),"No")</f>
        <v>No</v>
      </c>
      <c r="M1060" s="30" t="str">
        <f ca="1">IFERROR(__xludf.DUMMYFUNCTION("""COMPUTED_VALUE"""),"30056070000")</f>
        <v>30056070000</v>
      </c>
      <c r="N1060" s="30" t="str">
        <f ca="1">IFERROR(__xludf.DUMMYFUNCTION("""COMPUTED_VALUE"""),"GUALEGUAYCHU")</f>
        <v>GUALEGUAYCHU</v>
      </c>
      <c r="O1060" s="30" t="str">
        <f ca="1">IFERROR(__xludf.DUMMYFUNCTION("""COMPUTED_VALUE"""),"3056")</f>
        <v>3056</v>
      </c>
      <c r="P1060" s="30" t="str">
        <f ca="1">IFERROR(__xludf.DUMMYFUNCTION("""COMPUTED_VALUE"""),"GUALEGUAYCHÚ")</f>
        <v>GUALEGUAYCHÚ</v>
      </c>
      <c r="Q1060" s="30" t="str">
        <f ca="1">IFERROR(__xludf.DUMMYFUNCTION("""COMPUTED_VALUE"""),"-33.02440697")</f>
        <v>-33.02440697</v>
      </c>
      <c r="R1060" s="30" t="str">
        <f ca="1">IFERROR(__xludf.DUMMYFUNCTION("""COMPUTED_VALUE"""),"-58.52123025")</f>
        <v>-58.52123025</v>
      </c>
      <c r="S1060" s="30" t="str">
        <f ca="1">IFERROR(__xludf.DUMMYFUNCTION("""COMPUTED_VALUE"""),"Municipal")</f>
        <v>Municipal</v>
      </c>
      <c r="T1060" s="29"/>
    </row>
    <row r="1061" spans="1:20" ht="15.75" customHeight="1" x14ac:dyDescent="0.25">
      <c r="A1061" s="30" t="str">
        <f ca="1">IFERROR(__xludf.DUMMYFUNCTION("""COMPUTED_VALUE"""),"50300562142324")</f>
        <v>50300562142324</v>
      </c>
      <c r="B1061" s="30" t="str">
        <f ca="1">IFERROR(__xludf.DUMMYFUNCTION("""COMPUTED_VALUE"""),"CENTRO DE SALUD Nº 4 - SAN FRANCISCO")</f>
        <v>CENTRO DE SALUD Nº 4 - SAN FRANCISCO</v>
      </c>
      <c r="C1061" s="30" t="str">
        <f ca="1">IFERROR(__xludf.DUMMYFUNCTION("""COMPUTED_VALUE"""),"Entre Ríos")</f>
        <v>Entre Ríos</v>
      </c>
      <c r="D1061" s="30" t="str">
        <f ca="1">IFERROR(__xludf.DUMMYFUNCTION("""COMPUTED_VALUE"""),"30")</f>
        <v>30</v>
      </c>
      <c r="E1061" s="30" t="str">
        <f ca="1">IFERROR(__xludf.DUMMYFUNCTION("""COMPUTED_VALUE"""),"")</f>
        <v/>
      </c>
      <c r="F1061" s="29"/>
      <c r="G1061" s="29"/>
      <c r="H1061" s="30" t="str">
        <f ca="1">IFERROR(__xludf.DUMMYFUNCTION("""COMPUTED_VALUE"""),"activo")</f>
        <v>activo</v>
      </c>
      <c r="I1061" s="29"/>
      <c r="J1061" s="29"/>
      <c r="K1061" s="29"/>
      <c r="L1061" s="30" t="str">
        <f ca="1">IFERROR(__xludf.DUMMYFUNCTION("""COMPUTED_VALUE"""),"No")</f>
        <v>No</v>
      </c>
      <c r="M1061" s="30" t="str">
        <f ca="1">IFERROR(__xludf.DUMMYFUNCTION("""COMPUTED_VALUE"""),"30056070000")</f>
        <v>30056070000</v>
      </c>
      <c r="N1061" s="30" t="str">
        <f ca="1">IFERROR(__xludf.DUMMYFUNCTION("""COMPUTED_VALUE"""),"GUALEGUAYCHU")</f>
        <v>GUALEGUAYCHU</v>
      </c>
      <c r="O1061" s="30" t="str">
        <f ca="1">IFERROR(__xludf.DUMMYFUNCTION("""COMPUTED_VALUE"""),"3056")</f>
        <v>3056</v>
      </c>
      <c r="P1061" s="30" t="str">
        <f ca="1">IFERROR(__xludf.DUMMYFUNCTION("""COMPUTED_VALUE"""),"GUALEGUAYCHÚ")</f>
        <v>GUALEGUAYCHÚ</v>
      </c>
      <c r="Q1061" s="30" t="str">
        <f ca="1">IFERROR(__xludf.DUMMYFUNCTION("""COMPUTED_VALUE"""),"-33.00314811")</f>
        <v>-33.00314811</v>
      </c>
      <c r="R1061" s="30" t="str">
        <f ca="1">IFERROR(__xludf.DUMMYFUNCTION("""COMPUTED_VALUE"""),"-58.5030181")</f>
        <v>-58.5030181</v>
      </c>
      <c r="S1061" s="30" t="str">
        <f ca="1">IFERROR(__xludf.DUMMYFUNCTION("""COMPUTED_VALUE"""),"Municipal")</f>
        <v>Municipal</v>
      </c>
      <c r="T1061" s="29"/>
    </row>
    <row r="1062" spans="1:20" ht="15.75" customHeight="1" x14ac:dyDescent="0.25">
      <c r="A1062" s="30" t="str">
        <f ca="1">IFERROR(__xludf.DUMMYFUNCTION("""COMPUTED_VALUE"""),"50300562142325")</f>
        <v>50300562142325</v>
      </c>
      <c r="B1062" s="30" t="str">
        <f ca="1">IFERROR(__xludf.DUMMYFUNCTION("""COMPUTED_VALUE"""),"CENTRO DE SALUD Nº 6 - MUNILLA")</f>
        <v>CENTRO DE SALUD Nº 6 - MUNILLA</v>
      </c>
      <c r="C1062" s="30" t="str">
        <f ca="1">IFERROR(__xludf.DUMMYFUNCTION("""COMPUTED_VALUE"""),"Entre Ríos")</f>
        <v>Entre Ríos</v>
      </c>
      <c r="D1062" s="30" t="str">
        <f ca="1">IFERROR(__xludf.DUMMYFUNCTION("""COMPUTED_VALUE"""),"30")</f>
        <v>30</v>
      </c>
      <c r="E1062" s="30" t="str">
        <f ca="1">IFERROR(__xludf.DUMMYFUNCTION("""COMPUTED_VALUE"""),"")</f>
        <v/>
      </c>
      <c r="F1062" s="29"/>
      <c r="G1062" s="29"/>
      <c r="H1062" s="30" t="str">
        <f ca="1">IFERROR(__xludf.DUMMYFUNCTION("""COMPUTED_VALUE"""),"activo")</f>
        <v>activo</v>
      </c>
      <c r="I1062" s="29"/>
      <c r="J1062" s="29"/>
      <c r="K1062" s="29"/>
      <c r="L1062" s="30" t="str">
        <f ca="1">IFERROR(__xludf.DUMMYFUNCTION("""COMPUTED_VALUE"""),"No")</f>
        <v>No</v>
      </c>
      <c r="M1062" s="30" t="str">
        <f ca="1">IFERROR(__xludf.DUMMYFUNCTION("""COMPUTED_VALUE"""),"30056070000")</f>
        <v>30056070000</v>
      </c>
      <c r="N1062" s="30" t="str">
        <f ca="1">IFERROR(__xludf.DUMMYFUNCTION("""COMPUTED_VALUE"""),"GUALEGUAYCHU")</f>
        <v>GUALEGUAYCHU</v>
      </c>
      <c r="O1062" s="30" t="str">
        <f ca="1">IFERROR(__xludf.DUMMYFUNCTION("""COMPUTED_VALUE"""),"3056")</f>
        <v>3056</v>
      </c>
      <c r="P1062" s="30" t="str">
        <f ca="1">IFERROR(__xludf.DUMMYFUNCTION("""COMPUTED_VALUE"""),"GUALEGUAYCHÚ")</f>
        <v>GUALEGUAYCHÚ</v>
      </c>
      <c r="Q1062" s="30" t="str">
        <f ca="1">IFERROR(__xludf.DUMMYFUNCTION("""COMPUTED_VALUE"""),"-33.01594312")</f>
        <v>-33.01594312</v>
      </c>
      <c r="R1062" s="30" t="str">
        <f ca="1">IFERROR(__xludf.DUMMYFUNCTION("""COMPUTED_VALUE"""),"-58.51130068")</f>
        <v>-58.51130068</v>
      </c>
      <c r="S1062" s="30" t="str">
        <f ca="1">IFERROR(__xludf.DUMMYFUNCTION("""COMPUTED_VALUE"""),"Municipal")</f>
        <v>Municipal</v>
      </c>
      <c r="T1062" s="29"/>
    </row>
    <row r="1063" spans="1:20" ht="15.75" customHeight="1" x14ac:dyDescent="0.25">
      <c r="A1063" s="30" t="str">
        <f ca="1">IFERROR(__xludf.DUMMYFUNCTION("""COMPUTED_VALUE"""),"50300702142374")</f>
        <v>50300702142374</v>
      </c>
      <c r="B1063" s="30" t="str">
        <f ca="1">IFERROR(__xludf.DUMMYFUNCTION("""COMPUTED_VALUE"""),"CENTRO DE SALUD SEMILLITAS - BARRIO FERIA")</f>
        <v>CENTRO DE SALUD SEMILLITAS - BARRIO FERIA</v>
      </c>
      <c r="C1063" s="30" t="str">
        <f ca="1">IFERROR(__xludf.DUMMYFUNCTION("""COMPUTED_VALUE"""),"Entre Ríos")</f>
        <v>Entre Ríos</v>
      </c>
      <c r="D1063" s="30" t="str">
        <f ca="1">IFERROR(__xludf.DUMMYFUNCTION("""COMPUTED_VALUE"""),"30")</f>
        <v>30</v>
      </c>
      <c r="E1063" s="30" t="str">
        <f ca="1">IFERROR(__xludf.DUMMYFUNCTION("""COMPUTED_VALUE"""),"")</f>
        <v/>
      </c>
      <c r="F1063" s="29"/>
      <c r="G1063" s="29"/>
      <c r="H1063" s="30" t="str">
        <f ca="1">IFERROR(__xludf.DUMMYFUNCTION("""COMPUTED_VALUE"""),"activo")</f>
        <v>activo</v>
      </c>
      <c r="I1063" s="29"/>
      <c r="J1063" s="29"/>
      <c r="K1063" s="29"/>
      <c r="L1063" s="30" t="str">
        <f ca="1">IFERROR(__xludf.DUMMYFUNCTION("""COMPUTED_VALUE"""),"No")</f>
        <v>No</v>
      </c>
      <c r="M1063" s="30" t="str">
        <f ca="1">IFERROR(__xludf.DUMMYFUNCTION("""COMPUTED_VALUE"""),"30070040000")</f>
        <v>30070040000</v>
      </c>
      <c r="N1063" s="30" t="str">
        <f ca="1">IFERROR(__xludf.DUMMYFUNCTION("""COMPUTED_VALUE"""),"LA PAZ")</f>
        <v>LA PAZ</v>
      </c>
      <c r="O1063" s="30" t="str">
        <f ca="1">IFERROR(__xludf.DUMMYFUNCTION("""COMPUTED_VALUE"""),"3070")</f>
        <v>3070</v>
      </c>
      <c r="P1063" s="30" t="str">
        <f ca="1">IFERROR(__xludf.DUMMYFUNCTION("""COMPUTED_VALUE"""),"LA PAZ")</f>
        <v>LA PAZ</v>
      </c>
      <c r="Q1063" s="30" t="str">
        <f ca="1">IFERROR(__xludf.DUMMYFUNCTION("""COMPUTED_VALUE"""),"-30.7517757")</f>
        <v>-30.7517757</v>
      </c>
      <c r="R1063" s="30" t="str">
        <f ca="1">IFERROR(__xludf.DUMMYFUNCTION("""COMPUTED_VALUE"""),"-59.6352911")</f>
        <v>-59.6352911</v>
      </c>
      <c r="S1063" s="30" t="str">
        <f ca="1">IFERROR(__xludf.DUMMYFUNCTION("""COMPUTED_VALUE"""),"Municipal")</f>
        <v>Municipal</v>
      </c>
      <c r="T1063" s="29"/>
    </row>
    <row r="1064" spans="1:20" ht="15.75" customHeight="1" x14ac:dyDescent="0.25">
      <c r="A1064" s="30" t="str">
        <f ca="1">IFERROR(__xludf.DUMMYFUNCTION("""COMPUTED_VALUE"""),"50300702142378")</f>
        <v>50300702142378</v>
      </c>
      <c r="B1064" s="30" t="str">
        <f ca="1">IFERROR(__xludf.DUMMYFUNCTION("""COMPUTED_VALUE"""),"C.A.P.S.  TERESA SCHREINER")</f>
        <v>C.A.P.S.  TERESA SCHREINER</v>
      </c>
      <c r="C1064" s="30" t="str">
        <f ca="1">IFERROR(__xludf.DUMMYFUNCTION("""COMPUTED_VALUE"""),"Entre Ríos")</f>
        <v>Entre Ríos</v>
      </c>
      <c r="D1064" s="30" t="str">
        <f ca="1">IFERROR(__xludf.DUMMYFUNCTION("""COMPUTED_VALUE"""),"30")</f>
        <v>30</v>
      </c>
      <c r="E1064" s="30" t="str">
        <f ca="1">IFERROR(__xludf.DUMMYFUNCTION("""COMPUTED_VALUE"""),"")</f>
        <v/>
      </c>
      <c r="F1064" s="29"/>
      <c r="G1064" s="29"/>
      <c r="H1064" s="30" t="str">
        <f ca="1">IFERROR(__xludf.DUMMYFUNCTION("""COMPUTED_VALUE"""),"activo")</f>
        <v>activo</v>
      </c>
      <c r="I1064" s="29"/>
      <c r="J1064" s="29"/>
      <c r="K1064" s="29"/>
      <c r="L1064" s="30" t="str">
        <f ca="1">IFERROR(__xludf.DUMMYFUNCTION("""COMPUTED_VALUE"""),"No")</f>
        <v>No</v>
      </c>
      <c r="M1064" s="30" t="str">
        <f ca="1">IFERROR(__xludf.DUMMYFUNCTION("""COMPUTED_VALUE"""),"30070050000")</f>
        <v>30070050000</v>
      </c>
      <c r="N1064" s="30" t="str">
        <f ca="1">IFERROR(__xludf.DUMMYFUNCTION("""COMPUTED_VALUE"""),"PIEDRAS BLANCAS")</f>
        <v>PIEDRAS BLANCAS</v>
      </c>
      <c r="O1064" s="30" t="str">
        <f ca="1">IFERROR(__xludf.DUMMYFUNCTION("""COMPUTED_VALUE"""),"3070")</f>
        <v>3070</v>
      </c>
      <c r="P1064" s="30" t="str">
        <f ca="1">IFERROR(__xludf.DUMMYFUNCTION("""COMPUTED_VALUE"""),"LA PAZ")</f>
        <v>LA PAZ</v>
      </c>
      <c r="Q1064" s="30" t="str">
        <f ca="1">IFERROR(__xludf.DUMMYFUNCTION("""COMPUTED_VALUE"""),"-31.18416856")</f>
        <v>-31.18416856</v>
      </c>
      <c r="R1064" s="30" t="str">
        <f ca="1">IFERROR(__xludf.DUMMYFUNCTION("""COMPUTED_VALUE"""),"-59.94771371")</f>
        <v>-59.94771371</v>
      </c>
      <c r="S1064" s="30" t="str">
        <f ca="1">IFERROR(__xludf.DUMMYFUNCTION("""COMPUTED_VALUE"""),"Provincial")</f>
        <v>Provincial</v>
      </c>
      <c r="T1064" s="30" t="str">
        <f ca="1">IFERROR(__xludf.DUMMYFUNCTION("""COMPUTED_VALUE"""),"-")</f>
        <v>-</v>
      </c>
    </row>
    <row r="1065" spans="1:20" ht="15.75" customHeight="1" x14ac:dyDescent="0.25">
      <c r="A1065" s="30" t="str">
        <f ca="1">IFERROR(__xludf.DUMMYFUNCTION("""COMPUTED_VALUE"""),"50300772142268")</f>
        <v>50300772142268</v>
      </c>
      <c r="B1065" s="30" t="str">
        <f ca="1">IFERROR(__xludf.DUMMYFUNCTION("""COMPUTED_VALUE"""),"C.A.P.S.  GOBERNADOR LAURENCENA")</f>
        <v>C.A.P.S.  GOBERNADOR LAURENCENA</v>
      </c>
      <c r="C1065" s="30" t="str">
        <f ca="1">IFERROR(__xludf.DUMMYFUNCTION("""COMPUTED_VALUE"""),"Entre Ríos")</f>
        <v>Entre Ríos</v>
      </c>
      <c r="D1065" s="30" t="str">
        <f ca="1">IFERROR(__xludf.DUMMYFUNCTION("""COMPUTED_VALUE"""),"30")</f>
        <v>30</v>
      </c>
      <c r="E1065" s="30" t="str">
        <f ca="1">IFERROR(__xludf.DUMMYFUNCTION("""COMPUTED_VALUE"""),"")</f>
        <v/>
      </c>
      <c r="F1065" s="29"/>
      <c r="G1065" s="29"/>
      <c r="H1065" s="30" t="str">
        <f ca="1">IFERROR(__xludf.DUMMYFUNCTION("""COMPUTED_VALUE"""),"activo")</f>
        <v>activo</v>
      </c>
      <c r="I1065" s="29"/>
      <c r="J1065" s="29"/>
      <c r="K1065" s="29"/>
      <c r="L1065" s="30" t="str">
        <f ca="1">IFERROR(__xludf.DUMMYFUNCTION("""COMPUTED_VALUE"""),"No")</f>
        <v>No</v>
      </c>
      <c r="M1065" s="30" t="str">
        <f ca="1">IFERROR(__xludf.DUMMYFUNCTION("""COMPUTED_VALUE"""),"30077010000")</f>
        <v>30077010000</v>
      </c>
      <c r="N1065" s="30" t="str">
        <f ca="1">IFERROR(__xludf.DUMMYFUNCTION("""COMPUTED_VALUE"""),"ARANGUREN")</f>
        <v>ARANGUREN</v>
      </c>
      <c r="O1065" s="30" t="str">
        <f ca="1">IFERROR(__xludf.DUMMYFUNCTION("""COMPUTED_VALUE"""),"3077")</f>
        <v>3077</v>
      </c>
      <c r="P1065" s="30" t="str">
        <f ca="1">IFERROR(__xludf.DUMMYFUNCTION("""COMPUTED_VALUE"""),"NOGOYÁ")</f>
        <v>NOGOYÁ</v>
      </c>
      <c r="Q1065" s="30" t="str">
        <f ca="1">IFERROR(__xludf.DUMMYFUNCTION("""COMPUTED_VALUE"""),"-32.24068253")</f>
        <v>-32.24068253</v>
      </c>
      <c r="R1065" s="30" t="str">
        <f ca="1">IFERROR(__xludf.DUMMYFUNCTION("""COMPUTED_VALUE"""),"-60.16302109")</f>
        <v>-60.16302109</v>
      </c>
      <c r="S1065" s="30" t="str">
        <f ca="1">IFERROR(__xludf.DUMMYFUNCTION("""COMPUTED_VALUE"""),"Provincial")</f>
        <v>Provincial</v>
      </c>
      <c r="T1065" s="30" t="str">
        <f ca="1">IFERROR(__xludf.DUMMYFUNCTION("""COMPUTED_VALUE"""),"-")</f>
        <v>-</v>
      </c>
    </row>
    <row r="1066" spans="1:20" ht="15.75" customHeight="1" x14ac:dyDescent="0.25">
      <c r="A1066" s="30" t="str">
        <f ca="1">IFERROR(__xludf.DUMMYFUNCTION("""COMPUTED_VALUE"""),"50300842142156")</f>
        <v>50300842142156</v>
      </c>
      <c r="B1066" s="30" t="str">
        <f ca="1">IFERROR(__xludf.DUMMYFUNCTION("""COMPUTED_VALUE"""),"C.A.P.S.   EL BRETE")</f>
        <v>C.A.P.S.   EL BRETE</v>
      </c>
      <c r="C1066" s="30" t="str">
        <f ca="1">IFERROR(__xludf.DUMMYFUNCTION("""COMPUTED_VALUE"""),"Entre Ríos")</f>
        <v>Entre Ríos</v>
      </c>
      <c r="D1066" s="30" t="str">
        <f ca="1">IFERROR(__xludf.DUMMYFUNCTION("""COMPUTED_VALUE"""),"30")</f>
        <v>30</v>
      </c>
      <c r="E1066" s="30" t="str">
        <f ca="1">IFERROR(__xludf.DUMMYFUNCTION("""COMPUTED_VALUE"""),"")</f>
        <v/>
      </c>
      <c r="F1066" s="29"/>
      <c r="G1066" s="29"/>
      <c r="H1066" s="30" t="str">
        <f ca="1">IFERROR(__xludf.DUMMYFUNCTION("""COMPUTED_VALUE"""),"activo")</f>
        <v>activo</v>
      </c>
      <c r="I1066" s="29"/>
      <c r="J1066" s="29"/>
      <c r="K1066" s="29"/>
      <c r="L1066" s="30" t="str">
        <f ca="1">IFERROR(__xludf.DUMMYFUNCTION("""COMPUTED_VALUE"""),"No")</f>
        <v>No</v>
      </c>
      <c r="M1066" s="30" t="str">
        <f ca="1">IFERROR(__xludf.DUMMYFUNCTION("""COMPUTED_VALUE"""),"30084160000")</f>
        <v>30084160000</v>
      </c>
      <c r="N1066" s="30" t="str">
        <f ca="1">IFERROR(__xludf.DUMMYFUNCTION("""COMPUTED_VALUE"""),"PARANA")</f>
        <v>PARANA</v>
      </c>
      <c r="O1066" s="30" t="str">
        <f ca="1">IFERROR(__xludf.DUMMYFUNCTION("""COMPUTED_VALUE"""),"3084")</f>
        <v>3084</v>
      </c>
      <c r="P1066" s="30" t="str">
        <f ca="1">IFERROR(__xludf.DUMMYFUNCTION("""COMPUTED_VALUE"""),"PARANÁ")</f>
        <v>PARANÁ</v>
      </c>
      <c r="Q1066" s="30" t="str">
        <f ca="1">IFERROR(__xludf.DUMMYFUNCTION("""COMPUTED_VALUE"""),"-31.73192684")</f>
        <v>-31.73192684</v>
      </c>
      <c r="R1066" s="30" t="str">
        <f ca="1">IFERROR(__xludf.DUMMYFUNCTION("""COMPUTED_VALUE"""),"-60.50870955")</f>
        <v>-60.50870955</v>
      </c>
      <c r="S1066" s="30" t="str">
        <f ca="1">IFERROR(__xludf.DUMMYFUNCTION("""COMPUTED_VALUE"""),"Provincial")</f>
        <v>Provincial</v>
      </c>
      <c r="T1066" s="30" t="str">
        <f ca="1">IFERROR(__xludf.DUMMYFUNCTION("""COMPUTED_VALUE"""),"-")</f>
        <v>-</v>
      </c>
    </row>
    <row r="1067" spans="1:20" ht="15.75" customHeight="1" x14ac:dyDescent="0.25">
      <c r="A1067" s="30" t="str">
        <f ca="1">IFERROR(__xludf.DUMMYFUNCTION("""COMPUTED_VALUE"""),"50300842142165")</f>
        <v>50300842142165</v>
      </c>
      <c r="B1067" s="30" t="str">
        <f ca="1">IFERROR(__xludf.DUMMYFUNCTION("""COMPUTED_VALUE"""),"C.A.P.S.   ANTARTIDA ARGENTINA")</f>
        <v>C.A.P.S.   ANTARTIDA ARGENTINA</v>
      </c>
      <c r="C1067" s="30" t="str">
        <f ca="1">IFERROR(__xludf.DUMMYFUNCTION("""COMPUTED_VALUE"""),"Entre Ríos")</f>
        <v>Entre Ríos</v>
      </c>
      <c r="D1067" s="30" t="str">
        <f ca="1">IFERROR(__xludf.DUMMYFUNCTION("""COMPUTED_VALUE"""),"30")</f>
        <v>30</v>
      </c>
      <c r="E1067" s="30" t="str">
        <f ca="1">IFERROR(__xludf.DUMMYFUNCTION("""COMPUTED_VALUE"""),"")</f>
        <v/>
      </c>
      <c r="F1067" s="29"/>
      <c r="G1067" s="29"/>
      <c r="H1067" s="30" t="str">
        <f ca="1">IFERROR(__xludf.DUMMYFUNCTION("""COMPUTED_VALUE"""),"activo")</f>
        <v>activo</v>
      </c>
      <c r="I1067" s="29"/>
      <c r="J1067" s="29"/>
      <c r="K1067" s="29"/>
      <c r="L1067" s="30" t="str">
        <f ca="1">IFERROR(__xludf.DUMMYFUNCTION("""COMPUTED_VALUE"""),"No")</f>
        <v>No</v>
      </c>
      <c r="M1067" s="30" t="str">
        <f ca="1">IFERROR(__xludf.DUMMYFUNCTION("""COMPUTED_VALUE"""),"30084160000")</f>
        <v>30084160000</v>
      </c>
      <c r="N1067" s="30" t="str">
        <f ca="1">IFERROR(__xludf.DUMMYFUNCTION("""COMPUTED_VALUE"""),"PARANA")</f>
        <v>PARANA</v>
      </c>
      <c r="O1067" s="30" t="str">
        <f ca="1">IFERROR(__xludf.DUMMYFUNCTION("""COMPUTED_VALUE"""),"3084")</f>
        <v>3084</v>
      </c>
      <c r="P1067" s="30" t="str">
        <f ca="1">IFERROR(__xludf.DUMMYFUNCTION("""COMPUTED_VALUE"""),"PARANÁ")</f>
        <v>PARANÁ</v>
      </c>
      <c r="Q1067" s="30" t="str">
        <f ca="1">IFERROR(__xludf.DUMMYFUNCTION("""COMPUTED_VALUE"""),"-31.73142487")</f>
        <v>-31.73142487</v>
      </c>
      <c r="R1067" s="30" t="str">
        <f ca="1">IFERROR(__xludf.DUMMYFUNCTION("""COMPUTED_VALUE"""),"-60.55315912")</f>
        <v>-60.55315912</v>
      </c>
      <c r="S1067" s="30" t="str">
        <f ca="1">IFERROR(__xludf.DUMMYFUNCTION("""COMPUTED_VALUE"""),"Provincial")</f>
        <v>Provincial</v>
      </c>
      <c r="T1067" s="30" t="str">
        <f ca="1">IFERROR(__xludf.DUMMYFUNCTION("""COMPUTED_VALUE"""),"-")</f>
        <v>-</v>
      </c>
    </row>
    <row r="1068" spans="1:20" ht="15.75" customHeight="1" x14ac:dyDescent="0.25">
      <c r="A1068" s="30" t="str">
        <f ca="1">IFERROR(__xludf.DUMMYFUNCTION("""COMPUTED_VALUE"""),"50300842142205")</f>
        <v>50300842142205</v>
      </c>
      <c r="B1068" s="30" t="str">
        <f ca="1">IFERROR(__xludf.DUMMYFUNCTION("""COMPUTED_VALUE"""),"C.A.P.S. COLONIA AVELLANEDA")</f>
        <v>C.A.P.S. COLONIA AVELLANEDA</v>
      </c>
      <c r="C1068" s="30" t="str">
        <f ca="1">IFERROR(__xludf.DUMMYFUNCTION("""COMPUTED_VALUE"""),"Entre Ríos")</f>
        <v>Entre Ríos</v>
      </c>
      <c r="D1068" s="30" t="str">
        <f ca="1">IFERROR(__xludf.DUMMYFUNCTION("""COMPUTED_VALUE"""),"30")</f>
        <v>30</v>
      </c>
      <c r="E1068" s="30" t="str">
        <f ca="1">IFERROR(__xludf.DUMMYFUNCTION("""COMPUTED_VALUE"""),"")</f>
        <v/>
      </c>
      <c r="F1068" s="29"/>
      <c r="G1068" s="29"/>
      <c r="H1068" s="30" t="str">
        <f ca="1">IFERROR(__xludf.DUMMYFUNCTION("""COMPUTED_VALUE"""),"activo")</f>
        <v>activo</v>
      </c>
      <c r="I1068" s="29"/>
      <c r="J1068" s="29"/>
      <c r="K1068" s="29"/>
      <c r="L1068" s="30" t="str">
        <f ca="1">IFERROR(__xludf.DUMMYFUNCTION("""COMPUTED_VALUE"""),"No")</f>
        <v>No</v>
      </c>
      <c r="M1068" s="30" t="str">
        <f ca="1">IFERROR(__xludf.DUMMYFUNCTION("""COMPUTED_VALUE"""),"30084060000")</f>
        <v>30084060000</v>
      </c>
      <c r="N1068" s="30" t="str">
        <f ca="1">IFERROR(__xludf.DUMMYFUNCTION("""COMPUTED_VALUE"""),"COLONIA AVELLANEDA")</f>
        <v>COLONIA AVELLANEDA</v>
      </c>
      <c r="O1068" s="30" t="str">
        <f ca="1">IFERROR(__xludf.DUMMYFUNCTION("""COMPUTED_VALUE"""),"3084")</f>
        <v>3084</v>
      </c>
      <c r="P1068" s="30" t="str">
        <f ca="1">IFERROR(__xludf.DUMMYFUNCTION("""COMPUTED_VALUE"""),"PARANÁ")</f>
        <v>PARANÁ</v>
      </c>
      <c r="Q1068" s="30" t="str">
        <f ca="1">IFERROR(__xludf.DUMMYFUNCTION("""COMPUTED_VALUE"""),"-31.76395933")</f>
        <v>-31.76395933</v>
      </c>
      <c r="R1068" s="30" t="str">
        <f ca="1">IFERROR(__xludf.DUMMYFUNCTION("""COMPUTED_VALUE"""),"-60.41267037")</f>
        <v>-60.41267037</v>
      </c>
      <c r="S1068" s="30" t="str">
        <f ca="1">IFERROR(__xludf.DUMMYFUNCTION("""COMPUTED_VALUE"""),"Provincial")</f>
        <v>Provincial</v>
      </c>
      <c r="T1068" s="30" t="str">
        <f ca="1">IFERROR(__xludf.DUMMYFUNCTION("""COMPUTED_VALUE"""),"-")</f>
        <v>-</v>
      </c>
    </row>
    <row r="1069" spans="1:20" ht="15.75" customHeight="1" x14ac:dyDescent="0.25">
      <c r="A1069" s="30" t="str">
        <f ca="1">IFERROR(__xludf.DUMMYFUNCTION("""COMPUTED_VALUE"""),"50300842142228")</f>
        <v>50300842142228</v>
      </c>
      <c r="B1069" s="30" t="str">
        <f ca="1">IFERROR(__xludf.DUMMYFUNCTION("""COMPUTED_VALUE"""),"C.A.P.S.   DR. CARLOS REYNOSO")</f>
        <v>C.A.P.S.   DR. CARLOS REYNOSO</v>
      </c>
      <c r="C1069" s="30" t="str">
        <f ca="1">IFERROR(__xludf.DUMMYFUNCTION("""COMPUTED_VALUE"""),"Entre Ríos")</f>
        <v>Entre Ríos</v>
      </c>
      <c r="D1069" s="30" t="str">
        <f ca="1">IFERROR(__xludf.DUMMYFUNCTION("""COMPUTED_VALUE"""),"30")</f>
        <v>30</v>
      </c>
      <c r="E1069" s="30" t="str">
        <f ca="1">IFERROR(__xludf.DUMMYFUNCTION("""COMPUTED_VALUE"""),"")</f>
        <v/>
      </c>
      <c r="F1069" s="29"/>
      <c r="G1069" s="29"/>
      <c r="H1069" s="30" t="str">
        <f ca="1">IFERROR(__xludf.DUMMYFUNCTION("""COMPUTED_VALUE"""),"activo")</f>
        <v>activo</v>
      </c>
      <c r="I1069" s="29"/>
      <c r="J1069" s="29"/>
      <c r="K1069" s="29"/>
      <c r="L1069" s="30" t="str">
        <f ca="1">IFERROR(__xludf.DUMMYFUNCTION("""COMPUTED_VALUE"""),"No")</f>
        <v>No</v>
      </c>
      <c r="M1069" s="30" t="str">
        <f ca="1">IFERROR(__xludf.DUMMYFUNCTION("""COMPUTED_VALUE"""),"30084160000")</f>
        <v>30084160000</v>
      </c>
      <c r="N1069" s="30" t="str">
        <f ca="1">IFERROR(__xludf.DUMMYFUNCTION("""COMPUTED_VALUE"""),"PARANA")</f>
        <v>PARANA</v>
      </c>
      <c r="O1069" s="30" t="str">
        <f ca="1">IFERROR(__xludf.DUMMYFUNCTION("""COMPUTED_VALUE"""),"3084")</f>
        <v>3084</v>
      </c>
      <c r="P1069" s="30" t="str">
        <f ca="1">IFERROR(__xludf.DUMMYFUNCTION("""COMPUTED_VALUE"""),"PARANÁ")</f>
        <v>PARANÁ</v>
      </c>
      <c r="Q1069" s="30" t="str">
        <f ca="1">IFERROR(__xludf.DUMMYFUNCTION("""COMPUTED_VALUE"""),"-31.75198148")</f>
        <v>-31.75198148</v>
      </c>
      <c r="R1069" s="30" t="str">
        <f ca="1">IFERROR(__xludf.DUMMYFUNCTION("""COMPUTED_VALUE"""),"-60.48675299")</f>
        <v>-60.48675299</v>
      </c>
      <c r="S1069" s="30" t="str">
        <f ca="1">IFERROR(__xludf.DUMMYFUNCTION("""COMPUTED_VALUE"""),"Provincial")</f>
        <v>Provincial</v>
      </c>
      <c r="T1069" s="30" t="str">
        <f ca="1">IFERROR(__xludf.DUMMYFUNCTION("""COMPUTED_VALUE"""),"-")</f>
        <v>-</v>
      </c>
    </row>
    <row r="1070" spans="1:20" ht="15.75" customHeight="1" x14ac:dyDescent="0.25">
      <c r="A1070" s="30" t="str">
        <f ca="1">IFERROR(__xludf.DUMMYFUNCTION("""COMPUTED_VALUE"""),"50300842142236")</f>
        <v>50300842142236</v>
      </c>
      <c r="B1070" s="30" t="str">
        <f ca="1">IFERROR(__xludf.DUMMYFUNCTION("""COMPUTED_VALUE"""),"C.A.P.S.   DR. GERMAN RICO")</f>
        <v>C.A.P.S.   DR. GERMAN RICO</v>
      </c>
      <c r="C1070" s="30" t="str">
        <f ca="1">IFERROR(__xludf.DUMMYFUNCTION("""COMPUTED_VALUE"""),"Entre Ríos")</f>
        <v>Entre Ríos</v>
      </c>
      <c r="D1070" s="30" t="str">
        <f ca="1">IFERROR(__xludf.DUMMYFUNCTION("""COMPUTED_VALUE"""),"30")</f>
        <v>30</v>
      </c>
      <c r="E1070" s="30" t="str">
        <f ca="1">IFERROR(__xludf.DUMMYFUNCTION("""COMPUTED_VALUE"""),"")</f>
        <v/>
      </c>
      <c r="F1070" s="29"/>
      <c r="G1070" s="29"/>
      <c r="H1070" s="30" t="str">
        <f ca="1">IFERROR(__xludf.DUMMYFUNCTION("""COMPUTED_VALUE"""),"inactivo")</f>
        <v>inactivo</v>
      </c>
      <c r="I1070" s="29"/>
      <c r="J1070" s="29"/>
      <c r="K1070" s="29"/>
      <c r="L1070" s="30" t="str">
        <f ca="1">IFERROR(__xludf.DUMMYFUNCTION("""COMPUTED_VALUE"""),"No")</f>
        <v>No</v>
      </c>
      <c r="M1070" s="30" t="str">
        <f ca="1">IFERROR(__xludf.DUMMYFUNCTION("""COMPUTED_VALUE"""),"30084140000")</f>
        <v>30084140000</v>
      </c>
      <c r="N1070" s="30" t="str">
        <f ca="1">IFERROR(__xludf.DUMMYFUNCTION("""COMPUTED_VALUE"""),"MARIA GRANDE")</f>
        <v>MARIA GRANDE</v>
      </c>
      <c r="O1070" s="30" t="str">
        <f ca="1">IFERROR(__xludf.DUMMYFUNCTION("""COMPUTED_VALUE"""),"3084")</f>
        <v>3084</v>
      </c>
      <c r="P1070" s="30" t="str">
        <f ca="1">IFERROR(__xludf.DUMMYFUNCTION("""COMPUTED_VALUE"""),"PARANÁ")</f>
        <v>PARANÁ</v>
      </c>
      <c r="Q1070" s="30" t="str">
        <f ca="1">IFERROR(__xludf.DUMMYFUNCTION("""COMPUTED_VALUE"""),"-31.65619426")</f>
        <v>-31.65619426</v>
      </c>
      <c r="R1070" s="30" t="str">
        <f ca="1">IFERROR(__xludf.DUMMYFUNCTION("""COMPUTED_VALUE"""),"-59.89400625")</f>
        <v>-59.89400625</v>
      </c>
      <c r="S1070" s="30" t="str">
        <f ca="1">IFERROR(__xludf.DUMMYFUNCTION("""COMPUTED_VALUE"""),"Provincial")</f>
        <v>Provincial</v>
      </c>
      <c r="T1070" s="30" t="str">
        <f ca="1">IFERROR(__xludf.DUMMYFUNCTION("""COMPUTED_VALUE"""),"-")</f>
        <v>-</v>
      </c>
    </row>
    <row r="1071" spans="1:20" ht="15.75" customHeight="1" x14ac:dyDescent="0.25">
      <c r="A1071" s="30" t="str">
        <f ca="1">IFERROR(__xludf.DUMMYFUNCTION("""COMPUTED_VALUE"""),"50300842142242")</f>
        <v>50300842142242</v>
      </c>
      <c r="B1071" s="30" t="str">
        <f ca="1">IFERROR(__xludf.DUMMYFUNCTION("""COMPUTED_VALUE"""),"C.A.P.S.   DR. JOSE ALCAIN")</f>
        <v>C.A.P.S.   DR. JOSE ALCAIN</v>
      </c>
      <c r="C1071" s="30" t="str">
        <f ca="1">IFERROR(__xludf.DUMMYFUNCTION("""COMPUTED_VALUE"""),"Entre Ríos")</f>
        <v>Entre Ríos</v>
      </c>
      <c r="D1071" s="30" t="str">
        <f ca="1">IFERROR(__xludf.DUMMYFUNCTION("""COMPUTED_VALUE"""),"30")</f>
        <v>30</v>
      </c>
      <c r="E1071" s="30" t="str">
        <f ca="1">IFERROR(__xludf.DUMMYFUNCTION("""COMPUTED_VALUE"""),"")</f>
        <v/>
      </c>
      <c r="F1071" s="29"/>
      <c r="G1071" s="29"/>
      <c r="H1071" s="30" t="str">
        <f ca="1">IFERROR(__xludf.DUMMYFUNCTION("""COMPUTED_VALUE"""),"activo")</f>
        <v>activo</v>
      </c>
      <c r="I1071" s="29"/>
      <c r="J1071" s="29"/>
      <c r="K1071" s="29"/>
      <c r="L1071" s="30" t="str">
        <f ca="1">IFERROR(__xludf.DUMMYFUNCTION("""COMPUTED_VALUE"""),"No")</f>
        <v>No</v>
      </c>
      <c r="M1071" s="30" t="str">
        <f ca="1">IFERROR(__xludf.DUMMYFUNCTION("""COMPUTED_VALUE"""),"30084160000")</f>
        <v>30084160000</v>
      </c>
      <c r="N1071" s="30" t="str">
        <f ca="1">IFERROR(__xludf.DUMMYFUNCTION("""COMPUTED_VALUE"""),"PARANA")</f>
        <v>PARANA</v>
      </c>
      <c r="O1071" s="30" t="str">
        <f ca="1">IFERROR(__xludf.DUMMYFUNCTION("""COMPUTED_VALUE"""),"3084")</f>
        <v>3084</v>
      </c>
      <c r="P1071" s="30" t="str">
        <f ca="1">IFERROR(__xludf.DUMMYFUNCTION("""COMPUTED_VALUE"""),"PARANÁ")</f>
        <v>PARANÁ</v>
      </c>
      <c r="Q1071" s="30" t="str">
        <f ca="1">IFERROR(__xludf.DUMMYFUNCTION("""COMPUTED_VALUE"""),"-31.72918919")</f>
        <v>-31.72918919</v>
      </c>
      <c r="R1071" s="30" t="str">
        <f ca="1">IFERROR(__xludf.DUMMYFUNCTION("""COMPUTED_VALUE"""),"-60.50220251")</f>
        <v>-60.50220251</v>
      </c>
      <c r="S1071" s="30" t="str">
        <f ca="1">IFERROR(__xludf.DUMMYFUNCTION("""COMPUTED_VALUE"""),"Provincial")</f>
        <v>Provincial</v>
      </c>
      <c r="T1071" s="30" t="str">
        <f ca="1">IFERROR(__xludf.DUMMYFUNCTION("""COMPUTED_VALUE"""),"-")</f>
        <v>-</v>
      </c>
    </row>
    <row r="1072" spans="1:20" ht="15.75" customHeight="1" x14ac:dyDescent="0.25">
      <c r="A1072" s="30" t="str">
        <f ca="1">IFERROR(__xludf.DUMMYFUNCTION("""COMPUTED_VALUE"""),"50300842142254")</f>
        <v>50300842142254</v>
      </c>
      <c r="B1072" s="30" t="str">
        <f ca="1">IFERROR(__xludf.DUMMYFUNCTION("""COMPUTED_VALUE"""),"C.A.P.S. DR. SAMUEL MARGASIN")</f>
        <v>C.A.P.S. DR. SAMUEL MARGASIN</v>
      </c>
      <c r="C1072" s="30" t="str">
        <f ca="1">IFERROR(__xludf.DUMMYFUNCTION("""COMPUTED_VALUE"""),"Entre Ríos")</f>
        <v>Entre Ríos</v>
      </c>
      <c r="D1072" s="30" t="str">
        <f ca="1">IFERROR(__xludf.DUMMYFUNCTION("""COMPUTED_VALUE"""),"30")</f>
        <v>30</v>
      </c>
      <c r="E1072" s="30" t="str">
        <f ca="1">IFERROR(__xludf.DUMMYFUNCTION("""COMPUTED_VALUE"""),"")</f>
        <v/>
      </c>
      <c r="F1072" s="29"/>
      <c r="G1072" s="29"/>
      <c r="H1072" s="30" t="str">
        <f ca="1">IFERROR(__xludf.DUMMYFUNCTION("""COMPUTED_VALUE"""),"activo")</f>
        <v>activo</v>
      </c>
      <c r="I1072" s="29"/>
      <c r="J1072" s="29"/>
      <c r="K1072" s="29"/>
      <c r="L1072" s="30" t="str">
        <f ca="1">IFERROR(__xludf.DUMMYFUNCTION("""COMPUTED_VALUE"""),"No")</f>
        <v>No</v>
      </c>
      <c r="M1072" s="30" t="str">
        <f ca="1">IFERROR(__xludf.DUMMYFUNCTION("""COMPUTED_VALUE"""),"30084200000")</f>
        <v>30084200000</v>
      </c>
      <c r="N1072" s="30" t="str">
        <f ca="1">IFERROR(__xludf.DUMMYFUNCTION("""COMPUTED_VALUE"""),"SAN BENITO")</f>
        <v>SAN BENITO</v>
      </c>
      <c r="O1072" s="30" t="str">
        <f ca="1">IFERROR(__xludf.DUMMYFUNCTION("""COMPUTED_VALUE"""),"3084")</f>
        <v>3084</v>
      </c>
      <c r="P1072" s="30" t="str">
        <f ca="1">IFERROR(__xludf.DUMMYFUNCTION("""COMPUTED_VALUE"""),"PARANÁ")</f>
        <v>PARANÁ</v>
      </c>
      <c r="Q1072" s="30" t="str">
        <f ca="1">IFERROR(__xludf.DUMMYFUNCTION("""COMPUTED_VALUE"""),"-31.7863377")</f>
        <v>-31.7863377</v>
      </c>
      <c r="R1072" s="30" t="str">
        <f ca="1">IFERROR(__xludf.DUMMYFUNCTION("""COMPUTED_VALUE"""),"-60.4441064")</f>
        <v>-60.4441064</v>
      </c>
      <c r="S1072" s="30" t="str">
        <f ca="1">IFERROR(__xludf.DUMMYFUNCTION("""COMPUTED_VALUE"""),"Provincial")</f>
        <v>Provincial</v>
      </c>
      <c r="T1072" s="30" t="str">
        <f ca="1">IFERROR(__xludf.DUMMYFUNCTION("""COMPUTED_VALUE"""),"-")</f>
        <v>-</v>
      </c>
    </row>
    <row r="1073" spans="1:20" ht="15.75" customHeight="1" x14ac:dyDescent="0.25">
      <c r="A1073" s="30" t="str">
        <f ca="1">IFERROR(__xludf.DUMMYFUNCTION("""COMPUTED_VALUE"""),"50300842142257")</f>
        <v>50300842142257</v>
      </c>
      <c r="B1073" s="30" t="str">
        <f ca="1">IFERROR(__xludf.DUMMYFUNCTION("""COMPUTED_VALUE"""),"C.A.P.S.   EL CHARRUA")</f>
        <v>C.A.P.S.   EL CHARRUA</v>
      </c>
      <c r="C1073" s="30" t="str">
        <f ca="1">IFERROR(__xludf.DUMMYFUNCTION("""COMPUTED_VALUE"""),"Entre Ríos")</f>
        <v>Entre Ríos</v>
      </c>
      <c r="D1073" s="30" t="str">
        <f ca="1">IFERROR(__xludf.DUMMYFUNCTION("""COMPUTED_VALUE"""),"30")</f>
        <v>30</v>
      </c>
      <c r="E1073" s="30" t="str">
        <f ca="1">IFERROR(__xludf.DUMMYFUNCTION("""COMPUTED_VALUE"""),"")</f>
        <v/>
      </c>
      <c r="F1073" s="29"/>
      <c r="G1073" s="29"/>
      <c r="H1073" s="30" t="str">
        <f ca="1">IFERROR(__xludf.DUMMYFUNCTION("""COMPUTED_VALUE"""),"activo")</f>
        <v>activo</v>
      </c>
      <c r="I1073" s="29"/>
      <c r="J1073" s="29"/>
      <c r="K1073" s="29"/>
      <c r="L1073" s="30" t="str">
        <f ca="1">IFERROR(__xludf.DUMMYFUNCTION("""COMPUTED_VALUE"""),"No")</f>
        <v>No</v>
      </c>
      <c r="M1073" s="30" t="str">
        <f ca="1">IFERROR(__xludf.DUMMYFUNCTION("""COMPUTED_VALUE"""),"30084160000")</f>
        <v>30084160000</v>
      </c>
      <c r="N1073" s="30" t="str">
        <f ca="1">IFERROR(__xludf.DUMMYFUNCTION("""COMPUTED_VALUE"""),"PARANA")</f>
        <v>PARANA</v>
      </c>
      <c r="O1073" s="30" t="str">
        <f ca="1">IFERROR(__xludf.DUMMYFUNCTION("""COMPUTED_VALUE"""),"3084")</f>
        <v>3084</v>
      </c>
      <c r="P1073" s="30" t="str">
        <f ca="1">IFERROR(__xludf.DUMMYFUNCTION("""COMPUTED_VALUE"""),"PARANÁ")</f>
        <v>PARANÁ</v>
      </c>
      <c r="Q1073" s="30" t="str">
        <f ca="1">IFERROR(__xludf.DUMMYFUNCTION("""COMPUTED_VALUE"""),"-31.75657485")</f>
        <v>-31.75657485</v>
      </c>
      <c r="R1073" s="30" t="str">
        <f ca="1">IFERROR(__xludf.DUMMYFUNCTION("""COMPUTED_VALUE"""),"-60.46892703")</f>
        <v>-60.46892703</v>
      </c>
      <c r="S1073" s="30" t="str">
        <f ca="1">IFERROR(__xludf.DUMMYFUNCTION("""COMPUTED_VALUE"""),"Provincial")</f>
        <v>Provincial</v>
      </c>
      <c r="T1073" s="30" t="str">
        <f ca="1">IFERROR(__xludf.DUMMYFUNCTION("""COMPUTED_VALUE"""),"-")</f>
        <v>-</v>
      </c>
    </row>
    <row r="1074" spans="1:20" ht="15.75" customHeight="1" x14ac:dyDescent="0.25">
      <c r="A1074" s="30" t="str">
        <f ca="1">IFERROR(__xludf.DUMMYFUNCTION("""COMPUTED_VALUE"""),"50300842142263")</f>
        <v>50300842142263</v>
      </c>
      <c r="B1074" s="30" t="str">
        <f ca="1">IFERROR(__xludf.DUMMYFUNCTION("""COMPUTED_VALUE"""),"C.A.P.S. ESTANISLAO ZEBALLOS")</f>
        <v>C.A.P.S. ESTANISLAO ZEBALLOS</v>
      </c>
      <c r="C1074" s="30" t="str">
        <f ca="1">IFERROR(__xludf.DUMMYFUNCTION("""COMPUTED_VALUE"""),"Entre Ríos")</f>
        <v>Entre Ríos</v>
      </c>
      <c r="D1074" s="30" t="str">
        <f ca="1">IFERROR(__xludf.DUMMYFUNCTION("""COMPUTED_VALUE"""),"30")</f>
        <v>30</v>
      </c>
      <c r="E1074" s="30" t="str">
        <f ca="1">IFERROR(__xludf.DUMMYFUNCTION("""COMPUTED_VALUE"""),"")</f>
        <v/>
      </c>
      <c r="F1074" s="29"/>
      <c r="G1074" s="29"/>
      <c r="H1074" s="30" t="str">
        <f ca="1">IFERROR(__xludf.DUMMYFUNCTION("""COMPUTED_VALUE"""),"activo")</f>
        <v>activo</v>
      </c>
      <c r="I1074" s="29"/>
      <c r="J1074" s="29"/>
      <c r="K1074" s="29"/>
      <c r="L1074" s="30" t="str">
        <f ca="1">IFERROR(__xludf.DUMMYFUNCTION("""COMPUTED_VALUE"""),"No")</f>
        <v>No</v>
      </c>
      <c r="M1074" s="30" t="str">
        <f ca="1">IFERROR(__xludf.DUMMYFUNCTION("""COMPUTED_VALUE"""),"30084160000")</f>
        <v>30084160000</v>
      </c>
      <c r="N1074" s="30" t="str">
        <f ca="1">IFERROR(__xludf.DUMMYFUNCTION("""COMPUTED_VALUE"""),"PARANA")</f>
        <v>PARANA</v>
      </c>
      <c r="O1074" s="30" t="str">
        <f ca="1">IFERROR(__xludf.DUMMYFUNCTION("""COMPUTED_VALUE"""),"3084")</f>
        <v>3084</v>
      </c>
      <c r="P1074" s="30" t="str">
        <f ca="1">IFERROR(__xludf.DUMMYFUNCTION("""COMPUTED_VALUE"""),"PARANÁ")</f>
        <v>PARANÁ</v>
      </c>
      <c r="Q1074" s="30" t="str">
        <f ca="1">IFERROR(__xludf.DUMMYFUNCTION("""COMPUTED_VALUE"""),"-31.7407594")</f>
        <v>-31.7407594</v>
      </c>
      <c r="R1074" s="30" t="str">
        <f ca="1">IFERROR(__xludf.DUMMYFUNCTION("""COMPUTED_VALUE"""),"-60.50736845")</f>
        <v>-60.50736845</v>
      </c>
      <c r="S1074" s="30" t="str">
        <f ca="1">IFERROR(__xludf.DUMMYFUNCTION("""COMPUTED_VALUE"""),"Provincial")</f>
        <v>Provincial</v>
      </c>
      <c r="T1074" s="30" t="str">
        <f ca="1">IFERROR(__xludf.DUMMYFUNCTION("""COMPUTED_VALUE"""),"-")</f>
        <v>-</v>
      </c>
    </row>
    <row r="1075" spans="1:20" ht="15.75" customHeight="1" x14ac:dyDescent="0.25">
      <c r="A1075" s="30" t="str">
        <f ca="1">IFERROR(__xludf.DUMMYFUNCTION("""COMPUTED_VALUE"""),"10300842142035")</f>
        <v>10300842142035</v>
      </c>
      <c r="B1075" s="30" t="str">
        <f ca="1">IFERROR(__xludf.DUMMYFUNCTION("""COMPUTED_VALUE"""),"CENTRO REGIONAL DE REFERENCIA HOSPITAL DR. GERARDO DOMAGK")</f>
        <v>CENTRO REGIONAL DE REFERENCIA HOSPITAL DR. GERARDO DOMAGK</v>
      </c>
      <c r="C1075" s="30" t="str">
        <f ca="1">IFERROR(__xludf.DUMMYFUNCTION("""COMPUTED_VALUE"""),"Entre Ríos")</f>
        <v>Entre Ríos</v>
      </c>
      <c r="D1075" s="30" t="str">
        <f ca="1">IFERROR(__xludf.DUMMYFUNCTION("""COMPUTED_VALUE"""),"30")</f>
        <v>30</v>
      </c>
      <c r="E1075" s="30" t="str">
        <f ca="1">IFERROR(__xludf.DUMMYFUNCTION("""COMPUTED_VALUE"""),"")</f>
        <v/>
      </c>
      <c r="F1075" s="29"/>
      <c r="G1075" s="29"/>
      <c r="H1075" s="30" t="str">
        <f ca="1">IFERROR(__xludf.DUMMYFUNCTION("""COMPUTED_VALUE"""),"activo")</f>
        <v>activo</v>
      </c>
      <c r="I1075" s="29"/>
      <c r="J1075" s="29"/>
      <c r="K1075" s="29"/>
      <c r="L1075" s="30" t="str">
        <f ca="1">IFERROR(__xludf.DUMMYFUNCTION("""COMPUTED_VALUE"""),"No")</f>
        <v>No</v>
      </c>
      <c r="M1075" s="30" t="str">
        <f ca="1">IFERROR(__xludf.DUMMYFUNCTION("""COMPUTED_VALUE"""),"30084160000")</f>
        <v>30084160000</v>
      </c>
      <c r="N1075" s="30" t="str">
        <f ca="1">IFERROR(__xludf.DUMMYFUNCTION("""COMPUTED_VALUE"""),"PARANA")</f>
        <v>PARANA</v>
      </c>
      <c r="O1075" s="30" t="str">
        <f ca="1">IFERROR(__xludf.DUMMYFUNCTION("""COMPUTED_VALUE"""),"3084")</f>
        <v>3084</v>
      </c>
      <c r="P1075" s="30" t="str">
        <f ca="1">IFERROR(__xludf.DUMMYFUNCTION("""COMPUTED_VALUE"""),"PARANÁ")</f>
        <v>PARANÁ</v>
      </c>
      <c r="Q1075" s="30" t="str">
        <f ca="1">IFERROR(__xludf.DUMMYFUNCTION("""COMPUTED_VALUE"""),"-31.70710324")</f>
        <v>-31.70710324</v>
      </c>
      <c r="R1075" s="30" t="str">
        <f ca="1">IFERROR(__xludf.DUMMYFUNCTION("""COMPUTED_VALUE"""),"-60.5666399")</f>
        <v>-60.5666399</v>
      </c>
      <c r="S1075" s="30" t="str">
        <f ca="1">IFERROR(__xludf.DUMMYFUNCTION("""COMPUTED_VALUE"""),"Provincial")</f>
        <v>Provincial</v>
      </c>
      <c r="T1075" s="30" t="str">
        <f ca="1">IFERROR(__xludf.DUMMYFUNCTION("""COMPUTED_VALUE"""),"-")</f>
        <v>-</v>
      </c>
    </row>
    <row r="1076" spans="1:20" ht="15.75" customHeight="1" x14ac:dyDescent="0.25">
      <c r="A1076" s="30" t="str">
        <f ca="1">IFERROR(__xludf.DUMMYFUNCTION("""COMPUTED_VALUE"""),"50300842142282")</f>
        <v>50300842142282</v>
      </c>
      <c r="B1076" s="30" t="str">
        <f ca="1">IFERROR(__xludf.DUMMYFUNCTION("""COMPUTED_VALUE"""),"C.A.P.S. URBANO  JORGE NEWBERY")</f>
        <v>C.A.P.S. URBANO  JORGE NEWBERY</v>
      </c>
      <c r="C1076" s="30" t="str">
        <f ca="1">IFERROR(__xludf.DUMMYFUNCTION("""COMPUTED_VALUE"""),"Entre Ríos")</f>
        <v>Entre Ríos</v>
      </c>
      <c r="D1076" s="30" t="str">
        <f ca="1">IFERROR(__xludf.DUMMYFUNCTION("""COMPUTED_VALUE"""),"30")</f>
        <v>30</v>
      </c>
      <c r="E1076" s="30" t="str">
        <f ca="1">IFERROR(__xludf.DUMMYFUNCTION("""COMPUTED_VALUE"""),"")</f>
        <v/>
      </c>
      <c r="F1076" s="29"/>
      <c r="G1076" s="29"/>
      <c r="H1076" s="30" t="str">
        <f ca="1">IFERROR(__xludf.DUMMYFUNCTION("""COMPUTED_VALUE"""),"activo")</f>
        <v>activo</v>
      </c>
      <c r="I1076" s="29"/>
      <c r="J1076" s="29"/>
      <c r="K1076" s="29"/>
      <c r="L1076" s="30" t="str">
        <f ca="1">IFERROR(__xludf.DUMMYFUNCTION("""COMPUTED_VALUE"""),"No")</f>
        <v>No</v>
      </c>
      <c r="M1076" s="30" t="str">
        <f ca="1">IFERROR(__xludf.DUMMYFUNCTION("""COMPUTED_VALUE"""),"30084160000")</f>
        <v>30084160000</v>
      </c>
      <c r="N1076" s="30" t="str">
        <f ca="1">IFERROR(__xludf.DUMMYFUNCTION("""COMPUTED_VALUE"""),"PARANA")</f>
        <v>PARANA</v>
      </c>
      <c r="O1076" s="30" t="str">
        <f ca="1">IFERROR(__xludf.DUMMYFUNCTION("""COMPUTED_VALUE"""),"3084")</f>
        <v>3084</v>
      </c>
      <c r="P1076" s="30" t="str">
        <f ca="1">IFERROR(__xludf.DUMMYFUNCTION("""COMPUTED_VALUE"""),"PARANÁ")</f>
        <v>PARANÁ</v>
      </c>
      <c r="Q1076" s="30" t="str">
        <f ca="1">IFERROR(__xludf.DUMMYFUNCTION("""COMPUTED_VALUE"""),"-31.77820666")</f>
        <v>-31.77820666</v>
      </c>
      <c r="R1076" s="30" t="str">
        <f ca="1">IFERROR(__xludf.DUMMYFUNCTION("""COMPUTED_VALUE"""),"-60.48718214")</f>
        <v>-60.48718214</v>
      </c>
      <c r="S1076" s="30" t="str">
        <f ca="1">IFERROR(__xludf.DUMMYFUNCTION("""COMPUTED_VALUE"""),"Provincial")</f>
        <v>Provincial</v>
      </c>
      <c r="T1076" s="30" t="str">
        <f ca="1">IFERROR(__xludf.DUMMYFUNCTION("""COMPUTED_VALUE"""),"-")</f>
        <v>-</v>
      </c>
    </row>
    <row r="1077" spans="1:20" ht="15.75" customHeight="1" x14ac:dyDescent="0.25">
      <c r="A1077" s="30" t="str">
        <f ca="1">IFERROR(__xludf.DUMMYFUNCTION("""COMPUTED_VALUE"""),"50300842142298")</f>
        <v>50300842142298</v>
      </c>
      <c r="B1077" s="30" t="str">
        <f ca="1">IFERROR(__xludf.DUMMYFUNCTION("""COMPUTED_VALUE"""),"C.A.P.S.  LUIS A. GIANOTTI")</f>
        <v>C.A.P.S.  LUIS A. GIANOTTI</v>
      </c>
      <c r="C1077" s="30" t="str">
        <f ca="1">IFERROR(__xludf.DUMMYFUNCTION("""COMPUTED_VALUE"""),"Entre Ríos")</f>
        <v>Entre Ríos</v>
      </c>
      <c r="D1077" s="30" t="str">
        <f ca="1">IFERROR(__xludf.DUMMYFUNCTION("""COMPUTED_VALUE"""),"30")</f>
        <v>30</v>
      </c>
      <c r="E1077" s="30" t="str">
        <f ca="1">IFERROR(__xludf.DUMMYFUNCTION("""COMPUTED_VALUE"""),"")</f>
        <v/>
      </c>
      <c r="F1077" s="29"/>
      <c r="G1077" s="29"/>
      <c r="H1077" s="30" t="str">
        <f ca="1">IFERROR(__xludf.DUMMYFUNCTION("""COMPUTED_VALUE"""),"inactivo")</f>
        <v>inactivo</v>
      </c>
      <c r="I1077" s="29"/>
      <c r="J1077" s="29"/>
      <c r="K1077" s="29"/>
      <c r="L1077" s="30" t="str">
        <f ca="1">IFERROR(__xludf.DUMMYFUNCTION("""COMPUTED_VALUE"""),"No")</f>
        <v>No</v>
      </c>
      <c r="M1077" s="30" t="str">
        <f ca="1">IFERROR(__xludf.DUMMYFUNCTION("""COMPUTED_VALUE"""),"30084150000")</f>
        <v>30084150000</v>
      </c>
      <c r="N1077" s="30" t="str">
        <f ca="1">IFERROR(__xludf.DUMMYFUNCTION("""COMPUTED_VALUE"""),"ORO VERDE")</f>
        <v>ORO VERDE</v>
      </c>
      <c r="O1077" s="30" t="str">
        <f ca="1">IFERROR(__xludf.DUMMYFUNCTION("""COMPUTED_VALUE"""),"3084")</f>
        <v>3084</v>
      </c>
      <c r="P1077" s="30" t="str">
        <f ca="1">IFERROR(__xludf.DUMMYFUNCTION("""COMPUTED_VALUE"""),"PARANÁ")</f>
        <v>PARANÁ</v>
      </c>
      <c r="Q1077" s="30" t="str">
        <f ca="1">IFERROR(__xludf.DUMMYFUNCTION("""COMPUTED_VALUE"""),"-31.82065289")</f>
        <v>-31.82065289</v>
      </c>
      <c r="R1077" s="30" t="str">
        <f ca="1">IFERROR(__xludf.DUMMYFUNCTION("""COMPUTED_VALUE"""),"-60.52069902")</f>
        <v>-60.52069902</v>
      </c>
      <c r="S1077" s="30" t="str">
        <f ca="1">IFERROR(__xludf.DUMMYFUNCTION("""COMPUTED_VALUE"""),"Provincial")</f>
        <v>Provincial</v>
      </c>
      <c r="T1077" s="30" t="str">
        <f ca="1">IFERROR(__xludf.DUMMYFUNCTION("""COMPUTED_VALUE"""),"-")</f>
        <v>-</v>
      </c>
    </row>
    <row r="1078" spans="1:20" ht="15.75" customHeight="1" x14ac:dyDescent="0.25">
      <c r="A1078" s="30" t="str">
        <f ca="1">IFERROR(__xludf.DUMMYFUNCTION("""COMPUTED_VALUE"""),"50300842142303")</f>
        <v>50300842142303</v>
      </c>
      <c r="B1078" s="30" t="str">
        <f ca="1">IFERROR(__xludf.DUMMYFUNCTION("""COMPUTED_VALUE"""),"C.A.P.S.   MALVINAS ARGENTINAS")</f>
        <v>C.A.P.S.   MALVINAS ARGENTINAS</v>
      </c>
      <c r="C1078" s="30" t="str">
        <f ca="1">IFERROR(__xludf.DUMMYFUNCTION("""COMPUTED_VALUE"""),"Entre Ríos")</f>
        <v>Entre Ríos</v>
      </c>
      <c r="D1078" s="30" t="str">
        <f ca="1">IFERROR(__xludf.DUMMYFUNCTION("""COMPUTED_VALUE"""),"30")</f>
        <v>30</v>
      </c>
      <c r="E1078" s="30" t="str">
        <f ca="1">IFERROR(__xludf.DUMMYFUNCTION("""COMPUTED_VALUE"""),"")</f>
        <v/>
      </c>
      <c r="F1078" s="29"/>
      <c r="G1078" s="29"/>
      <c r="H1078" s="30" t="str">
        <f ca="1">IFERROR(__xludf.DUMMYFUNCTION("""COMPUTED_VALUE"""),"activo")</f>
        <v>activo</v>
      </c>
      <c r="I1078" s="29"/>
      <c r="J1078" s="29"/>
      <c r="K1078" s="29"/>
      <c r="L1078" s="30" t="str">
        <f ca="1">IFERROR(__xludf.DUMMYFUNCTION("""COMPUTED_VALUE"""),"No")</f>
        <v>No</v>
      </c>
      <c r="M1078" s="30" t="str">
        <f ca="1">IFERROR(__xludf.DUMMYFUNCTION("""COMPUTED_VALUE"""),"30084160000")</f>
        <v>30084160000</v>
      </c>
      <c r="N1078" s="30" t="str">
        <f ca="1">IFERROR(__xludf.DUMMYFUNCTION("""COMPUTED_VALUE"""),"PARANA")</f>
        <v>PARANA</v>
      </c>
      <c r="O1078" s="30" t="str">
        <f ca="1">IFERROR(__xludf.DUMMYFUNCTION("""COMPUTED_VALUE"""),"3084")</f>
        <v>3084</v>
      </c>
      <c r="P1078" s="30" t="str">
        <f ca="1">IFERROR(__xludf.DUMMYFUNCTION("""COMPUTED_VALUE"""),"PARANÁ")</f>
        <v>PARANÁ</v>
      </c>
      <c r="Q1078" s="30" t="str">
        <f ca="1">IFERROR(__xludf.DUMMYFUNCTION("""COMPUTED_VALUE"""),"-31.74497468")</f>
        <v>-31.74497468</v>
      </c>
      <c r="R1078" s="30" t="str">
        <f ca="1">IFERROR(__xludf.DUMMYFUNCTION("""COMPUTED_VALUE"""),"-60.49326003")</f>
        <v>-60.49326003</v>
      </c>
      <c r="S1078" s="30" t="str">
        <f ca="1">IFERROR(__xludf.DUMMYFUNCTION("""COMPUTED_VALUE"""),"Provincial")</f>
        <v>Provincial</v>
      </c>
      <c r="T1078" s="30" t="str">
        <f ca="1">IFERROR(__xludf.DUMMYFUNCTION("""COMPUTED_VALUE"""),"-")</f>
        <v>-</v>
      </c>
    </row>
    <row r="1079" spans="1:20" ht="15.75" customHeight="1" x14ac:dyDescent="0.25">
      <c r="A1079" s="30" t="str">
        <f ca="1">IFERROR(__xludf.DUMMYFUNCTION("""COMPUTED_VALUE"""),"50300842142330")</f>
        <v>50300842142330</v>
      </c>
      <c r="B1079" s="30" t="str">
        <f ca="1">IFERROR(__xludf.DUMMYFUNCTION("""COMPUTED_VALUE"""),"C.A.P.S.  PABLO BALBI")</f>
        <v>C.A.P.S.  PABLO BALBI</v>
      </c>
      <c r="C1079" s="30" t="str">
        <f ca="1">IFERROR(__xludf.DUMMYFUNCTION("""COMPUTED_VALUE"""),"Entre Ríos")</f>
        <v>Entre Ríos</v>
      </c>
      <c r="D1079" s="30" t="str">
        <f ca="1">IFERROR(__xludf.DUMMYFUNCTION("""COMPUTED_VALUE"""),"30")</f>
        <v>30</v>
      </c>
      <c r="E1079" s="30" t="str">
        <f ca="1">IFERROR(__xludf.DUMMYFUNCTION("""COMPUTED_VALUE"""),"")</f>
        <v/>
      </c>
      <c r="F1079" s="29"/>
      <c r="G1079" s="29"/>
      <c r="H1079" s="30" t="str">
        <f ca="1">IFERROR(__xludf.DUMMYFUNCTION("""COMPUTED_VALUE"""),"activo")</f>
        <v>activo</v>
      </c>
      <c r="I1079" s="29"/>
      <c r="J1079" s="29"/>
      <c r="K1079" s="29"/>
      <c r="L1079" s="30" t="str">
        <f ca="1">IFERROR(__xludf.DUMMYFUNCTION("""COMPUTED_VALUE"""),"No")</f>
        <v>No</v>
      </c>
      <c r="M1079" s="30" t="str">
        <f ca="1">IFERROR(__xludf.DUMMYFUNCTION("""COMPUTED_VALUE"""),"30084160000")</f>
        <v>30084160000</v>
      </c>
      <c r="N1079" s="30" t="str">
        <f ca="1">IFERROR(__xludf.DUMMYFUNCTION("""COMPUTED_VALUE"""),"PARANA")</f>
        <v>PARANA</v>
      </c>
      <c r="O1079" s="30" t="str">
        <f ca="1">IFERROR(__xludf.DUMMYFUNCTION("""COMPUTED_VALUE"""),"3084")</f>
        <v>3084</v>
      </c>
      <c r="P1079" s="30" t="str">
        <f ca="1">IFERROR(__xludf.DUMMYFUNCTION("""COMPUTED_VALUE"""),"PARANÁ")</f>
        <v>PARANÁ</v>
      </c>
      <c r="Q1079" s="30" t="str">
        <f ca="1">IFERROR(__xludf.DUMMYFUNCTION("""COMPUTED_VALUE"""),"-31.72812152")</f>
        <v>-31.72812152</v>
      </c>
      <c r="R1079" s="30" t="str">
        <f ca="1">IFERROR(__xludf.DUMMYFUNCTION("""COMPUTED_VALUE"""),"-60.54339051")</f>
        <v>-60.54339051</v>
      </c>
      <c r="S1079" s="30" t="str">
        <f ca="1">IFERROR(__xludf.DUMMYFUNCTION("""COMPUTED_VALUE"""),"Provincial")</f>
        <v>Provincial</v>
      </c>
      <c r="T1079" s="30" t="str">
        <f ca="1">IFERROR(__xludf.DUMMYFUNCTION("""COMPUTED_VALUE"""),"-")</f>
        <v>-</v>
      </c>
    </row>
    <row r="1080" spans="1:20" ht="15.75" customHeight="1" x14ac:dyDescent="0.25">
      <c r="A1080" s="30" t="str">
        <f ca="1">IFERROR(__xludf.DUMMYFUNCTION("""COMPUTED_VALUE"""),"50300842142333")</f>
        <v>50300842142333</v>
      </c>
      <c r="B1080" s="30" t="str">
        <f ca="1">IFERROR(__xludf.DUMMYFUNCTION("""COMPUTED_VALUE"""),"C.A.P.S.   PAGANI")</f>
        <v>C.A.P.S.   PAGANI</v>
      </c>
      <c r="C1080" s="30" t="str">
        <f ca="1">IFERROR(__xludf.DUMMYFUNCTION("""COMPUTED_VALUE"""),"Entre Ríos")</f>
        <v>Entre Ríos</v>
      </c>
      <c r="D1080" s="30" t="str">
        <f ca="1">IFERROR(__xludf.DUMMYFUNCTION("""COMPUTED_VALUE"""),"30")</f>
        <v>30</v>
      </c>
      <c r="E1080" s="30" t="str">
        <f ca="1">IFERROR(__xludf.DUMMYFUNCTION("""COMPUTED_VALUE"""),"")</f>
        <v/>
      </c>
      <c r="F1080" s="29"/>
      <c r="G1080" s="29"/>
      <c r="H1080" s="30" t="str">
        <f ca="1">IFERROR(__xludf.DUMMYFUNCTION("""COMPUTED_VALUE"""),"activo")</f>
        <v>activo</v>
      </c>
      <c r="I1080" s="29"/>
      <c r="J1080" s="29"/>
      <c r="K1080" s="29"/>
      <c r="L1080" s="30" t="str">
        <f ca="1">IFERROR(__xludf.DUMMYFUNCTION("""COMPUTED_VALUE"""),"No")</f>
        <v>No</v>
      </c>
      <c r="M1080" s="30" t="str">
        <f ca="1">IFERROR(__xludf.DUMMYFUNCTION("""COMPUTED_VALUE"""),"30084160000")</f>
        <v>30084160000</v>
      </c>
      <c r="N1080" s="30" t="str">
        <f ca="1">IFERROR(__xludf.DUMMYFUNCTION("""COMPUTED_VALUE"""),"PARANA")</f>
        <v>PARANA</v>
      </c>
      <c r="O1080" s="30" t="str">
        <f ca="1">IFERROR(__xludf.DUMMYFUNCTION("""COMPUTED_VALUE"""),"3084")</f>
        <v>3084</v>
      </c>
      <c r="P1080" s="30" t="str">
        <f ca="1">IFERROR(__xludf.DUMMYFUNCTION("""COMPUTED_VALUE"""),"PARANÁ")</f>
        <v>PARANÁ</v>
      </c>
      <c r="Q1080" s="30" t="str">
        <f ca="1">IFERROR(__xludf.DUMMYFUNCTION("""COMPUTED_VALUE"""),"-31.74438163")</f>
        <v>-31.74438163</v>
      </c>
      <c r="R1080" s="30" t="str">
        <f ca="1">IFERROR(__xludf.DUMMYFUNCTION("""COMPUTED_VALUE"""),"-60.49876392")</f>
        <v>-60.49876392</v>
      </c>
      <c r="S1080" s="30" t="str">
        <f ca="1">IFERROR(__xludf.DUMMYFUNCTION("""COMPUTED_VALUE"""),"Provincial")</f>
        <v>Provincial</v>
      </c>
      <c r="T1080" s="30" t="str">
        <f ca="1">IFERROR(__xludf.DUMMYFUNCTION("""COMPUTED_VALUE"""),"-")</f>
        <v>-</v>
      </c>
    </row>
    <row r="1081" spans="1:20" ht="15.75" customHeight="1" x14ac:dyDescent="0.25">
      <c r="A1081" s="30" t="str">
        <f ca="1">IFERROR(__xludf.DUMMYFUNCTION("""COMPUTED_VALUE"""),"50300842142365")</f>
        <v>50300842142365</v>
      </c>
      <c r="B1081" s="30" t="str">
        <f ca="1">IFERROR(__xludf.DUMMYFUNCTION("""COMPUTED_VALUE"""),"C.A.P.S.   SANTA LUCIA")</f>
        <v>C.A.P.S.   SANTA LUCIA</v>
      </c>
      <c r="C1081" s="30" t="str">
        <f ca="1">IFERROR(__xludf.DUMMYFUNCTION("""COMPUTED_VALUE"""),"Entre Ríos")</f>
        <v>Entre Ríos</v>
      </c>
      <c r="D1081" s="30" t="str">
        <f ca="1">IFERROR(__xludf.DUMMYFUNCTION("""COMPUTED_VALUE"""),"30")</f>
        <v>30</v>
      </c>
      <c r="E1081" s="30" t="str">
        <f ca="1">IFERROR(__xludf.DUMMYFUNCTION("""COMPUTED_VALUE"""),"")</f>
        <v/>
      </c>
      <c r="F1081" s="29"/>
      <c r="G1081" s="29"/>
      <c r="H1081" s="30" t="str">
        <f ca="1">IFERROR(__xludf.DUMMYFUNCTION("""COMPUTED_VALUE"""),"activo")</f>
        <v>activo</v>
      </c>
      <c r="I1081" s="29"/>
      <c r="J1081" s="29"/>
      <c r="K1081" s="29"/>
      <c r="L1081" s="30" t="str">
        <f ca="1">IFERROR(__xludf.DUMMYFUNCTION("""COMPUTED_VALUE"""),"No")</f>
        <v>No</v>
      </c>
      <c r="M1081" s="30" t="str">
        <f ca="1">IFERROR(__xludf.DUMMYFUNCTION("""COMPUTED_VALUE"""),"30084160000")</f>
        <v>30084160000</v>
      </c>
      <c r="N1081" s="30" t="str">
        <f ca="1">IFERROR(__xludf.DUMMYFUNCTION("""COMPUTED_VALUE"""),"PARANA")</f>
        <v>PARANA</v>
      </c>
      <c r="O1081" s="30" t="str">
        <f ca="1">IFERROR(__xludf.DUMMYFUNCTION("""COMPUTED_VALUE"""),"3084")</f>
        <v>3084</v>
      </c>
      <c r="P1081" s="30" t="str">
        <f ca="1">IFERROR(__xludf.DUMMYFUNCTION("""COMPUTED_VALUE"""),"PARANÁ")</f>
        <v>PARANÁ</v>
      </c>
      <c r="Q1081" s="30" t="str">
        <f ca="1">IFERROR(__xludf.DUMMYFUNCTION("""COMPUTED_VALUE"""),"-31.76794552")</f>
        <v>-31.76794552</v>
      </c>
      <c r="R1081" s="30" t="str">
        <f ca="1">IFERROR(__xludf.DUMMYFUNCTION("""COMPUTED_VALUE"""),"-60.52179337")</f>
        <v>-60.52179337</v>
      </c>
      <c r="S1081" s="30" t="str">
        <f ca="1">IFERROR(__xludf.DUMMYFUNCTION("""COMPUTED_VALUE"""),"Provincial")</f>
        <v>Provincial</v>
      </c>
      <c r="T1081" s="30" t="str">
        <f ca="1">IFERROR(__xludf.DUMMYFUNCTION("""COMPUTED_VALUE"""),"-")</f>
        <v>-</v>
      </c>
    </row>
    <row r="1082" spans="1:20" ht="15.75" customHeight="1" x14ac:dyDescent="0.25">
      <c r="A1082" s="30" t="str">
        <f ca="1">IFERROR(__xludf.DUMMYFUNCTION("""COMPUTED_VALUE"""),"50300842142371")</f>
        <v>50300842142371</v>
      </c>
      <c r="B1082" s="30" t="str">
        <f ca="1">IFERROR(__xludf.DUMMYFUNCTION("""COMPUTED_VALUE"""),"C.A.P.S. SAUCE MONTRULL")</f>
        <v>C.A.P.S. SAUCE MONTRULL</v>
      </c>
      <c r="C1082" s="30" t="str">
        <f ca="1">IFERROR(__xludf.DUMMYFUNCTION("""COMPUTED_VALUE"""),"Entre Ríos")</f>
        <v>Entre Ríos</v>
      </c>
      <c r="D1082" s="30" t="str">
        <f ca="1">IFERROR(__xludf.DUMMYFUNCTION("""COMPUTED_VALUE"""),"30")</f>
        <v>30</v>
      </c>
      <c r="E1082" s="30" t="str">
        <f ca="1">IFERROR(__xludf.DUMMYFUNCTION("""COMPUTED_VALUE"""),"")</f>
        <v/>
      </c>
      <c r="F1082" s="29"/>
      <c r="G1082" s="29"/>
      <c r="H1082" s="30" t="str">
        <f ca="1">IFERROR(__xludf.DUMMYFUNCTION("""COMPUTED_VALUE"""),"activo")</f>
        <v>activo</v>
      </c>
      <c r="I1082" s="29"/>
      <c r="J1082" s="29"/>
      <c r="K1082" s="29"/>
      <c r="L1082" s="30" t="str">
        <f ca="1">IFERROR(__xludf.DUMMYFUNCTION("""COMPUTED_VALUE"""),"No")</f>
        <v>No</v>
      </c>
      <c r="M1082" s="30" t="str">
        <f ca="1">IFERROR(__xludf.DUMMYFUNCTION("""COMPUTED_VALUE"""),"30084210000")</f>
        <v>30084210000</v>
      </c>
      <c r="N1082" s="30" t="str">
        <f ca="1">IFERROR(__xludf.DUMMYFUNCTION("""COMPUTED_VALUE"""),"SAUCE MONTRULL")</f>
        <v>SAUCE MONTRULL</v>
      </c>
      <c r="O1082" s="30" t="str">
        <f ca="1">IFERROR(__xludf.DUMMYFUNCTION("""COMPUTED_VALUE"""),"3084")</f>
        <v>3084</v>
      </c>
      <c r="P1082" s="30" t="str">
        <f ca="1">IFERROR(__xludf.DUMMYFUNCTION("""COMPUTED_VALUE"""),"PARANÁ")</f>
        <v>PARANÁ</v>
      </c>
      <c r="Q1082" s="30" t="str">
        <f ca="1">IFERROR(__xludf.DUMMYFUNCTION("""COMPUTED_VALUE"""),"-31.74546737")</f>
        <v>-31.74546737</v>
      </c>
      <c r="R1082" s="30" t="str">
        <f ca="1">IFERROR(__xludf.DUMMYFUNCTION("""COMPUTED_VALUE"""),"-60.35663366")</f>
        <v>-60.35663366</v>
      </c>
      <c r="S1082" s="30" t="str">
        <f ca="1">IFERROR(__xludf.DUMMYFUNCTION("""COMPUTED_VALUE"""),"Provincial")</f>
        <v>Provincial</v>
      </c>
      <c r="T1082" s="30" t="str">
        <f ca="1">IFERROR(__xludf.DUMMYFUNCTION("""COMPUTED_VALUE"""),"-")</f>
        <v>-</v>
      </c>
    </row>
    <row r="1083" spans="1:20" ht="15.75" customHeight="1" x14ac:dyDescent="0.25">
      <c r="A1083" s="30" t="str">
        <f ca="1">IFERROR(__xludf.DUMMYFUNCTION("""COMPUTED_VALUE"""),"50300842142373")</f>
        <v>50300842142373</v>
      </c>
      <c r="B1083" s="30" t="str">
        <f ca="1">IFERROR(__xludf.DUMMYFUNCTION("""COMPUTED_VALUE"""),"C.A.P.S.   SELIG GOLDIN")</f>
        <v>C.A.P.S.   SELIG GOLDIN</v>
      </c>
      <c r="C1083" s="30" t="str">
        <f ca="1">IFERROR(__xludf.DUMMYFUNCTION("""COMPUTED_VALUE"""),"Entre Ríos")</f>
        <v>Entre Ríos</v>
      </c>
      <c r="D1083" s="30" t="str">
        <f ca="1">IFERROR(__xludf.DUMMYFUNCTION("""COMPUTED_VALUE"""),"30")</f>
        <v>30</v>
      </c>
      <c r="E1083" s="30" t="str">
        <f ca="1">IFERROR(__xludf.DUMMYFUNCTION("""COMPUTED_VALUE"""),"")</f>
        <v/>
      </c>
      <c r="F1083" s="29"/>
      <c r="G1083" s="29"/>
      <c r="H1083" s="30" t="str">
        <f ca="1">IFERROR(__xludf.DUMMYFUNCTION("""COMPUTED_VALUE"""),"activo")</f>
        <v>activo</v>
      </c>
      <c r="I1083" s="29"/>
      <c r="J1083" s="29"/>
      <c r="K1083" s="29"/>
      <c r="L1083" s="30" t="str">
        <f ca="1">IFERROR(__xludf.DUMMYFUNCTION("""COMPUTED_VALUE"""),"No")</f>
        <v>No</v>
      </c>
      <c r="M1083" s="30" t="str">
        <f ca="1">IFERROR(__xludf.DUMMYFUNCTION("""COMPUTED_VALUE"""),"30084160000")</f>
        <v>30084160000</v>
      </c>
      <c r="N1083" s="30" t="str">
        <f ca="1">IFERROR(__xludf.DUMMYFUNCTION("""COMPUTED_VALUE"""),"PARANA")</f>
        <v>PARANA</v>
      </c>
      <c r="O1083" s="30" t="str">
        <f ca="1">IFERROR(__xludf.DUMMYFUNCTION("""COMPUTED_VALUE"""),"3084")</f>
        <v>3084</v>
      </c>
      <c r="P1083" s="30" t="str">
        <f ca="1">IFERROR(__xludf.DUMMYFUNCTION("""COMPUTED_VALUE"""),"PARANÁ")</f>
        <v>PARANÁ</v>
      </c>
      <c r="Q1083" s="30" t="str">
        <f ca="1">IFERROR(__xludf.DUMMYFUNCTION("""COMPUTED_VALUE"""),"-31.72299281")</f>
        <v>-31.72299281</v>
      </c>
      <c r="R1083" s="30" t="str">
        <f ca="1">IFERROR(__xludf.DUMMYFUNCTION("""COMPUTED_VALUE"""),"-60.51458895")</f>
        <v>-60.51458895</v>
      </c>
      <c r="S1083" s="30" t="str">
        <f ca="1">IFERROR(__xludf.DUMMYFUNCTION("""COMPUTED_VALUE"""),"Provincial")</f>
        <v>Provincial</v>
      </c>
      <c r="T1083" s="30" t="str">
        <f ca="1">IFERROR(__xludf.DUMMYFUNCTION("""COMPUTED_VALUE"""),"-")</f>
        <v>-</v>
      </c>
    </row>
    <row r="1084" spans="1:20" ht="15.75" customHeight="1" x14ac:dyDescent="0.25">
      <c r="A1084" s="30" t="str">
        <f ca="1">IFERROR(__xludf.DUMMYFUNCTION("""COMPUTED_VALUE"""),"50300842142377")</f>
        <v>50300842142377</v>
      </c>
      <c r="B1084" s="30" t="str">
        <f ca="1">IFERROR(__xludf.DUMMYFUNCTION("""COMPUTED_VALUE"""),"C.A.P.S.  TENIENTE 1° IBAÑEZ")</f>
        <v>C.A.P.S.  TENIENTE 1° IBAÑEZ</v>
      </c>
      <c r="C1084" s="30" t="str">
        <f ca="1">IFERROR(__xludf.DUMMYFUNCTION("""COMPUTED_VALUE"""),"Entre Ríos")</f>
        <v>Entre Ríos</v>
      </c>
      <c r="D1084" s="30" t="str">
        <f ca="1">IFERROR(__xludf.DUMMYFUNCTION("""COMPUTED_VALUE"""),"30")</f>
        <v>30</v>
      </c>
      <c r="E1084" s="30" t="str">
        <f ca="1">IFERROR(__xludf.DUMMYFUNCTION("""COMPUTED_VALUE"""),"")</f>
        <v/>
      </c>
      <c r="F1084" s="29"/>
      <c r="G1084" s="29"/>
      <c r="H1084" s="30" t="str">
        <f ca="1">IFERROR(__xludf.DUMMYFUNCTION("""COMPUTED_VALUE"""),"activo")</f>
        <v>activo</v>
      </c>
      <c r="I1084" s="29"/>
      <c r="J1084" s="29"/>
      <c r="K1084" s="29"/>
      <c r="L1084" s="30" t="str">
        <f ca="1">IFERROR(__xludf.DUMMYFUNCTION("""COMPUTED_VALUE"""),"No")</f>
        <v>No</v>
      </c>
      <c r="M1084" s="30" t="str">
        <f ca="1">IFERROR(__xludf.DUMMYFUNCTION("""COMPUTED_VALUE"""),"30084300000")</f>
        <v>30084300000</v>
      </c>
      <c r="N1084" s="30" t="str">
        <f ca="1">IFERROR(__xludf.DUMMYFUNCTION("""COMPUTED_VALUE"""),"VILLA URQUIZA")</f>
        <v>VILLA URQUIZA</v>
      </c>
      <c r="O1084" s="30" t="str">
        <f ca="1">IFERROR(__xludf.DUMMYFUNCTION("""COMPUTED_VALUE"""),"3084")</f>
        <v>3084</v>
      </c>
      <c r="P1084" s="30" t="str">
        <f ca="1">IFERROR(__xludf.DUMMYFUNCTION("""COMPUTED_VALUE"""),"PARANÁ")</f>
        <v>PARANÁ</v>
      </c>
      <c r="Q1084" s="30" t="str">
        <f ca="1">IFERROR(__xludf.DUMMYFUNCTION("""COMPUTED_VALUE"""),"-31.64839476")</f>
        <v>-31.64839476</v>
      </c>
      <c r="R1084" s="30" t="str">
        <f ca="1">IFERROR(__xludf.DUMMYFUNCTION("""COMPUTED_VALUE"""),"-60.37805915")</f>
        <v>-60.37805915</v>
      </c>
      <c r="S1084" s="30" t="str">
        <f ca="1">IFERROR(__xludf.DUMMYFUNCTION("""COMPUTED_VALUE"""),"Provincial")</f>
        <v>Provincial</v>
      </c>
      <c r="T1084" s="30" t="str">
        <f ca="1">IFERROR(__xludf.DUMMYFUNCTION("""COMPUTED_VALUE"""),"-")</f>
        <v>-</v>
      </c>
    </row>
    <row r="1085" spans="1:20" ht="15.75" customHeight="1" x14ac:dyDescent="0.25">
      <c r="A1085" s="30" t="str">
        <f ca="1">IFERROR(__xludf.DUMMYFUNCTION("""COMPUTED_VALUE"""),"50300842142416")</f>
        <v>50300842142416</v>
      </c>
      <c r="B1085" s="30" t="str">
        <f ca="1">IFERROR(__xludf.DUMMYFUNCTION("""COMPUTED_VALUE"""),"CENTRO REGIONAL DE REFERENCIA DR. ARTURO OÑATIVIA")</f>
        <v>CENTRO REGIONAL DE REFERENCIA DR. ARTURO OÑATIVIA</v>
      </c>
      <c r="C1085" s="30" t="str">
        <f ca="1">IFERROR(__xludf.DUMMYFUNCTION("""COMPUTED_VALUE"""),"Entre Ríos")</f>
        <v>Entre Ríos</v>
      </c>
      <c r="D1085" s="30" t="str">
        <f ca="1">IFERROR(__xludf.DUMMYFUNCTION("""COMPUTED_VALUE"""),"30")</f>
        <v>30</v>
      </c>
      <c r="E1085" s="30" t="str">
        <f ca="1">IFERROR(__xludf.DUMMYFUNCTION("""COMPUTED_VALUE"""),"")</f>
        <v/>
      </c>
      <c r="F1085" s="29"/>
      <c r="G1085" s="29"/>
      <c r="H1085" s="30" t="str">
        <f ca="1">IFERROR(__xludf.DUMMYFUNCTION("""COMPUTED_VALUE"""),"activo")</f>
        <v>activo</v>
      </c>
      <c r="I1085" s="29"/>
      <c r="J1085" s="29"/>
      <c r="K1085" s="29"/>
      <c r="L1085" s="30" t="str">
        <f ca="1">IFERROR(__xludf.DUMMYFUNCTION("""COMPUTED_VALUE"""),"No")</f>
        <v>No</v>
      </c>
      <c r="M1085" s="30" t="str">
        <f ca="1">IFERROR(__xludf.DUMMYFUNCTION("""COMPUTED_VALUE"""),"30084160000")</f>
        <v>30084160000</v>
      </c>
      <c r="N1085" s="30" t="str">
        <f ca="1">IFERROR(__xludf.DUMMYFUNCTION("""COMPUTED_VALUE"""),"PARANA")</f>
        <v>PARANA</v>
      </c>
      <c r="O1085" s="30" t="str">
        <f ca="1">IFERROR(__xludf.DUMMYFUNCTION("""COMPUTED_VALUE"""),"3084")</f>
        <v>3084</v>
      </c>
      <c r="P1085" s="30" t="str">
        <f ca="1">IFERROR(__xludf.DUMMYFUNCTION("""COMPUTED_VALUE"""),"PARANÁ")</f>
        <v>PARANÁ</v>
      </c>
      <c r="Q1085" s="30" t="str">
        <f ca="1">IFERROR(__xludf.DUMMYFUNCTION("""COMPUTED_VALUE"""),"-31.7644135")</f>
        <v>-31.7644135</v>
      </c>
      <c r="R1085" s="30" t="str">
        <f ca="1">IFERROR(__xludf.DUMMYFUNCTION("""COMPUTED_VALUE"""),"-60.4991375")</f>
        <v>-60.4991375</v>
      </c>
      <c r="S1085" s="30" t="str">
        <f ca="1">IFERROR(__xludf.DUMMYFUNCTION("""COMPUTED_VALUE"""),"Provincial")</f>
        <v>Provincial</v>
      </c>
      <c r="T1085" s="30" t="str">
        <f ca="1">IFERROR(__xludf.DUMMYFUNCTION("""COMPUTED_VALUE"""),"-")</f>
        <v>-</v>
      </c>
    </row>
    <row r="1086" spans="1:20" ht="15.75" customHeight="1" x14ac:dyDescent="0.25">
      <c r="A1086" s="30" t="str">
        <f ca="1">IFERROR(__xludf.DUMMYFUNCTION("""COMPUTED_VALUE"""),"50300842142417")</f>
        <v>50300842142417</v>
      </c>
      <c r="B1086" s="30" t="str">
        <f ca="1">IFERROR(__xludf.DUMMYFUNCTION("""COMPUTED_VALUE"""),"CENTRO REGIONAL DE REFERENCIA DR. RAMON CARRILLO")</f>
        <v>CENTRO REGIONAL DE REFERENCIA DR. RAMON CARRILLO</v>
      </c>
      <c r="C1086" s="30" t="str">
        <f ca="1">IFERROR(__xludf.DUMMYFUNCTION("""COMPUTED_VALUE"""),"Entre Ríos")</f>
        <v>Entre Ríos</v>
      </c>
      <c r="D1086" s="30" t="str">
        <f ca="1">IFERROR(__xludf.DUMMYFUNCTION("""COMPUTED_VALUE"""),"30")</f>
        <v>30</v>
      </c>
      <c r="E1086" s="30" t="str">
        <f ca="1">IFERROR(__xludf.DUMMYFUNCTION("""COMPUTED_VALUE"""),"")</f>
        <v/>
      </c>
      <c r="F1086" s="29"/>
      <c r="G1086" s="29"/>
      <c r="H1086" s="30" t="str">
        <f ca="1">IFERROR(__xludf.DUMMYFUNCTION("""COMPUTED_VALUE"""),"activo")</f>
        <v>activo</v>
      </c>
      <c r="I1086" s="29"/>
      <c r="J1086" s="29"/>
      <c r="K1086" s="29"/>
      <c r="L1086" s="30" t="str">
        <f ca="1">IFERROR(__xludf.DUMMYFUNCTION("""COMPUTED_VALUE"""),"No")</f>
        <v>No</v>
      </c>
      <c r="M1086" s="30" t="str">
        <f ca="1">IFERROR(__xludf.DUMMYFUNCTION("""COMPUTED_VALUE"""),"30084160000")</f>
        <v>30084160000</v>
      </c>
      <c r="N1086" s="30" t="str">
        <f ca="1">IFERROR(__xludf.DUMMYFUNCTION("""COMPUTED_VALUE"""),"PARANA")</f>
        <v>PARANA</v>
      </c>
      <c r="O1086" s="30" t="str">
        <f ca="1">IFERROR(__xludf.DUMMYFUNCTION("""COMPUTED_VALUE"""),"3084")</f>
        <v>3084</v>
      </c>
      <c r="P1086" s="30" t="str">
        <f ca="1">IFERROR(__xludf.DUMMYFUNCTION("""COMPUTED_VALUE"""),"PARANÁ")</f>
        <v>PARANÁ</v>
      </c>
      <c r="Q1086" s="30" t="str">
        <f ca="1">IFERROR(__xludf.DUMMYFUNCTION("""COMPUTED_VALUE"""),"-31.73268869")</f>
        <v>-31.73268869</v>
      </c>
      <c r="R1086" s="30" t="str">
        <f ca="1">IFERROR(__xludf.DUMMYFUNCTION("""COMPUTED_VALUE"""),"-60.54534316")</f>
        <v>-60.54534316</v>
      </c>
      <c r="S1086" s="30" t="str">
        <f ca="1">IFERROR(__xludf.DUMMYFUNCTION("""COMPUTED_VALUE"""),"Provincial")</f>
        <v>Provincial</v>
      </c>
      <c r="T1086" s="30" t="str">
        <f ca="1">IFERROR(__xludf.DUMMYFUNCTION("""COMPUTED_VALUE"""),"-")</f>
        <v>-</v>
      </c>
    </row>
    <row r="1087" spans="1:20" ht="15.75" customHeight="1" x14ac:dyDescent="0.25">
      <c r="A1087" s="30" t="str">
        <f ca="1">IFERROR(__xludf.DUMMYFUNCTION("""COMPUTED_VALUE"""),"50300842142453")</f>
        <v>50300842142453</v>
      </c>
      <c r="B1087" s="30" t="str">
        <f ca="1">IFERROR(__xludf.DUMMYFUNCTION("""COMPUTED_VALUE"""),"C.A.P.S.   DR. HUMBERTO DANGELO")</f>
        <v>C.A.P.S.   DR. HUMBERTO DANGELO</v>
      </c>
      <c r="C1087" s="30" t="str">
        <f ca="1">IFERROR(__xludf.DUMMYFUNCTION("""COMPUTED_VALUE"""),"Entre Ríos")</f>
        <v>Entre Ríos</v>
      </c>
      <c r="D1087" s="30" t="str">
        <f ca="1">IFERROR(__xludf.DUMMYFUNCTION("""COMPUTED_VALUE"""),"30")</f>
        <v>30</v>
      </c>
      <c r="E1087" s="30" t="str">
        <f ca="1">IFERROR(__xludf.DUMMYFUNCTION("""COMPUTED_VALUE"""),"")</f>
        <v/>
      </c>
      <c r="F1087" s="29"/>
      <c r="G1087" s="29"/>
      <c r="H1087" s="30" t="str">
        <f ca="1">IFERROR(__xludf.DUMMYFUNCTION("""COMPUTED_VALUE"""),"activo")</f>
        <v>activo</v>
      </c>
      <c r="I1087" s="29"/>
      <c r="J1087" s="29"/>
      <c r="K1087" s="29"/>
      <c r="L1087" s="30" t="str">
        <f ca="1">IFERROR(__xludf.DUMMYFUNCTION("""COMPUTED_VALUE"""),"No")</f>
        <v>No</v>
      </c>
      <c r="M1087" s="30" t="str">
        <f ca="1">IFERROR(__xludf.DUMMYFUNCTION("""COMPUTED_VALUE"""),"30084160000")</f>
        <v>30084160000</v>
      </c>
      <c r="N1087" s="30" t="str">
        <f ca="1">IFERROR(__xludf.DUMMYFUNCTION("""COMPUTED_VALUE"""),"PARANA")</f>
        <v>PARANA</v>
      </c>
      <c r="O1087" s="30" t="str">
        <f ca="1">IFERROR(__xludf.DUMMYFUNCTION("""COMPUTED_VALUE"""),"3084")</f>
        <v>3084</v>
      </c>
      <c r="P1087" s="30" t="str">
        <f ca="1">IFERROR(__xludf.DUMMYFUNCTION("""COMPUTED_VALUE"""),"PARANÁ")</f>
        <v>PARANÁ</v>
      </c>
      <c r="Q1087" s="30" t="str">
        <f ca="1">IFERROR(__xludf.DUMMYFUNCTION("""COMPUTED_VALUE"""),"-31.74445463")</f>
        <v>-31.74445463</v>
      </c>
      <c r="R1087" s="30" t="str">
        <f ca="1">IFERROR(__xludf.DUMMYFUNCTION("""COMPUTED_VALUE"""),"-60.55415154")</f>
        <v>-60.55415154</v>
      </c>
      <c r="S1087" s="30" t="str">
        <f ca="1">IFERROR(__xludf.DUMMYFUNCTION("""COMPUTED_VALUE"""),"Provincial")</f>
        <v>Provincial</v>
      </c>
      <c r="T1087" s="30" t="str">
        <f ca="1">IFERROR(__xludf.DUMMYFUNCTION("""COMPUTED_VALUE"""),"-")</f>
        <v>-</v>
      </c>
    </row>
    <row r="1088" spans="1:20" ht="15.75" customHeight="1" x14ac:dyDescent="0.25">
      <c r="A1088" s="30" t="str">
        <f ca="1">IFERROR(__xludf.DUMMYFUNCTION("""COMPUTED_VALUE"""),"50300842142501")</f>
        <v>50300842142501</v>
      </c>
      <c r="B1088" s="30" t="str">
        <f ca="1">IFERROR(__xludf.DUMMYFUNCTION("""COMPUTED_VALUE"""),"C.A.P.S.   ANTONINI")</f>
        <v>C.A.P.S.   ANTONINI</v>
      </c>
      <c r="C1088" s="30" t="str">
        <f ca="1">IFERROR(__xludf.DUMMYFUNCTION("""COMPUTED_VALUE"""),"Entre Ríos")</f>
        <v>Entre Ríos</v>
      </c>
      <c r="D1088" s="30" t="str">
        <f ca="1">IFERROR(__xludf.DUMMYFUNCTION("""COMPUTED_VALUE"""),"30")</f>
        <v>30</v>
      </c>
      <c r="E1088" s="30" t="str">
        <f ca="1">IFERROR(__xludf.DUMMYFUNCTION("""COMPUTED_VALUE"""),"")</f>
        <v/>
      </c>
      <c r="F1088" s="29"/>
      <c r="G1088" s="29"/>
      <c r="H1088" s="30" t="str">
        <f ca="1">IFERROR(__xludf.DUMMYFUNCTION("""COMPUTED_VALUE"""),"inactivo")</f>
        <v>inactivo</v>
      </c>
      <c r="I1088" s="29"/>
      <c r="J1088" s="29"/>
      <c r="K1088" s="29"/>
      <c r="L1088" s="30" t="str">
        <f ca="1">IFERROR(__xludf.DUMMYFUNCTION("""COMPUTED_VALUE"""),"No")</f>
        <v>No</v>
      </c>
      <c r="M1088" s="30" t="str">
        <f ca="1">IFERROR(__xludf.DUMMYFUNCTION("""COMPUTED_VALUE"""),"30084160000")</f>
        <v>30084160000</v>
      </c>
      <c r="N1088" s="30" t="str">
        <f ca="1">IFERROR(__xludf.DUMMYFUNCTION("""COMPUTED_VALUE"""),"PARANA")</f>
        <v>PARANA</v>
      </c>
      <c r="O1088" s="30" t="str">
        <f ca="1">IFERROR(__xludf.DUMMYFUNCTION("""COMPUTED_VALUE"""),"3084")</f>
        <v>3084</v>
      </c>
      <c r="P1088" s="30" t="str">
        <f ca="1">IFERROR(__xludf.DUMMYFUNCTION("""COMPUTED_VALUE"""),"PARANÁ")</f>
        <v>PARANÁ</v>
      </c>
      <c r="Q1088" s="30" t="str">
        <f ca="1">IFERROR(__xludf.DUMMYFUNCTION("""COMPUTED_VALUE"""),"-31.75054422")</f>
        <v>-31.75054422</v>
      </c>
      <c r="R1088" s="30" t="str">
        <f ca="1">IFERROR(__xludf.DUMMYFUNCTION("""COMPUTED_VALUE"""),"-60.53126693")</f>
        <v>-60.53126693</v>
      </c>
      <c r="S1088" s="30" t="str">
        <f ca="1">IFERROR(__xludf.DUMMYFUNCTION("""COMPUTED_VALUE"""),"Provincial")</f>
        <v>Provincial</v>
      </c>
      <c r="T1088" s="30" t="str">
        <f ca="1">IFERROR(__xludf.DUMMYFUNCTION("""COMPUTED_VALUE"""),"-")</f>
        <v>-</v>
      </c>
    </row>
    <row r="1089" spans="1:20" ht="15.75" customHeight="1" x14ac:dyDescent="0.25">
      <c r="A1089" s="30" t="str">
        <f ca="1">IFERROR(__xludf.DUMMYFUNCTION("""COMPUTED_VALUE"""),"50300842242611")</f>
        <v>50300842242611</v>
      </c>
      <c r="B1089" s="30" t="str">
        <f ca="1">IFERROR(__xludf.DUMMYFUNCTION("""COMPUTED_VALUE"""),"CENTRO DE SALUD DR. RAMON CARRILLO")</f>
        <v>CENTRO DE SALUD DR. RAMON CARRILLO</v>
      </c>
      <c r="C1089" s="30" t="str">
        <f ca="1">IFERROR(__xludf.DUMMYFUNCTION("""COMPUTED_VALUE"""),"Entre Ríos")</f>
        <v>Entre Ríos</v>
      </c>
      <c r="D1089" s="30" t="str">
        <f ca="1">IFERROR(__xludf.DUMMYFUNCTION("""COMPUTED_VALUE"""),"30")</f>
        <v>30</v>
      </c>
      <c r="E1089" s="30" t="str">
        <f ca="1">IFERROR(__xludf.DUMMYFUNCTION("""COMPUTED_VALUE"""),"")</f>
        <v/>
      </c>
      <c r="F1089" s="29"/>
      <c r="G1089" s="29"/>
      <c r="H1089" s="30" t="str">
        <f ca="1">IFERROR(__xludf.DUMMYFUNCTION("""COMPUTED_VALUE"""),"activo")</f>
        <v>activo</v>
      </c>
      <c r="I1089" s="29"/>
      <c r="J1089" s="29"/>
      <c r="K1089" s="29"/>
      <c r="L1089" s="30" t="str">
        <f ca="1">IFERROR(__xludf.DUMMYFUNCTION("""COMPUTED_VALUE"""),"No")</f>
        <v>No</v>
      </c>
      <c r="M1089" s="30" t="str">
        <f ca="1">IFERROR(__xludf.DUMMYFUNCTION("""COMPUTED_VALUE"""),"30084270000")</f>
        <v>30084270000</v>
      </c>
      <c r="N1089" s="30" t="str">
        <f ca="1">IFERROR(__xludf.DUMMYFUNCTION("""COMPUTED_VALUE"""),"VIALE")</f>
        <v>VIALE</v>
      </c>
      <c r="O1089" s="30" t="str">
        <f ca="1">IFERROR(__xludf.DUMMYFUNCTION("""COMPUTED_VALUE"""),"3084")</f>
        <v>3084</v>
      </c>
      <c r="P1089" s="30" t="str">
        <f ca="1">IFERROR(__xludf.DUMMYFUNCTION("""COMPUTED_VALUE"""),"PARANÁ")</f>
        <v>PARANÁ</v>
      </c>
      <c r="Q1089" s="30" t="str">
        <f ca="1">IFERROR(__xludf.DUMMYFUNCTION("""COMPUTED_VALUE"""),"-31.86904786")</f>
        <v>-31.86904786</v>
      </c>
      <c r="R1089" s="30" t="str">
        <f ca="1">IFERROR(__xludf.DUMMYFUNCTION("""COMPUTED_VALUE"""),"-59.99795794")</f>
        <v>-59.99795794</v>
      </c>
      <c r="S1089" s="30" t="str">
        <f ca="1">IFERROR(__xludf.DUMMYFUNCTION("""COMPUTED_VALUE"""),"Municipal")</f>
        <v>Municipal</v>
      </c>
      <c r="T1089" s="29"/>
    </row>
    <row r="1090" spans="1:20" ht="15.75" customHeight="1" x14ac:dyDescent="0.25">
      <c r="A1090" s="30" t="str">
        <f ca="1">IFERROR(__xludf.DUMMYFUNCTION("""COMPUTED_VALUE"""),"50300882142334")</f>
        <v>50300882142334</v>
      </c>
      <c r="B1090" s="30" t="str">
        <f ca="1">IFERROR(__xludf.DUMMYFUNCTION("""COMPUTED_VALUE"""),"C.A.P.S. PANCHO RAMIREZ (SAN SALVADOR)")</f>
        <v>C.A.P.S. PANCHO RAMIREZ (SAN SALVADOR)</v>
      </c>
      <c r="C1090" s="30" t="str">
        <f ca="1">IFERROR(__xludf.DUMMYFUNCTION("""COMPUTED_VALUE"""),"Entre Ríos")</f>
        <v>Entre Ríos</v>
      </c>
      <c r="D1090" s="30" t="str">
        <f ca="1">IFERROR(__xludf.DUMMYFUNCTION("""COMPUTED_VALUE"""),"30")</f>
        <v>30</v>
      </c>
      <c r="E1090" s="30" t="str">
        <f ca="1">IFERROR(__xludf.DUMMYFUNCTION("""COMPUTED_VALUE"""),"")</f>
        <v/>
      </c>
      <c r="F1090" s="29"/>
      <c r="G1090" s="29"/>
      <c r="H1090" s="30" t="str">
        <f ca="1">IFERROR(__xludf.DUMMYFUNCTION("""COMPUTED_VALUE"""),"activo")</f>
        <v>activo</v>
      </c>
      <c r="I1090" s="29"/>
      <c r="J1090" s="29"/>
      <c r="K1090" s="29"/>
      <c r="L1090" s="30" t="str">
        <f ca="1">IFERROR(__xludf.DUMMYFUNCTION("""COMPUTED_VALUE"""),"No")</f>
        <v>No</v>
      </c>
      <c r="M1090" s="30" t="str">
        <f ca="1">IFERROR(__xludf.DUMMYFUNCTION("""COMPUTED_VALUE"""),"30088020000")</f>
        <v>30088020000</v>
      </c>
      <c r="N1090" s="30" t="str">
        <f ca="1">IFERROR(__xludf.DUMMYFUNCTION("""COMPUTED_VALUE"""),"SAN SALVADOR")</f>
        <v>SAN SALVADOR</v>
      </c>
      <c r="O1090" s="30" t="str">
        <f ca="1">IFERROR(__xludf.DUMMYFUNCTION("""COMPUTED_VALUE"""),"3088")</f>
        <v>3088</v>
      </c>
      <c r="P1090" s="30" t="str">
        <f ca="1">IFERROR(__xludf.DUMMYFUNCTION("""COMPUTED_VALUE"""),"SAN SALVADOR")</f>
        <v>SAN SALVADOR</v>
      </c>
      <c r="Q1090" s="30" t="str">
        <f ca="1">IFERROR(__xludf.DUMMYFUNCTION("""COMPUTED_VALUE"""),"-31.61985799")</f>
        <v>-31.61985799</v>
      </c>
      <c r="R1090" s="30" t="str">
        <f ca="1">IFERROR(__xludf.DUMMYFUNCTION("""COMPUTED_VALUE"""),"-58.510378")</f>
        <v>-58.510378</v>
      </c>
      <c r="S1090" s="30" t="str">
        <f ca="1">IFERROR(__xludf.DUMMYFUNCTION("""COMPUTED_VALUE"""),"Provincial")</f>
        <v>Provincial</v>
      </c>
      <c r="T1090" s="30" t="str">
        <f ca="1">IFERROR(__xludf.DUMMYFUNCTION("""COMPUTED_VALUE"""),"-")</f>
        <v>-</v>
      </c>
    </row>
    <row r="1091" spans="1:20" ht="15.75" customHeight="1" x14ac:dyDescent="0.25">
      <c r="A1091" s="30" t="str">
        <f ca="1">IFERROR(__xludf.DUMMYFUNCTION("""COMPUTED_VALUE"""),"10300422142043")</f>
        <v>10300422142043</v>
      </c>
      <c r="B1091" s="30" t="str">
        <f ca="1">IFERROR(__xludf.DUMMYFUNCTION("""COMPUTED_VALUE"""),"HOSPITAL FRANCISCO RAMIREZ")</f>
        <v>HOSPITAL FRANCISCO RAMIREZ</v>
      </c>
      <c r="C1091" s="30" t="str">
        <f ca="1">IFERROR(__xludf.DUMMYFUNCTION("""COMPUTED_VALUE"""),"Entre Ríos")</f>
        <v>Entre Ríos</v>
      </c>
      <c r="D1091" s="30" t="str">
        <f ca="1">IFERROR(__xludf.DUMMYFUNCTION("""COMPUTED_VALUE"""),"30")</f>
        <v>30</v>
      </c>
      <c r="E1091" s="30" t="str">
        <f ca="1">IFERROR(__xludf.DUMMYFUNCTION("""COMPUTED_VALUE"""),"")</f>
        <v/>
      </c>
      <c r="F1091" s="29"/>
      <c r="G1091" s="29"/>
      <c r="H1091" s="30" t="str">
        <f ca="1">IFERROR(__xludf.DUMMYFUNCTION("""COMPUTED_VALUE"""),"activo")</f>
        <v>activo</v>
      </c>
      <c r="I1091" s="29"/>
      <c r="J1091" s="29"/>
      <c r="K1091" s="29"/>
      <c r="L1091" s="30" t="str">
        <f ca="1">IFERROR(__xludf.DUMMYFUNCTION("""COMPUTED_VALUE"""),"No")</f>
        <v>No</v>
      </c>
      <c r="M1091" s="30" t="str">
        <f ca="1">IFERROR(__xludf.DUMMYFUNCTION("""COMPUTED_VALUE"""),"30042010000")</f>
        <v>30042010000</v>
      </c>
      <c r="N1091" s="30" t="str">
        <f ca="1">IFERROR(__xludf.DUMMYFUNCTION("""COMPUTED_VALUE"""),"SAN JOSE DE FELICIANO")</f>
        <v>SAN JOSE DE FELICIANO</v>
      </c>
      <c r="O1091" s="30" t="str">
        <f ca="1">IFERROR(__xludf.DUMMYFUNCTION("""COMPUTED_VALUE"""),"3042")</f>
        <v>3042</v>
      </c>
      <c r="P1091" s="30" t="str">
        <f ca="1">IFERROR(__xludf.DUMMYFUNCTION("""COMPUTED_VALUE"""),"FELICIANO")</f>
        <v>FELICIANO</v>
      </c>
      <c r="Q1091" s="30" t="str">
        <f ca="1">IFERROR(__xludf.DUMMYFUNCTION("""COMPUTED_VALUE"""),"-30.38675409")</f>
        <v>-30.38675409</v>
      </c>
      <c r="R1091" s="30" t="str">
        <f ca="1">IFERROR(__xludf.DUMMYFUNCTION("""COMPUTED_VALUE"""),"-58.74147177")</f>
        <v>-58.74147177</v>
      </c>
      <c r="S1091" s="30" t="str">
        <f ca="1">IFERROR(__xludf.DUMMYFUNCTION("""COMPUTED_VALUE"""),"Provincial")</f>
        <v>Provincial</v>
      </c>
      <c r="T1091" s="30" t="str">
        <f ca="1">IFERROR(__xludf.DUMMYFUNCTION("""COMPUTED_VALUE"""),"-")</f>
        <v>-</v>
      </c>
    </row>
    <row r="1092" spans="1:20" ht="15.75" customHeight="1" x14ac:dyDescent="0.25">
      <c r="A1092" s="30" t="str">
        <f ca="1">IFERROR(__xludf.DUMMYFUNCTION("""COMPUTED_VALUE"""),"50300982142184")</f>
        <v>50300982142184</v>
      </c>
      <c r="B1092" s="30" t="str">
        <f ca="1">IFERROR(__xludf.DUMMYFUNCTION("""COMPUTED_VALUE"""),"C.A.P.S.  BARRIO PUEBLO NUEVO")</f>
        <v>C.A.P.S.  BARRIO PUEBLO NUEVO</v>
      </c>
      <c r="C1092" s="30" t="str">
        <f ca="1">IFERROR(__xludf.DUMMYFUNCTION("""COMPUTED_VALUE"""),"Entre Ríos")</f>
        <v>Entre Ríos</v>
      </c>
      <c r="D1092" s="30" t="str">
        <f ca="1">IFERROR(__xludf.DUMMYFUNCTION("""COMPUTED_VALUE"""),"30")</f>
        <v>30</v>
      </c>
      <c r="E1092" s="30" t="str">
        <f ca="1">IFERROR(__xludf.DUMMYFUNCTION("""COMPUTED_VALUE"""),"")</f>
        <v/>
      </c>
      <c r="F1092" s="29"/>
      <c r="G1092" s="29"/>
      <c r="H1092" s="30" t="str">
        <f ca="1">IFERROR(__xludf.DUMMYFUNCTION("""COMPUTED_VALUE"""),"activo")</f>
        <v>activo</v>
      </c>
      <c r="I1092" s="29"/>
      <c r="J1092" s="29"/>
      <c r="K1092" s="29"/>
      <c r="L1092" s="30" t="str">
        <f ca="1">IFERROR(__xludf.DUMMYFUNCTION("""COMPUTED_VALUE"""),"No")</f>
        <v>No</v>
      </c>
      <c r="M1092" s="30" t="str">
        <f ca="1">IFERROR(__xludf.DUMMYFUNCTION("""COMPUTED_VALUE"""),"30098010000")</f>
        <v>30098010000</v>
      </c>
      <c r="N1092" s="30" t="str">
        <f ca="1">IFERROR(__xludf.DUMMYFUNCTION("""COMPUTED_VALUE"""),"BASAVILBASO")</f>
        <v>BASAVILBASO</v>
      </c>
      <c r="O1092" s="30" t="str">
        <f ca="1">IFERROR(__xludf.DUMMYFUNCTION("""COMPUTED_VALUE"""),"3098")</f>
        <v>3098</v>
      </c>
      <c r="P1092" s="30" t="str">
        <f ca="1">IFERROR(__xludf.DUMMYFUNCTION("""COMPUTED_VALUE"""),"URUGUAY")</f>
        <v>URUGUAY</v>
      </c>
      <c r="Q1092" s="30" t="str">
        <f ca="1">IFERROR(__xludf.DUMMYFUNCTION("""COMPUTED_VALUE"""),"-32.37918677")</f>
        <v>-32.37918677</v>
      </c>
      <c r="R1092" s="30" t="str">
        <f ca="1">IFERROR(__xludf.DUMMYFUNCTION("""COMPUTED_VALUE"""),"-58.86732638")</f>
        <v>-58.86732638</v>
      </c>
      <c r="S1092" s="30" t="str">
        <f ca="1">IFERROR(__xludf.DUMMYFUNCTION("""COMPUTED_VALUE"""),"Provincial")</f>
        <v>Provincial</v>
      </c>
      <c r="T1092" s="30" t="str">
        <f ca="1">IFERROR(__xludf.DUMMYFUNCTION("""COMPUTED_VALUE"""),"-")</f>
        <v>-</v>
      </c>
    </row>
    <row r="1093" spans="1:20" ht="15.75" customHeight="1" x14ac:dyDescent="0.25">
      <c r="A1093" s="30" t="str">
        <f ca="1">IFERROR(__xludf.DUMMYFUNCTION("""COMPUTED_VALUE"""),"50300982142187")</f>
        <v>50300982142187</v>
      </c>
      <c r="B1093" s="30" t="str">
        <f ca="1">IFERROR(__xludf.DUMMYFUNCTION("""COMPUTED_VALUE"""),"CA.P.S.  BARTOLOME GIACOMOTTI")</f>
        <v>CA.P.S.  BARTOLOME GIACOMOTTI</v>
      </c>
      <c r="C1093" s="30" t="str">
        <f ca="1">IFERROR(__xludf.DUMMYFUNCTION("""COMPUTED_VALUE"""),"Entre Ríos")</f>
        <v>Entre Ríos</v>
      </c>
      <c r="D1093" s="30" t="str">
        <f ca="1">IFERROR(__xludf.DUMMYFUNCTION("""COMPUTED_VALUE"""),"30")</f>
        <v>30</v>
      </c>
      <c r="E1093" s="30" t="str">
        <f ca="1">IFERROR(__xludf.DUMMYFUNCTION("""COMPUTED_VALUE"""),"")</f>
        <v/>
      </c>
      <c r="F1093" s="29"/>
      <c r="G1093" s="29"/>
      <c r="H1093" s="30" t="str">
        <f ca="1">IFERROR(__xludf.DUMMYFUNCTION("""COMPUTED_VALUE"""),"activo")</f>
        <v>activo</v>
      </c>
      <c r="I1093" s="29"/>
      <c r="J1093" s="29"/>
      <c r="K1093" s="29"/>
      <c r="L1093" s="30" t="str">
        <f ca="1">IFERROR(__xludf.DUMMYFUNCTION("""COMPUTED_VALUE"""),"No")</f>
        <v>No</v>
      </c>
      <c r="M1093" s="30" t="str">
        <f ca="1">IFERROR(__xludf.DUMMYFUNCTION("""COMPUTED_VALUE"""),"30098040000")</f>
        <v>30098040000</v>
      </c>
      <c r="N1093" s="30" t="str">
        <f ca="1">IFERROR(__xludf.DUMMYFUNCTION("""COMPUTED_VALUE"""),"CONCEPCION DEL URUGUAY")</f>
        <v>CONCEPCION DEL URUGUAY</v>
      </c>
      <c r="O1093" s="30" t="str">
        <f ca="1">IFERROR(__xludf.DUMMYFUNCTION("""COMPUTED_VALUE"""),"3098")</f>
        <v>3098</v>
      </c>
      <c r="P1093" s="30" t="str">
        <f ca="1">IFERROR(__xludf.DUMMYFUNCTION("""COMPUTED_VALUE"""),"URUGUAY")</f>
        <v>URUGUAY</v>
      </c>
      <c r="Q1093" s="30" t="str">
        <f ca="1">IFERROR(__xludf.DUMMYFUNCTION("""COMPUTED_VALUE"""),"-32.47097072")</f>
        <v>-32.47097072</v>
      </c>
      <c r="R1093" s="30" t="str">
        <f ca="1">IFERROR(__xludf.DUMMYFUNCTION("""COMPUTED_VALUE"""),"-58.23551059")</f>
        <v>-58.23551059</v>
      </c>
      <c r="S1093" s="30" t="str">
        <f ca="1">IFERROR(__xludf.DUMMYFUNCTION("""COMPUTED_VALUE"""),"Provincial")</f>
        <v>Provincial</v>
      </c>
      <c r="T1093" s="30" t="str">
        <f ca="1">IFERROR(__xludf.DUMMYFUNCTION("""COMPUTED_VALUE"""),"-")</f>
        <v>-</v>
      </c>
    </row>
    <row r="1094" spans="1:20" ht="15.75" customHeight="1" x14ac:dyDescent="0.25">
      <c r="A1094" s="30" t="str">
        <f ca="1">IFERROR(__xludf.DUMMYFUNCTION("""COMPUTED_VALUE"""),"50300982142423")</f>
        <v>50300982142423</v>
      </c>
      <c r="B1094" s="30" t="str">
        <f ca="1">IFERROR(__xludf.DUMMYFUNCTION("""COMPUTED_VALUE"""),"CIC CONCEPCION DEL URUGUAY")</f>
        <v>CIC CONCEPCION DEL URUGUAY</v>
      </c>
      <c r="C1094" s="30" t="str">
        <f ca="1">IFERROR(__xludf.DUMMYFUNCTION("""COMPUTED_VALUE"""),"Entre Ríos")</f>
        <v>Entre Ríos</v>
      </c>
      <c r="D1094" s="30" t="str">
        <f ca="1">IFERROR(__xludf.DUMMYFUNCTION("""COMPUTED_VALUE"""),"30")</f>
        <v>30</v>
      </c>
      <c r="E1094" s="30" t="str">
        <f ca="1">IFERROR(__xludf.DUMMYFUNCTION("""COMPUTED_VALUE"""),"")</f>
        <v/>
      </c>
      <c r="F1094" s="29"/>
      <c r="G1094" s="29"/>
      <c r="H1094" s="30" t="str">
        <f ca="1">IFERROR(__xludf.DUMMYFUNCTION("""COMPUTED_VALUE"""),"activo")</f>
        <v>activo</v>
      </c>
      <c r="I1094" s="29"/>
      <c r="J1094" s="29"/>
      <c r="K1094" s="29"/>
      <c r="L1094" s="30" t="str">
        <f ca="1">IFERROR(__xludf.DUMMYFUNCTION("""COMPUTED_VALUE"""),"No")</f>
        <v>No</v>
      </c>
      <c r="M1094" s="30" t="str">
        <f ca="1">IFERROR(__xludf.DUMMYFUNCTION("""COMPUTED_VALUE"""),"30098040000")</f>
        <v>30098040000</v>
      </c>
      <c r="N1094" s="30" t="str">
        <f ca="1">IFERROR(__xludf.DUMMYFUNCTION("""COMPUTED_VALUE"""),"CONCEPCION DEL URUGUAY")</f>
        <v>CONCEPCION DEL URUGUAY</v>
      </c>
      <c r="O1094" s="30" t="str">
        <f ca="1">IFERROR(__xludf.DUMMYFUNCTION("""COMPUTED_VALUE"""),"3098")</f>
        <v>3098</v>
      </c>
      <c r="P1094" s="30" t="str">
        <f ca="1">IFERROR(__xludf.DUMMYFUNCTION("""COMPUTED_VALUE"""),"URUGUAY")</f>
        <v>URUGUAY</v>
      </c>
      <c r="Q1094" s="30" t="str">
        <f ca="1">IFERROR(__xludf.DUMMYFUNCTION("""COMPUTED_VALUE"""),"-32.47376308")</f>
        <v>-32.47376308</v>
      </c>
      <c r="R1094" s="30" t="str">
        <f ca="1">IFERROR(__xludf.DUMMYFUNCTION("""COMPUTED_VALUE"""),"-58.25112104")</f>
        <v>-58.25112104</v>
      </c>
      <c r="S1094" s="30" t="str">
        <f ca="1">IFERROR(__xludf.DUMMYFUNCTION("""COMPUTED_VALUE"""),"Municipal")</f>
        <v>Municipal</v>
      </c>
      <c r="T1094" s="29"/>
    </row>
    <row r="1095" spans="1:20" ht="15.75" customHeight="1" x14ac:dyDescent="0.25">
      <c r="A1095" s="30" t="str">
        <f ca="1">IFERROR(__xludf.DUMMYFUNCTION("""COMPUTED_VALUE"""),"50300982142475")</f>
        <v>50300982142475</v>
      </c>
      <c r="B1095" s="30" t="str">
        <f ca="1">IFERROR(__xludf.DUMMYFUNCTION("""COMPUTED_VALUE"""),"C.A.P.S.  LAS MONTONERAS")</f>
        <v>C.A.P.S.  LAS MONTONERAS</v>
      </c>
      <c r="C1095" s="30" t="str">
        <f ca="1">IFERROR(__xludf.DUMMYFUNCTION("""COMPUTED_VALUE"""),"Entre Ríos")</f>
        <v>Entre Ríos</v>
      </c>
      <c r="D1095" s="30" t="str">
        <f ca="1">IFERROR(__xludf.DUMMYFUNCTION("""COMPUTED_VALUE"""),"30")</f>
        <v>30</v>
      </c>
      <c r="E1095" s="30" t="str">
        <f ca="1">IFERROR(__xludf.DUMMYFUNCTION("""COMPUTED_VALUE"""),"")</f>
        <v/>
      </c>
      <c r="F1095" s="29"/>
      <c r="G1095" s="29"/>
      <c r="H1095" s="30" t="str">
        <f ca="1">IFERROR(__xludf.DUMMYFUNCTION("""COMPUTED_VALUE"""),"inactivo")</f>
        <v>inactivo</v>
      </c>
      <c r="I1095" s="29"/>
      <c r="J1095" s="29"/>
      <c r="K1095" s="29"/>
      <c r="L1095" s="30" t="str">
        <f ca="1">IFERROR(__xludf.DUMMYFUNCTION("""COMPUTED_VALUE"""),"No")</f>
        <v>No</v>
      </c>
      <c r="M1095" s="30" t="str">
        <f ca="1">IFERROR(__xludf.DUMMYFUNCTION("""COMPUTED_VALUE"""),"30098100000")</f>
        <v>30098100000</v>
      </c>
      <c r="N1095" s="30" t="str">
        <f ca="1">IFERROR(__xludf.DUMMYFUNCTION("""COMPUTED_VALUE"""),"PRONUNCIAMIENTO")</f>
        <v>PRONUNCIAMIENTO</v>
      </c>
      <c r="O1095" s="30" t="str">
        <f ca="1">IFERROR(__xludf.DUMMYFUNCTION("""COMPUTED_VALUE"""),"3098")</f>
        <v>3098</v>
      </c>
      <c r="P1095" s="30" t="str">
        <f ca="1">IFERROR(__xludf.DUMMYFUNCTION("""COMPUTED_VALUE"""),"URUGUAY")</f>
        <v>URUGUAY</v>
      </c>
      <c r="Q1095" s="30" t="str">
        <f ca="1">IFERROR(__xludf.DUMMYFUNCTION("""COMPUTED_VALUE"""),"-32.34655768")</f>
        <v>-32.34655768</v>
      </c>
      <c r="R1095" s="30" t="str">
        <f ca="1">IFERROR(__xludf.DUMMYFUNCTION("""COMPUTED_VALUE"""),"-58.4455061")</f>
        <v>-58.4455061</v>
      </c>
      <c r="S1095" s="30" t="str">
        <f ca="1">IFERROR(__xludf.DUMMYFUNCTION("""COMPUTED_VALUE"""),"Provincial")</f>
        <v>Provincial</v>
      </c>
      <c r="T1095" s="30" t="str">
        <f ca="1">IFERROR(__xludf.DUMMYFUNCTION("""COMPUTED_VALUE"""),"-")</f>
        <v>-</v>
      </c>
    </row>
    <row r="1096" spans="1:20" ht="15.75" customHeight="1" x14ac:dyDescent="0.25">
      <c r="A1096" s="30" t="str">
        <f ca="1">IFERROR(__xludf.DUMMYFUNCTION("""COMPUTED_VALUE"""),"50301132242673")</f>
        <v>50301132242673</v>
      </c>
      <c r="B1096" s="30" t="str">
        <f ca="1">IFERROR(__xludf.DUMMYFUNCTION("""COMPUTED_VALUE"""),"CENTRO INTEGRADOR COMUNITARIO CIC BARRIO DON BOSCO")</f>
        <v>CENTRO INTEGRADOR COMUNITARIO CIC BARRIO DON BOSCO</v>
      </c>
      <c r="C1096" s="30" t="str">
        <f ca="1">IFERROR(__xludf.DUMMYFUNCTION("""COMPUTED_VALUE"""),"Entre Ríos")</f>
        <v>Entre Ríos</v>
      </c>
      <c r="D1096" s="30" t="str">
        <f ca="1">IFERROR(__xludf.DUMMYFUNCTION("""COMPUTED_VALUE"""),"30")</f>
        <v>30</v>
      </c>
      <c r="E1096" s="30" t="str">
        <f ca="1">IFERROR(__xludf.DUMMYFUNCTION("""COMPUTED_VALUE"""),"si")</f>
        <v>si</v>
      </c>
      <c r="F1096" s="29"/>
      <c r="G1096" s="29"/>
      <c r="H1096" s="30" t="str">
        <f ca="1">IFERROR(__xludf.DUMMYFUNCTION("""COMPUTED_VALUE"""),"activo")</f>
        <v>activo</v>
      </c>
      <c r="I1096" s="29"/>
      <c r="J1096" s="29"/>
      <c r="K1096" s="29"/>
      <c r="L1096" s="30" t="str">
        <f ca="1">IFERROR(__xludf.DUMMYFUNCTION("""COMPUTED_VALUE"""),"No")</f>
        <v>No</v>
      </c>
      <c r="M1096" s="30" t="str">
        <f ca="1">IFERROR(__xludf.DUMMYFUNCTION("""COMPUTED_VALUE"""),"30113080000")</f>
        <v>30113080000</v>
      </c>
      <c r="N1096" s="30" t="str">
        <f ca="1">IFERROR(__xludf.DUMMYFUNCTION("""COMPUTED_VALUE"""),"VILLAGUAY")</f>
        <v>VILLAGUAY</v>
      </c>
      <c r="O1096" s="30" t="str">
        <f ca="1">IFERROR(__xludf.DUMMYFUNCTION("""COMPUTED_VALUE"""),"30113")</f>
        <v>30113</v>
      </c>
      <c r="P1096" s="30" t="str">
        <f ca="1">IFERROR(__xludf.DUMMYFUNCTION("""COMPUTED_VALUE"""),"VILLAGUAY")</f>
        <v>VILLAGUAY</v>
      </c>
      <c r="Q1096" s="30" t="str">
        <f ca="1">IFERROR(__xludf.DUMMYFUNCTION("""COMPUTED_VALUE"""),"-31.8635261")</f>
        <v>-31.8635261</v>
      </c>
      <c r="R1096" s="30" t="str">
        <f ca="1">IFERROR(__xludf.DUMMYFUNCTION("""COMPUTED_VALUE"""),"-59.04085994")</f>
        <v>-59.04085994</v>
      </c>
      <c r="S1096" s="30" t="str">
        <f ca="1">IFERROR(__xludf.DUMMYFUNCTION("""COMPUTED_VALUE"""),"Municipal")</f>
        <v>Municipal</v>
      </c>
      <c r="T1096" s="29"/>
    </row>
    <row r="1097" spans="1:20" ht="15.75" customHeight="1" x14ac:dyDescent="0.25">
      <c r="A1097" s="30" t="str">
        <f ca="1">IFERROR(__xludf.DUMMYFUNCTION("""COMPUTED_VALUE"""),"50300492142400")</f>
        <v>50300492142400</v>
      </c>
      <c r="B1097" s="30" t="str">
        <f ca="1">IFERROR(__xludf.DUMMYFUNCTION("""COMPUTED_VALUE"""),"CENTRO INTEGRADOR COMUNITARIO - CIC 1")</f>
        <v>CENTRO INTEGRADOR COMUNITARIO - CIC 1</v>
      </c>
      <c r="C1097" s="30" t="str">
        <f ca="1">IFERROR(__xludf.DUMMYFUNCTION("""COMPUTED_VALUE"""),"Entre Ríos")</f>
        <v>Entre Ríos</v>
      </c>
      <c r="D1097" s="30" t="str">
        <f ca="1">IFERROR(__xludf.DUMMYFUNCTION("""COMPUTED_VALUE"""),"30")</f>
        <v>30</v>
      </c>
      <c r="E1097" s="30" t="str">
        <f ca="1">IFERROR(__xludf.DUMMYFUNCTION("""COMPUTED_VALUE"""),"")</f>
        <v/>
      </c>
      <c r="F1097" s="29"/>
      <c r="G1097" s="29"/>
      <c r="H1097" s="30" t="str">
        <f ca="1">IFERROR(__xludf.DUMMYFUNCTION("""COMPUTED_VALUE"""),"activo")</f>
        <v>activo</v>
      </c>
      <c r="I1097" s="29"/>
      <c r="J1097" s="29"/>
      <c r="K1097" s="29"/>
      <c r="L1097" s="30" t="str">
        <f ca="1">IFERROR(__xludf.DUMMYFUNCTION("""COMPUTED_VALUE"""),"No")</f>
        <v>No</v>
      </c>
      <c r="M1097" s="30" t="str">
        <f ca="1">IFERROR(__xludf.DUMMYFUNCTION("""COMPUTED_VALUE"""),"30049040000")</f>
        <v>30049040000</v>
      </c>
      <c r="N1097" s="30" t="str">
        <f ca="1">IFERROR(__xludf.DUMMYFUNCTION("""COMPUTED_VALUE"""),"GUALEGUAY")</f>
        <v>GUALEGUAY</v>
      </c>
      <c r="O1097" s="30" t="str">
        <f ca="1">IFERROR(__xludf.DUMMYFUNCTION("""COMPUTED_VALUE"""),"3049")</f>
        <v>3049</v>
      </c>
      <c r="P1097" s="30" t="str">
        <f ca="1">IFERROR(__xludf.DUMMYFUNCTION("""COMPUTED_VALUE"""),"GUALEGUAY")</f>
        <v>GUALEGUAY</v>
      </c>
      <c r="Q1097" s="30" t="str">
        <f ca="1">IFERROR(__xludf.DUMMYFUNCTION("""COMPUTED_VALUE"""),"-33.15156496")</f>
        <v>-33.15156496</v>
      </c>
      <c r="R1097" s="30" t="str">
        <f ca="1">IFERROR(__xludf.DUMMYFUNCTION("""COMPUTED_VALUE"""),"-59.32825327")</f>
        <v>-59.32825327</v>
      </c>
      <c r="S1097" s="30" t="str">
        <f ca="1">IFERROR(__xludf.DUMMYFUNCTION("""COMPUTED_VALUE"""),"Municipal")</f>
        <v>Municipal</v>
      </c>
      <c r="T1097" s="29"/>
    </row>
    <row r="1098" spans="1:20" ht="15.75" customHeight="1" x14ac:dyDescent="0.25">
      <c r="A1098" s="30" t="str">
        <f ca="1">IFERROR(__xludf.DUMMYFUNCTION("""COMPUTED_VALUE"""),"50300842142244")</f>
        <v>50300842142244</v>
      </c>
      <c r="B1098" s="30" t="str">
        <f ca="1">IFERROR(__xludf.DUMMYFUNCTION("""COMPUTED_VALUE"""),"C.A.P.S.  DR. JUAN JOSE ELBERG")</f>
        <v>C.A.P.S.  DR. JUAN JOSE ELBERG</v>
      </c>
      <c r="C1098" s="30" t="str">
        <f ca="1">IFERROR(__xludf.DUMMYFUNCTION("""COMPUTED_VALUE"""),"Entre Ríos")</f>
        <v>Entre Ríos</v>
      </c>
      <c r="D1098" s="30" t="str">
        <f ca="1">IFERROR(__xludf.DUMMYFUNCTION("""COMPUTED_VALUE"""),"30")</f>
        <v>30</v>
      </c>
      <c r="E1098" s="30" t="str">
        <f ca="1">IFERROR(__xludf.DUMMYFUNCTION("""COMPUTED_VALUE"""),"")</f>
        <v/>
      </c>
      <c r="F1098" s="29"/>
      <c r="G1098" s="29"/>
      <c r="H1098" s="30" t="str">
        <f ca="1">IFERROR(__xludf.DUMMYFUNCTION("""COMPUTED_VALUE"""),"activo")</f>
        <v>activo</v>
      </c>
      <c r="I1098" s="30" t="str">
        <f ca="1">IFERROR(__xludf.DUMMYFUNCTION("""COMPUTED_VALUE"""),"incluido en la circular nro 2")</f>
        <v>incluido en la circular nro 2</v>
      </c>
      <c r="J1098" s="29"/>
      <c r="K1098" s="29"/>
      <c r="L1098" s="30" t="str">
        <f ca="1">IFERROR(__xludf.DUMMYFUNCTION("""COMPUTED_VALUE"""),"No")</f>
        <v>No</v>
      </c>
      <c r="M1098" s="30" t="str">
        <f ca="1">IFERROR(__xludf.DUMMYFUNCTION("""COMPUTED_VALUE"""),"30084090000")</f>
        <v>30084090000</v>
      </c>
      <c r="N1098" s="30" t="str">
        <f ca="1">IFERROR(__xludf.DUMMYFUNCTION("""COMPUTED_VALUE"""),"EL PINGO")</f>
        <v>EL PINGO</v>
      </c>
      <c r="O1098" s="30" t="str">
        <f ca="1">IFERROR(__xludf.DUMMYFUNCTION("""COMPUTED_VALUE"""),"3084")</f>
        <v>3084</v>
      </c>
      <c r="P1098" s="30" t="str">
        <f ca="1">IFERROR(__xludf.DUMMYFUNCTION("""COMPUTED_VALUE"""),"PARANÁ")</f>
        <v>PARANÁ</v>
      </c>
      <c r="Q1098" s="30" t="str">
        <f ca="1">IFERROR(__xludf.DUMMYFUNCTION("""COMPUTED_VALUE"""),"-31.58047245")</f>
        <v>-31.58047245</v>
      </c>
      <c r="R1098" s="30" t="str">
        <f ca="1">IFERROR(__xludf.DUMMYFUNCTION("""COMPUTED_VALUE"""),"-59.88931787")</f>
        <v>-59.88931787</v>
      </c>
      <c r="S1098" s="30" t="str">
        <f ca="1">IFERROR(__xludf.DUMMYFUNCTION("""COMPUTED_VALUE"""),"Provincial")</f>
        <v>Provincial</v>
      </c>
      <c r="T1098" s="30" t="str">
        <f ca="1">IFERROR(__xludf.DUMMYFUNCTION("""COMPUTED_VALUE"""),"-")</f>
        <v>-</v>
      </c>
    </row>
    <row r="1099" spans="1:20" ht="15.75" customHeight="1" x14ac:dyDescent="0.25">
      <c r="A1099" s="30" t="str">
        <f ca="1">IFERROR(__xludf.DUMMYFUNCTION("""COMPUTED_VALUE"""),"50300842142344")</f>
        <v>50300842142344</v>
      </c>
      <c r="B1099" s="30" t="str">
        <f ca="1">IFERROR(__xludf.DUMMYFUNCTION("""COMPUTED_VALUE"""),"C.A.P.S.   PUERTO VIEJO")</f>
        <v>C.A.P.S.   PUERTO VIEJO</v>
      </c>
      <c r="C1099" s="30" t="str">
        <f ca="1">IFERROR(__xludf.DUMMYFUNCTION("""COMPUTED_VALUE"""),"Entre Ríos")</f>
        <v>Entre Ríos</v>
      </c>
      <c r="D1099" s="30" t="str">
        <f ca="1">IFERROR(__xludf.DUMMYFUNCTION("""COMPUTED_VALUE"""),"30")</f>
        <v>30</v>
      </c>
      <c r="E1099" s="30" t="str">
        <f ca="1">IFERROR(__xludf.DUMMYFUNCTION("""COMPUTED_VALUE"""),"")</f>
        <v/>
      </c>
      <c r="F1099" s="29"/>
      <c r="G1099" s="29"/>
      <c r="H1099" s="30" t="str">
        <f ca="1">IFERROR(__xludf.DUMMYFUNCTION("""COMPUTED_VALUE"""),"activo")</f>
        <v>activo</v>
      </c>
      <c r="I1099" s="30" t="str">
        <f ca="1">IFERROR(__xludf.DUMMYFUNCTION("""COMPUTED_VALUE"""),"incluido en la circular nro 2")</f>
        <v>incluido en la circular nro 2</v>
      </c>
      <c r="J1099" s="29"/>
      <c r="K1099" s="29"/>
      <c r="L1099" s="30" t="str">
        <f ca="1">IFERROR(__xludf.DUMMYFUNCTION("""COMPUTED_VALUE"""),"No")</f>
        <v>No</v>
      </c>
      <c r="M1099" s="30" t="str">
        <f ca="1">IFERROR(__xludf.DUMMYFUNCTION("""COMPUTED_VALUE"""),"30084160000")</f>
        <v>30084160000</v>
      </c>
      <c r="N1099" s="30" t="str">
        <f ca="1">IFERROR(__xludf.DUMMYFUNCTION("""COMPUTED_VALUE"""),"PARANA")</f>
        <v>PARANA</v>
      </c>
      <c r="O1099" s="30" t="str">
        <f ca="1">IFERROR(__xludf.DUMMYFUNCTION("""COMPUTED_VALUE"""),"3084")</f>
        <v>3084</v>
      </c>
      <c r="P1099" s="30" t="str">
        <f ca="1">IFERROR(__xludf.DUMMYFUNCTION("""COMPUTED_VALUE"""),"PARANÁ")</f>
        <v>PARANÁ</v>
      </c>
      <c r="Q1099" s="30" t="str">
        <f ca="1">IFERROR(__xludf.DUMMYFUNCTION("""COMPUTED_VALUE"""),"-31.71487043")</f>
        <v>-31.71487043</v>
      </c>
      <c r="R1099" s="30" t="str">
        <f ca="1">IFERROR(__xludf.DUMMYFUNCTION("""COMPUTED_VALUE"""),"-60.54111063")</f>
        <v>-60.54111063</v>
      </c>
      <c r="S1099" s="30" t="str">
        <f ca="1">IFERROR(__xludf.DUMMYFUNCTION("""COMPUTED_VALUE"""),"Provincial")</f>
        <v>Provincial</v>
      </c>
      <c r="T1099" s="30" t="str">
        <f ca="1">IFERROR(__xludf.DUMMYFUNCTION("""COMPUTED_VALUE"""),"-")</f>
        <v>-</v>
      </c>
    </row>
    <row r="1100" spans="1:20" ht="15.75" customHeight="1" x14ac:dyDescent="0.25">
      <c r="A1100" s="30" t="str">
        <f ca="1">IFERROR(__xludf.DUMMYFUNCTION("""COMPUTED_VALUE"""),"50300842142203")</f>
        <v>50300842142203</v>
      </c>
      <c r="B1100" s="30" t="str">
        <f ca="1">IFERROR(__xludf.DUMMYFUNCTION("""COMPUTED_VALUE"""),"C.A.P.S. CECILIA GRIERSON")</f>
        <v>C.A.P.S. CECILIA GRIERSON</v>
      </c>
      <c r="C1100" s="30" t="str">
        <f ca="1">IFERROR(__xludf.DUMMYFUNCTION("""COMPUTED_VALUE"""),"Entre Ríos")</f>
        <v>Entre Ríos</v>
      </c>
      <c r="D1100" s="30" t="str">
        <f ca="1">IFERROR(__xludf.DUMMYFUNCTION("""COMPUTED_VALUE"""),"30")</f>
        <v>30</v>
      </c>
      <c r="E1100" s="30" t="str">
        <f ca="1">IFERROR(__xludf.DUMMYFUNCTION("""COMPUTED_VALUE"""),"")</f>
        <v/>
      </c>
      <c r="F1100" s="29"/>
      <c r="G1100" s="29"/>
      <c r="H1100" s="30" t="str">
        <f ca="1">IFERROR(__xludf.DUMMYFUNCTION("""COMPUTED_VALUE"""),"activo")</f>
        <v>activo</v>
      </c>
      <c r="I1100" s="30" t="str">
        <f ca="1">IFERROR(__xludf.DUMMYFUNCTION("""COMPUTED_VALUE"""),"incluido en la circular nro 2")</f>
        <v>incluido en la circular nro 2</v>
      </c>
      <c r="J1100" s="29"/>
      <c r="K1100" s="29"/>
      <c r="L1100" s="30" t="str">
        <f ca="1">IFERROR(__xludf.DUMMYFUNCTION("""COMPUTED_VALUE"""),"No")</f>
        <v>No</v>
      </c>
      <c r="M1100" s="30" t="str">
        <f ca="1">IFERROR(__xludf.DUMMYFUNCTION("""COMPUTED_VALUE"""),"30084160000")</f>
        <v>30084160000</v>
      </c>
      <c r="N1100" s="30" t="str">
        <f ca="1">IFERROR(__xludf.DUMMYFUNCTION("""COMPUTED_VALUE"""),"PARANA")</f>
        <v>PARANA</v>
      </c>
      <c r="O1100" s="30" t="str">
        <f ca="1">IFERROR(__xludf.DUMMYFUNCTION("""COMPUTED_VALUE"""),"3084")</f>
        <v>3084</v>
      </c>
      <c r="P1100" s="30" t="str">
        <f ca="1">IFERROR(__xludf.DUMMYFUNCTION("""COMPUTED_VALUE"""),"PARANÁ")</f>
        <v>PARANÁ</v>
      </c>
      <c r="Q1100" s="30" t="str">
        <f ca="1">IFERROR(__xludf.DUMMYFUNCTION("""COMPUTED_VALUE"""),"-31.73392512")</f>
        <v>-31.73392512</v>
      </c>
      <c r="R1100" s="30" t="str">
        <f ca="1">IFERROR(__xludf.DUMMYFUNCTION("""COMPUTED_VALUE"""),"-60.49675226")</f>
        <v>-60.49675226</v>
      </c>
      <c r="S1100" s="30" t="str">
        <f ca="1">IFERROR(__xludf.DUMMYFUNCTION("""COMPUTED_VALUE"""),"Provincial")</f>
        <v>Provincial</v>
      </c>
      <c r="T1100" s="30" t="str">
        <f ca="1">IFERROR(__xludf.DUMMYFUNCTION("""COMPUTED_VALUE"""),"-")</f>
        <v>-</v>
      </c>
    </row>
    <row r="1101" spans="1:20" ht="15.75" customHeight="1" x14ac:dyDescent="0.25">
      <c r="A1101" s="30" t="str">
        <f ca="1">IFERROR(__xludf.DUMMYFUNCTION("""COMPUTED_VALUE"""),"50300842142304")</f>
        <v>50300842142304</v>
      </c>
      <c r="B1101" s="30" t="str">
        <f ca="1">IFERROR(__xludf.DUMMYFUNCTION("""COMPUTED_VALUE"""),"C.A.P.S.  MANUEL BELGRANO")</f>
        <v>C.A.P.S.  MANUEL BELGRANO</v>
      </c>
      <c r="C1101" s="30" t="str">
        <f ca="1">IFERROR(__xludf.DUMMYFUNCTION("""COMPUTED_VALUE"""),"Entre Ríos")</f>
        <v>Entre Ríos</v>
      </c>
      <c r="D1101" s="30" t="str">
        <f ca="1">IFERROR(__xludf.DUMMYFUNCTION("""COMPUTED_VALUE"""),"30")</f>
        <v>30</v>
      </c>
      <c r="E1101" s="30" t="str">
        <f ca="1">IFERROR(__xludf.DUMMYFUNCTION("""COMPUTED_VALUE"""),"")</f>
        <v/>
      </c>
      <c r="F1101" s="29"/>
      <c r="G1101" s="29"/>
      <c r="H1101" s="30" t="str">
        <f ca="1">IFERROR(__xludf.DUMMYFUNCTION("""COMPUTED_VALUE"""),"activo")</f>
        <v>activo</v>
      </c>
      <c r="I1101" s="30" t="str">
        <f ca="1">IFERROR(__xludf.DUMMYFUNCTION("""COMPUTED_VALUE"""),"incluido en la circular nro 2")</f>
        <v>incluido en la circular nro 2</v>
      </c>
      <c r="J1101" s="29"/>
      <c r="K1101" s="29"/>
      <c r="L1101" s="30" t="str">
        <f ca="1">IFERROR(__xludf.DUMMYFUNCTION("""COMPUTED_VALUE"""),"No")</f>
        <v>No</v>
      </c>
      <c r="M1101" s="30" t="str">
        <f ca="1">IFERROR(__xludf.DUMMYFUNCTION("""COMPUTED_VALUE"""),"30084160000")</f>
        <v>30084160000</v>
      </c>
      <c r="N1101" s="30" t="str">
        <f ca="1">IFERROR(__xludf.DUMMYFUNCTION("""COMPUTED_VALUE"""),"PARANA")</f>
        <v>PARANA</v>
      </c>
      <c r="O1101" s="30" t="str">
        <f ca="1">IFERROR(__xludf.DUMMYFUNCTION("""COMPUTED_VALUE"""),"3084")</f>
        <v>3084</v>
      </c>
      <c r="P1101" s="30" t="str">
        <f ca="1">IFERROR(__xludf.DUMMYFUNCTION("""COMPUTED_VALUE"""),"PARANÁ")</f>
        <v>PARANÁ</v>
      </c>
      <c r="Q1101" s="30" t="str">
        <f ca="1">IFERROR(__xludf.DUMMYFUNCTION("""COMPUTED_VALUE"""),"-31.74856026")</f>
        <v>-31.74856026</v>
      </c>
      <c r="R1101" s="30" t="str">
        <f ca="1">IFERROR(__xludf.DUMMYFUNCTION("""COMPUTED_VALUE"""),"-60.52837014")</f>
        <v>-60.52837014</v>
      </c>
      <c r="S1101" s="30" t="str">
        <f ca="1">IFERROR(__xludf.DUMMYFUNCTION("""COMPUTED_VALUE"""),"Provincial")</f>
        <v>Provincial</v>
      </c>
      <c r="T1101" s="30" t="str">
        <f ca="1">IFERROR(__xludf.DUMMYFUNCTION("""COMPUTED_VALUE"""),"-")</f>
        <v>-</v>
      </c>
    </row>
    <row r="1102" spans="1:20" ht="15.75" customHeight="1" x14ac:dyDescent="0.25">
      <c r="A1102" s="30" t="str">
        <f ca="1">IFERROR(__xludf.DUMMYFUNCTION("""COMPUTED_VALUE"""),"50300702142175")</f>
        <v>50300702142175</v>
      </c>
      <c r="B1102" s="30" t="str">
        <f ca="1">IFERROR(__xludf.DUMMYFUNCTION("""COMPUTED_VALUE"""),"CAPS ATILIO CAMINITTI")</f>
        <v>CAPS ATILIO CAMINITTI</v>
      </c>
      <c r="C1102" s="30" t="str">
        <f ca="1">IFERROR(__xludf.DUMMYFUNCTION("""COMPUTED_VALUE"""),"Entre Ríos")</f>
        <v>Entre Ríos</v>
      </c>
      <c r="D1102" s="30" t="str">
        <f ca="1">IFERROR(__xludf.DUMMYFUNCTION("""COMPUTED_VALUE"""),"30")</f>
        <v>30</v>
      </c>
      <c r="E1102" s="30" t="str">
        <f ca="1">IFERROR(__xludf.DUMMYFUNCTION("""COMPUTED_VALUE"""),"")</f>
        <v/>
      </c>
      <c r="F1102" s="29"/>
      <c r="G1102" s="29"/>
      <c r="H1102" s="30" t="str">
        <f ca="1">IFERROR(__xludf.DUMMYFUNCTION("""COMPUTED_VALUE"""),"activo")</f>
        <v>activo</v>
      </c>
      <c r="I1102" s="30" t="str">
        <f ca="1">IFERROR(__xludf.DUMMYFUNCTION("""COMPUTED_VALUE"""),"incluido en la circular nro 2")</f>
        <v>incluido en la circular nro 2</v>
      </c>
      <c r="J1102" s="29"/>
      <c r="K1102" s="29"/>
      <c r="L1102" s="30" t="str">
        <f ca="1">IFERROR(__xludf.DUMMYFUNCTION("""COMPUTED_VALUE"""),"No")</f>
        <v>No</v>
      </c>
      <c r="M1102" s="30" t="str">
        <f ca="1">IFERROR(__xludf.DUMMYFUNCTION("""COMPUTED_VALUE"""),"30070040000")</f>
        <v>30070040000</v>
      </c>
      <c r="N1102" s="30" t="str">
        <f ca="1">IFERROR(__xludf.DUMMYFUNCTION("""COMPUTED_VALUE"""),"LA PAZ")</f>
        <v>LA PAZ</v>
      </c>
      <c r="O1102" s="30" t="str">
        <f ca="1">IFERROR(__xludf.DUMMYFUNCTION("""COMPUTED_VALUE"""),"3070")</f>
        <v>3070</v>
      </c>
      <c r="P1102" s="30" t="str">
        <f ca="1">IFERROR(__xludf.DUMMYFUNCTION("""COMPUTED_VALUE"""),"LA PAZ")</f>
        <v>LA PAZ</v>
      </c>
      <c r="Q1102" s="30" t="str">
        <f ca="1">IFERROR(__xludf.DUMMYFUNCTION("""COMPUTED_VALUE"""),"-30.74306674")</f>
        <v>-30.74306674</v>
      </c>
      <c r="R1102" s="30" t="str">
        <f ca="1">IFERROR(__xludf.DUMMYFUNCTION("""COMPUTED_VALUE"""),"-59.6465081")</f>
        <v>-59.6465081</v>
      </c>
      <c r="S1102" s="30" t="str">
        <f ca="1">IFERROR(__xludf.DUMMYFUNCTION("""COMPUTED_VALUE"""),"Municipal")</f>
        <v>Municipal</v>
      </c>
      <c r="T1102" s="29"/>
    </row>
    <row r="1103" spans="1:20" ht="15.75" customHeight="1" x14ac:dyDescent="0.25">
      <c r="A1103" s="30" t="str">
        <f ca="1">IFERROR(__xludf.DUMMYFUNCTION("""COMPUTED_VALUE"""),"50300702243357")</f>
        <v>50300702243357</v>
      </c>
      <c r="B1103" s="30" t="str">
        <f ca="1">IFERROR(__xludf.DUMMYFUNCTION("""COMPUTED_VALUE"""),"CAPS MUNICIPAL SAN PANTALEON")</f>
        <v>CAPS MUNICIPAL SAN PANTALEON</v>
      </c>
      <c r="C1103" s="30" t="str">
        <f ca="1">IFERROR(__xludf.DUMMYFUNCTION("""COMPUTED_VALUE"""),"Entre Ríos")</f>
        <v>Entre Ríos</v>
      </c>
      <c r="D1103" s="30" t="str">
        <f ca="1">IFERROR(__xludf.DUMMYFUNCTION("""COMPUTED_VALUE"""),"30")</f>
        <v>30</v>
      </c>
      <c r="E1103" s="30" t="str">
        <f ca="1">IFERROR(__xludf.DUMMYFUNCTION("""COMPUTED_VALUE"""),"")</f>
        <v/>
      </c>
      <c r="F1103" s="29"/>
      <c r="G1103" s="29"/>
      <c r="H1103" s="30" t="str">
        <f ca="1">IFERROR(__xludf.DUMMYFUNCTION("""COMPUTED_VALUE"""),"activo")</f>
        <v>activo</v>
      </c>
      <c r="I1103" s="30" t="str">
        <f ca="1">IFERROR(__xludf.DUMMYFUNCTION("""COMPUTED_VALUE"""),"incluido en la circular nro 2")</f>
        <v>incluido en la circular nro 2</v>
      </c>
      <c r="J1103" s="29"/>
      <c r="K1103" s="29"/>
      <c r="L1103" s="30" t="str">
        <f ca="1">IFERROR(__xludf.DUMMYFUNCTION("""COMPUTED_VALUE"""),"No")</f>
        <v>No</v>
      </c>
      <c r="M1103" s="30" t="str">
        <f ca="1">IFERROR(__xludf.DUMMYFUNCTION("""COMPUTED_VALUE"""),"30070010000")</f>
        <v>30070010000</v>
      </c>
      <c r="N1103" s="30" t="str">
        <f ca="1">IFERROR(__xludf.DUMMYFUNCTION("""COMPUTED_VALUE"""),"BOVRIL")</f>
        <v>BOVRIL</v>
      </c>
      <c r="O1103" s="30" t="str">
        <f ca="1">IFERROR(__xludf.DUMMYFUNCTION("""COMPUTED_VALUE"""),"3070")</f>
        <v>3070</v>
      </c>
      <c r="P1103" s="30" t="str">
        <f ca="1">IFERROR(__xludf.DUMMYFUNCTION("""COMPUTED_VALUE"""),"LA PAZ")</f>
        <v>LA PAZ</v>
      </c>
      <c r="Q1103" s="30" t="str">
        <f ca="1">IFERROR(__xludf.DUMMYFUNCTION("""COMPUTED_VALUE"""),"-31.33635558")</f>
        <v>-31.33635558</v>
      </c>
      <c r="R1103" s="30" t="str">
        <f ca="1">IFERROR(__xludf.DUMMYFUNCTION("""COMPUTED_VALUE"""),"-59.4414854")</f>
        <v>-59.4414854</v>
      </c>
      <c r="S1103" s="30" t="str">
        <f ca="1">IFERROR(__xludf.DUMMYFUNCTION("""COMPUTED_VALUE"""),"Municipal")</f>
        <v>Municipal</v>
      </c>
      <c r="T1103" s="29"/>
    </row>
    <row r="1104" spans="1:20" ht="15.75" customHeight="1" x14ac:dyDescent="0.25">
      <c r="A1104" s="30" t="str">
        <f ca="1">IFERROR(__xludf.DUMMYFUNCTION("""COMPUTED_VALUE"""),"50300562142451")</f>
        <v>50300562142451</v>
      </c>
      <c r="B1104" s="30" t="str">
        <f ca="1">IFERROR(__xludf.DUMMYFUNCTION("""COMPUTED_VALUE"""),"DISPENSARIO Nº 1 - PUEBLO NUEVO")</f>
        <v>DISPENSARIO Nº 1 - PUEBLO NUEVO</v>
      </c>
      <c r="C1104" s="30" t="str">
        <f ca="1">IFERROR(__xludf.DUMMYFUNCTION("""COMPUTED_VALUE"""),"Entre Ríos")</f>
        <v>Entre Ríos</v>
      </c>
      <c r="D1104" s="30" t="str">
        <f ca="1">IFERROR(__xludf.DUMMYFUNCTION("""COMPUTED_VALUE"""),"30")</f>
        <v>30</v>
      </c>
      <c r="E1104" s="30" t="str">
        <f ca="1">IFERROR(__xludf.DUMMYFUNCTION("""COMPUTED_VALUE"""),"")</f>
        <v/>
      </c>
      <c r="F1104" s="29"/>
      <c r="G1104" s="29"/>
      <c r="H1104" s="30" t="str">
        <f ca="1">IFERROR(__xludf.DUMMYFUNCTION("""COMPUTED_VALUE"""),"activo")</f>
        <v>activo</v>
      </c>
      <c r="I1104" s="30" t="str">
        <f ca="1">IFERROR(__xludf.DUMMYFUNCTION("""COMPUTED_VALUE"""),"incluido en la circular nro 2")</f>
        <v>incluido en la circular nro 2</v>
      </c>
      <c r="J1104" s="29"/>
      <c r="K1104" s="29"/>
      <c r="L1104" s="30" t="str">
        <f ca="1">IFERROR(__xludf.DUMMYFUNCTION("""COMPUTED_VALUE"""),"No")</f>
        <v>No</v>
      </c>
      <c r="M1104" s="30" t="str">
        <f ca="1">IFERROR(__xludf.DUMMYFUNCTION("""COMPUTED_VALUE"""),"30056070000")</f>
        <v>30056070000</v>
      </c>
      <c r="N1104" s="30" t="str">
        <f ca="1">IFERROR(__xludf.DUMMYFUNCTION("""COMPUTED_VALUE"""),"GUALEGUAYCHU")</f>
        <v>GUALEGUAYCHU</v>
      </c>
      <c r="O1104" s="30" t="str">
        <f ca="1">IFERROR(__xludf.DUMMYFUNCTION("""COMPUTED_VALUE"""),"3056")</f>
        <v>3056</v>
      </c>
      <c r="P1104" s="30" t="str">
        <f ca="1">IFERROR(__xludf.DUMMYFUNCTION("""COMPUTED_VALUE"""),"GUALEGUAYCHÚ")</f>
        <v>GUALEGUAYCHÚ</v>
      </c>
      <c r="Q1104" s="30" t="str">
        <f ca="1">IFERROR(__xludf.DUMMYFUNCTION("""COMPUTED_VALUE"""),"-33.02119103")</f>
        <v>-33.02119103</v>
      </c>
      <c r="R1104" s="30" t="str">
        <f ca="1">IFERROR(__xludf.DUMMYFUNCTION("""COMPUTED_VALUE"""),"-58.51556001")</f>
        <v>-58.51556001</v>
      </c>
      <c r="S1104" s="30" t="str">
        <f ca="1">IFERROR(__xludf.DUMMYFUNCTION("""COMPUTED_VALUE"""),"Municipal")</f>
        <v>Municipal</v>
      </c>
      <c r="T1104" s="29"/>
    </row>
    <row r="1105" spans="1:20" ht="15.75" customHeight="1" x14ac:dyDescent="0.25">
      <c r="A1105" s="30" t="str">
        <f ca="1">IFERROR(__xludf.DUMMYFUNCTION("""COMPUTED_VALUE"""),"50300562243351")</f>
        <v>50300562243351</v>
      </c>
      <c r="B1105" s="30" t="str">
        <f ca="1">IFERROR(__xludf.DUMMYFUNCTION("""COMPUTED_VALUE"""),"CAPS LA CUCHILLA")</f>
        <v>CAPS LA CUCHILLA</v>
      </c>
      <c r="C1105" s="30" t="str">
        <f ca="1">IFERROR(__xludf.DUMMYFUNCTION("""COMPUTED_VALUE"""),"Entre Ríos")</f>
        <v>Entre Ríos</v>
      </c>
      <c r="D1105" s="30" t="str">
        <f ca="1">IFERROR(__xludf.DUMMYFUNCTION("""COMPUTED_VALUE"""),"30")</f>
        <v>30</v>
      </c>
      <c r="E1105" s="30" t="str">
        <f ca="1">IFERROR(__xludf.DUMMYFUNCTION("""COMPUTED_VALUE"""),"")</f>
        <v/>
      </c>
      <c r="F1105" s="29"/>
      <c r="G1105" s="29"/>
      <c r="H1105" s="30" t="str">
        <f ca="1">IFERROR(__xludf.DUMMYFUNCTION("""COMPUTED_VALUE"""),"activo")</f>
        <v>activo</v>
      </c>
      <c r="I1105" s="30" t="str">
        <f ca="1">IFERROR(__xludf.DUMMYFUNCTION("""COMPUTED_VALUE"""),"incluido en la circular nro 2")</f>
        <v>incluido en la circular nro 2</v>
      </c>
      <c r="J1105" s="29"/>
      <c r="K1105" s="29"/>
      <c r="L1105" s="30" t="str">
        <f ca="1">IFERROR(__xludf.DUMMYFUNCTION("""COMPUTED_VALUE"""),"No")</f>
        <v>No</v>
      </c>
      <c r="M1105" s="30" t="str">
        <f ca="1">IFERROR(__xludf.DUMMYFUNCTION("""COMPUTED_VALUE"""),"30056070000")</f>
        <v>30056070000</v>
      </c>
      <c r="N1105" s="30" t="str">
        <f ca="1">IFERROR(__xludf.DUMMYFUNCTION("""COMPUTED_VALUE"""),"GUALEGUAYCHU")</f>
        <v>GUALEGUAYCHU</v>
      </c>
      <c r="O1105" s="30" t="str">
        <f ca="1">IFERROR(__xludf.DUMMYFUNCTION("""COMPUTED_VALUE"""),"3056")</f>
        <v>3056</v>
      </c>
      <c r="P1105" s="30" t="str">
        <f ca="1">IFERROR(__xludf.DUMMYFUNCTION("""COMPUTED_VALUE"""),"GUALEGUAYCHÚ")</f>
        <v>GUALEGUAYCHÚ</v>
      </c>
      <c r="Q1105" s="30" t="str">
        <f ca="1">IFERROR(__xludf.DUMMYFUNCTION("""COMPUTED_VALUE"""),"-32.99657959")</f>
        <v>-32.99657959</v>
      </c>
      <c r="R1105" s="30" t="str">
        <f ca="1">IFERROR(__xludf.DUMMYFUNCTION("""COMPUTED_VALUE"""),"-58.51095164")</f>
        <v>-58.51095164</v>
      </c>
      <c r="S1105" s="30" t="str">
        <f ca="1">IFERROR(__xludf.DUMMYFUNCTION("""COMPUTED_VALUE"""),"Municipal")</f>
        <v>Municipal</v>
      </c>
      <c r="T1105" s="29"/>
    </row>
    <row r="1106" spans="1:20" ht="15.75" customHeight="1" x14ac:dyDescent="0.25">
      <c r="A1106" s="30" t="str">
        <f ca="1">IFERROR(__xludf.DUMMYFUNCTION("""COMPUTED_VALUE"""),"50300562142354")</f>
        <v>50300562142354</v>
      </c>
      <c r="B1106" s="30" t="str">
        <f ca="1">IFERROR(__xludf.DUMMYFUNCTION("""COMPUTED_VALUE"""),"CENTRO DE SALUD SAN ISIDRO")</f>
        <v>CENTRO DE SALUD SAN ISIDRO</v>
      </c>
      <c r="C1106" s="30" t="str">
        <f ca="1">IFERROR(__xludf.DUMMYFUNCTION("""COMPUTED_VALUE"""),"Entre Ríos")</f>
        <v>Entre Ríos</v>
      </c>
      <c r="D1106" s="30" t="str">
        <f ca="1">IFERROR(__xludf.DUMMYFUNCTION("""COMPUTED_VALUE"""),"30")</f>
        <v>30</v>
      </c>
      <c r="E1106" s="30" t="str">
        <f ca="1">IFERROR(__xludf.DUMMYFUNCTION("""COMPUTED_VALUE"""),"")</f>
        <v/>
      </c>
      <c r="F1106" s="29"/>
      <c r="G1106" s="29"/>
      <c r="H1106" s="30" t="str">
        <f ca="1">IFERROR(__xludf.DUMMYFUNCTION("""COMPUTED_VALUE"""),"activo")</f>
        <v>activo</v>
      </c>
      <c r="I1106" s="30" t="str">
        <f ca="1">IFERROR(__xludf.DUMMYFUNCTION("""COMPUTED_VALUE"""),"incluido en la circular nro 2")</f>
        <v>incluido en la circular nro 2</v>
      </c>
      <c r="J1106" s="29"/>
      <c r="K1106" s="29"/>
      <c r="L1106" s="30" t="str">
        <f ca="1">IFERROR(__xludf.DUMMYFUNCTION("""COMPUTED_VALUE"""),"No")</f>
        <v>No</v>
      </c>
      <c r="M1106" s="30" t="str">
        <f ca="1">IFERROR(__xludf.DUMMYFUNCTION("""COMPUTED_VALUE"""),"30056070000")</f>
        <v>30056070000</v>
      </c>
      <c r="N1106" s="30" t="str">
        <f ca="1">IFERROR(__xludf.DUMMYFUNCTION("""COMPUTED_VALUE"""),"GUALEGUAYCHU")</f>
        <v>GUALEGUAYCHU</v>
      </c>
      <c r="O1106" s="30" t="str">
        <f ca="1">IFERROR(__xludf.DUMMYFUNCTION("""COMPUTED_VALUE"""),"3056")</f>
        <v>3056</v>
      </c>
      <c r="P1106" s="30" t="str">
        <f ca="1">IFERROR(__xludf.DUMMYFUNCTION("""COMPUTED_VALUE"""),"GUALEGUAYCHÚ")</f>
        <v>GUALEGUAYCHÚ</v>
      </c>
      <c r="Q1106" s="30" t="str">
        <f ca="1">IFERROR(__xludf.DUMMYFUNCTION("""COMPUTED_VALUE"""),"-32.99478443")</f>
        <v>-32.99478443</v>
      </c>
      <c r="R1106" s="30" t="str">
        <f ca="1">IFERROR(__xludf.DUMMYFUNCTION("""COMPUTED_VALUE"""),"-58.52642298")</f>
        <v>-58.52642298</v>
      </c>
      <c r="S1106" s="30" t="str">
        <f ca="1">IFERROR(__xludf.DUMMYFUNCTION("""COMPUTED_VALUE"""),"Municipal")</f>
        <v>Municipal</v>
      </c>
      <c r="T1106" s="29"/>
    </row>
    <row r="1107" spans="1:20" ht="15.75" customHeight="1" x14ac:dyDescent="0.25">
      <c r="A1107" s="30" t="str">
        <f ca="1">IFERROR(__xludf.DUMMYFUNCTION("""COMPUTED_VALUE"""),"10300882142045")</f>
        <v>10300882142045</v>
      </c>
      <c r="B1107" s="30" t="str">
        <f ca="1">IFERROR(__xludf.DUMMYFUNCTION("""COMPUTED_VALUE"""),"HOSPITAL MARIA EVA DUARTE DE PERON")</f>
        <v>HOSPITAL MARIA EVA DUARTE DE PERON</v>
      </c>
      <c r="C1107" s="30" t="str">
        <f ca="1">IFERROR(__xludf.DUMMYFUNCTION("""COMPUTED_VALUE"""),"Entre Ríos")</f>
        <v>Entre Ríos</v>
      </c>
      <c r="D1107" s="30" t="str">
        <f ca="1">IFERROR(__xludf.DUMMYFUNCTION("""COMPUTED_VALUE"""),"30")</f>
        <v>30</v>
      </c>
      <c r="E1107" s="30" t="str">
        <f ca="1">IFERROR(__xludf.DUMMYFUNCTION("""COMPUTED_VALUE"""),"")</f>
        <v/>
      </c>
      <c r="F1107" s="29"/>
      <c r="G1107" s="29"/>
      <c r="H1107" s="30" t="str">
        <f ca="1">IFERROR(__xludf.DUMMYFUNCTION("""COMPUTED_VALUE"""),"activo")</f>
        <v>activo</v>
      </c>
      <c r="I1107" s="30" t="str">
        <f ca="1">IFERROR(__xludf.DUMMYFUNCTION("""COMPUTED_VALUE"""),"incluido en la circular nro 2")</f>
        <v>incluido en la circular nro 2</v>
      </c>
      <c r="J1107" s="29"/>
      <c r="K1107" s="29"/>
      <c r="L1107" s="30" t="str">
        <f ca="1">IFERROR(__xludf.DUMMYFUNCTION("""COMPUTED_VALUE"""),"No")</f>
        <v>No</v>
      </c>
      <c r="M1107" s="30" t="str">
        <f ca="1">IFERROR(__xludf.DUMMYFUNCTION("""COMPUTED_VALUE"""),"30088010000")</f>
        <v>30088010000</v>
      </c>
      <c r="N1107" s="30" t="str">
        <f ca="1">IFERROR(__xludf.DUMMYFUNCTION("""COMPUTED_VALUE"""),"GENERAL CAMPOS")</f>
        <v>GENERAL CAMPOS</v>
      </c>
      <c r="O1107" s="30" t="str">
        <f ca="1">IFERROR(__xludf.DUMMYFUNCTION("""COMPUTED_VALUE"""),"3088")</f>
        <v>3088</v>
      </c>
      <c r="P1107" s="30" t="str">
        <f ca="1">IFERROR(__xludf.DUMMYFUNCTION("""COMPUTED_VALUE"""),"SAN SALVADOR")</f>
        <v>SAN SALVADOR</v>
      </c>
      <c r="Q1107" s="30" t="str">
        <f ca="1">IFERROR(__xludf.DUMMYFUNCTION("""COMPUTED_VALUE"""),"-31.52687868")</f>
        <v>-31.52687868</v>
      </c>
      <c r="R1107" s="30" t="str">
        <f ca="1">IFERROR(__xludf.DUMMYFUNCTION("""COMPUTED_VALUE"""),"-58.40068102")</f>
        <v>-58.40068102</v>
      </c>
      <c r="S1107" s="30" t="str">
        <f ca="1">IFERROR(__xludf.DUMMYFUNCTION("""COMPUTED_VALUE"""),"Provincial")</f>
        <v>Provincial</v>
      </c>
      <c r="T1107" s="30" t="str">
        <f ca="1">IFERROR(__xludf.DUMMYFUNCTION("""COMPUTED_VALUE"""),"-")</f>
        <v>-</v>
      </c>
    </row>
    <row r="1108" spans="1:20" ht="15.75" customHeight="1" x14ac:dyDescent="0.25">
      <c r="A1108" s="30" t="str">
        <f ca="1">IFERROR(__xludf.DUMMYFUNCTION("""COMPUTED_VALUE"""),"50300562142424")</f>
        <v>50300562142424</v>
      </c>
      <c r="B1108" s="30" t="str">
        <f ca="1">IFERROR(__xludf.DUMMYFUNCTION("""COMPUTED_VALUE"""),"CIC N° 7 NESTOR KIRCHNER")</f>
        <v>CIC N° 7 NESTOR KIRCHNER</v>
      </c>
      <c r="C1108" s="30" t="str">
        <f ca="1">IFERROR(__xludf.DUMMYFUNCTION("""COMPUTED_VALUE"""),"Entre Ríos")</f>
        <v>Entre Ríos</v>
      </c>
      <c r="D1108" s="30" t="str">
        <f ca="1">IFERROR(__xludf.DUMMYFUNCTION("""COMPUTED_VALUE"""),"30")</f>
        <v>30</v>
      </c>
      <c r="E1108" s="30" t="str">
        <f ca="1">IFERROR(__xludf.DUMMYFUNCTION("""COMPUTED_VALUE"""),"")</f>
        <v/>
      </c>
      <c r="F1108" s="29"/>
      <c r="G1108" s="29"/>
      <c r="H1108" s="30" t="str">
        <f ca="1">IFERROR(__xludf.DUMMYFUNCTION("""COMPUTED_VALUE"""),"activo")</f>
        <v>activo</v>
      </c>
      <c r="I1108" s="30" t="str">
        <f ca="1">IFERROR(__xludf.DUMMYFUNCTION("""COMPUTED_VALUE"""),"incluido en la circular nro 2")</f>
        <v>incluido en la circular nro 2</v>
      </c>
      <c r="J1108" s="29"/>
      <c r="K1108" s="29"/>
      <c r="L1108" s="30" t="str">
        <f ca="1">IFERROR(__xludf.DUMMYFUNCTION("""COMPUTED_VALUE"""),"No")</f>
        <v>No</v>
      </c>
      <c r="M1108" s="30" t="str">
        <f ca="1">IFERROR(__xludf.DUMMYFUNCTION("""COMPUTED_VALUE"""),"30056070000")</f>
        <v>30056070000</v>
      </c>
      <c r="N1108" s="30" t="str">
        <f ca="1">IFERROR(__xludf.DUMMYFUNCTION("""COMPUTED_VALUE"""),"GUALEGUAYCHU")</f>
        <v>GUALEGUAYCHU</v>
      </c>
      <c r="O1108" s="30" t="str">
        <f ca="1">IFERROR(__xludf.DUMMYFUNCTION("""COMPUTED_VALUE"""),"3056")</f>
        <v>3056</v>
      </c>
      <c r="P1108" s="30" t="str">
        <f ca="1">IFERROR(__xludf.DUMMYFUNCTION("""COMPUTED_VALUE"""),"GUALEGUAYCHÚ")</f>
        <v>GUALEGUAYCHÚ</v>
      </c>
      <c r="Q1108" s="30" t="str">
        <f ca="1">IFERROR(__xludf.DUMMYFUNCTION("""COMPUTED_VALUE"""),"-33.0008177")</f>
        <v>-33.0008177</v>
      </c>
      <c r="R1108" s="30" t="str">
        <f ca="1">IFERROR(__xludf.DUMMYFUNCTION("""COMPUTED_VALUE"""),"-58.5422691")</f>
        <v>-58.5422691</v>
      </c>
      <c r="S1108" s="30" t="str">
        <f ca="1">IFERROR(__xludf.DUMMYFUNCTION("""COMPUTED_VALUE"""),"Municipal")</f>
        <v>Municipal</v>
      </c>
      <c r="T1108" s="29"/>
    </row>
    <row r="1109" spans="1:20" ht="15.75" customHeight="1" x14ac:dyDescent="0.25">
      <c r="A1109" s="30" t="str">
        <f ca="1">IFERROR(__xludf.DUMMYFUNCTION("""COMPUTED_VALUE"""),"50300562142321")</f>
        <v>50300562142321</v>
      </c>
      <c r="B1109" s="30" t="str">
        <f ca="1">IFERROR(__xludf.DUMMYFUNCTION("""COMPUTED_VALUE"""),"CENTRO DE SALUD Nº 2 - SUBURBIO SUR")</f>
        <v>CENTRO DE SALUD Nº 2 - SUBURBIO SUR</v>
      </c>
      <c r="C1109" s="30" t="str">
        <f ca="1">IFERROR(__xludf.DUMMYFUNCTION("""COMPUTED_VALUE"""),"Entre Ríos")</f>
        <v>Entre Ríos</v>
      </c>
      <c r="D1109" s="30" t="str">
        <f ca="1">IFERROR(__xludf.DUMMYFUNCTION("""COMPUTED_VALUE"""),"30")</f>
        <v>30</v>
      </c>
      <c r="E1109" s="30" t="str">
        <f ca="1">IFERROR(__xludf.DUMMYFUNCTION("""COMPUTED_VALUE"""),"")</f>
        <v/>
      </c>
      <c r="F1109" s="29"/>
      <c r="G1109" s="29"/>
      <c r="H1109" s="30" t="str">
        <f ca="1">IFERROR(__xludf.DUMMYFUNCTION("""COMPUTED_VALUE"""),"activo")</f>
        <v>activo</v>
      </c>
      <c r="I1109" s="30" t="str">
        <f ca="1">IFERROR(__xludf.DUMMYFUNCTION("""COMPUTED_VALUE"""),"incluido en la circular nro 2")</f>
        <v>incluido en la circular nro 2</v>
      </c>
      <c r="J1109" s="29"/>
      <c r="K1109" s="29"/>
      <c r="L1109" s="30" t="str">
        <f ca="1">IFERROR(__xludf.DUMMYFUNCTION("""COMPUTED_VALUE"""),"No")</f>
        <v>No</v>
      </c>
      <c r="M1109" s="30" t="str">
        <f ca="1">IFERROR(__xludf.DUMMYFUNCTION("""COMPUTED_VALUE"""),"30056070000")</f>
        <v>30056070000</v>
      </c>
      <c r="N1109" s="30" t="str">
        <f ca="1">IFERROR(__xludf.DUMMYFUNCTION("""COMPUTED_VALUE"""),"GUALEGUAYCHU")</f>
        <v>GUALEGUAYCHU</v>
      </c>
      <c r="O1109" s="30" t="str">
        <f ca="1">IFERROR(__xludf.DUMMYFUNCTION("""COMPUTED_VALUE"""),"3056")</f>
        <v>3056</v>
      </c>
      <c r="P1109" s="30" t="str">
        <f ca="1">IFERROR(__xludf.DUMMYFUNCTION("""COMPUTED_VALUE"""),"GUALEGUAYCHÚ")</f>
        <v>GUALEGUAYCHÚ</v>
      </c>
      <c r="Q1109" s="30" t="str">
        <f ca="1">IFERROR(__xludf.DUMMYFUNCTION("""COMPUTED_VALUE"""),"-33.03189538")</f>
        <v>-33.03189538</v>
      </c>
      <c r="R1109" s="30" t="str">
        <f ca="1">IFERROR(__xludf.DUMMYFUNCTION("""COMPUTED_VALUE"""),"-58.53915273")</f>
        <v>-58.53915273</v>
      </c>
      <c r="S1109" s="30" t="str">
        <f ca="1">IFERROR(__xludf.DUMMYFUNCTION("""COMPUTED_VALUE"""),"Municipal")</f>
        <v>Municipal</v>
      </c>
      <c r="T1109" s="29"/>
    </row>
    <row r="1110" spans="1:20" ht="15.75" customHeight="1" x14ac:dyDescent="0.25">
      <c r="A1110" s="30" t="str">
        <f ca="1">IFERROR(__xludf.DUMMYFUNCTION("""COMPUTED_VALUE"""),"50300152142222")</f>
        <v>50300152142222</v>
      </c>
      <c r="B1110" s="30" t="str">
        <f ca="1">IFERROR(__xludf.DUMMYFUNCTION("""COMPUTED_VALUE"""),"C.A.P.S.  ARTURO ILLIA")</f>
        <v>C.A.P.S.  ARTURO ILLIA</v>
      </c>
      <c r="C1110" s="30" t="str">
        <f ca="1">IFERROR(__xludf.DUMMYFUNCTION("""COMPUTED_VALUE"""),"Entre Ríos")</f>
        <v>Entre Ríos</v>
      </c>
      <c r="D1110" s="30" t="str">
        <f ca="1">IFERROR(__xludf.DUMMYFUNCTION("""COMPUTED_VALUE"""),"30")</f>
        <v>30</v>
      </c>
      <c r="E1110" s="30" t="str">
        <f ca="1">IFERROR(__xludf.DUMMYFUNCTION("""COMPUTED_VALUE"""),"")</f>
        <v/>
      </c>
      <c r="F1110" s="29"/>
      <c r="G1110" s="29"/>
      <c r="H1110" s="30" t="str">
        <f ca="1">IFERROR(__xludf.DUMMYFUNCTION("""COMPUTED_VALUE"""),"activo")</f>
        <v>activo</v>
      </c>
      <c r="I1110" s="30" t="str">
        <f ca="1">IFERROR(__xludf.DUMMYFUNCTION("""COMPUTED_VALUE"""),"incluido en la circular nro 2")</f>
        <v>incluido en la circular nro 2</v>
      </c>
      <c r="J1110" s="29"/>
      <c r="K1110" s="29"/>
      <c r="L1110" s="30" t="str">
        <f ca="1">IFERROR(__xludf.DUMMYFUNCTION("""COMPUTED_VALUE"""),"No")</f>
        <v>No</v>
      </c>
      <c r="M1110" s="30" t="str">
        <f ca="1">IFERROR(__xludf.DUMMYFUNCTION("""COMPUTED_VALUE"""),"30015040000")</f>
        <v>30015040000</v>
      </c>
      <c r="N1110" s="30" t="str">
        <f ca="1">IFERROR(__xludf.DUMMYFUNCTION("""COMPUTED_VALUE"""),"COLONIA GENERAL ROCA")</f>
        <v>COLONIA GENERAL ROCA</v>
      </c>
      <c r="O1110" s="30" t="str">
        <f ca="1">IFERROR(__xludf.DUMMYFUNCTION("""COMPUTED_VALUE"""),"3015")</f>
        <v>3015</v>
      </c>
      <c r="P1110" s="30" t="str">
        <f ca="1">IFERROR(__xludf.DUMMYFUNCTION("""COMPUTED_VALUE"""),"CONCORDIA")</f>
        <v>CONCORDIA</v>
      </c>
      <c r="Q1110" s="30" t="str">
        <f ca="1">IFERROR(__xludf.DUMMYFUNCTION("""COMPUTED_VALUE"""),"-31.3339418")</f>
        <v>-31.3339418</v>
      </c>
      <c r="R1110" s="30" t="str">
        <f ca="1">IFERROR(__xludf.DUMMYFUNCTION("""COMPUTED_VALUE"""),"-58.1065626")</f>
        <v>-58.1065626</v>
      </c>
      <c r="S1110" s="30" t="str">
        <f ca="1">IFERROR(__xludf.DUMMYFUNCTION("""COMPUTED_VALUE"""),"Provincial")</f>
        <v>Provincial</v>
      </c>
      <c r="T1110" s="30" t="str">
        <f ca="1">IFERROR(__xludf.DUMMYFUNCTION("""COMPUTED_VALUE"""),"-")</f>
        <v>-</v>
      </c>
    </row>
    <row r="1111" spans="1:20" ht="15.75" customHeight="1" x14ac:dyDescent="0.25">
      <c r="A1111" s="30" t="str">
        <f ca="1">IFERROR(__xludf.DUMMYFUNCTION("""COMPUTED_VALUE"""),"50300082142317")</f>
        <v>50300082142317</v>
      </c>
      <c r="B1111" s="30" t="str">
        <f ca="1">IFERROR(__xludf.DUMMYFUNCTION("""COMPUTED_VALUE"""),"CENTRO DE SALUD NICOLAS TAVELLA")</f>
        <v>CENTRO DE SALUD NICOLAS TAVELLA</v>
      </c>
      <c r="C1111" s="30" t="str">
        <f ca="1">IFERROR(__xludf.DUMMYFUNCTION("""COMPUTED_VALUE"""),"Entre Ríos")</f>
        <v>Entre Ríos</v>
      </c>
      <c r="D1111" s="30" t="str">
        <f ca="1">IFERROR(__xludf.DUMMYFUNCTION("""COMPUTED_VALUE"""),"30")</f>
        <v>30</v>
      </c>
      <c r="E1111" s="30" t="str">
        <f ca="1">IFERROR(__xludf.DUMMYFUNCTION("""COMPUTED_VALUE"""),"")</f>
        <v/>
      </c>
      <c r="F1111" s="29"/>
      <c r="G1111" s="29"/>
      <c r="H1111" s="30" t="str">
        <f ca="1">IFERROR(__xludf.DUMMYFUNCTION("""COMPUTED_VALUE"""),"activo")</f>
        <v>activo</v>
      </c>
      <c r="I1111" s="30" t="str">
        <f ca="1">IFERROR(__xludf.DUMMYFUNCTION("""COMPUTED_VALUE"""),"incluido en la circular nro 2")</f>
        <v>incluido en la circular nro 2</v>
      </c>
      <c r="J1111" s="29"/>
      <c r="K1111" s="29"/>
      <c r="L1111" s="30" t="str">
        <f ca="1">IFERROR(__xludf.DUMMYFUNCTION("""COMPUTED_VALUE"""),"No")</f>
        <v>No</v>
      </c>
      <c r="M1111" s="30" t="str">
        <f ca="1">IFERROR(__xludf.DUMMYFUNCTION("""COMPUTED_VALUE"""),"30008090003")</f>
        <v>30008090003</v>
      </c>
      <c r="N1111" s="30" t="str">
        <f ca="1">IFERROR(__xludf.DUMMYFUNCTION("""COMPUTED_VALUE"""),"SAN JOSE")</f>
        <v>SAN JOSE</v>
      </c>
      <c r="O1111" s="30" t="str">
        <f ca="1">IFERROR(__xludf.DUMMYFUNCTION("""COMPUTED_VALUE"""),"308")</f>
        <v>308</v>
      </c>
      <c r="P1111" s="30" t="str">
        <f ca="1">IFERROR(__xludf.DUMMYFUNCTION("""COMPUTED_VALUE"""),"COLÓN")</f>
        <v>COLÓN</v>
      </c>
      <c r="Q1111" s="30" t="str">
        <f ca="1">IFERROR(__xludf.DUMMYFUNCTION("""COMPUTED_VALUE"""),"-32.18149592")</f>
        <v>-32.18149592</v>
      </c>
      <c r="R1111" s="30" t="str">
        <f ca="1">IFERROR(__xludf.DUMMYFUNCTION("""COMPUTED_VALUE"""),"-58.2163813")</f>
        <v>-58.2163813</v>
      </c>
      <c r="S1111" s="30" t="str">
        <f ca="1">IFERROR(__xludf.DUMMYFUNCTION("""COMPUTED_VALUE"""),"Municipal")</f>
        <v>Municipal</v>
      </c>
      <c r="T1111" s="29"/>
    </row>
    <row r="1112" spans="1:20" ht="15.75" customHeight="1" x14ac:dyDescent="0.25">
      <c r="A1112" s="30" t="str">
        <f ca="1">IFERROR(__xludf.DUMMYFUNCTION("""COMPUTED_VALUE"""),"50300212142269")</f>
        <v>50300212142269</v>
      </c>
      <c r="B1112" s="30" t="str">
        <f ca="1">IFERROR(__xludf.DUMMYFUNCTION("""COMPUTED_VALUE"""),"C.A.P.S.  GOBERNADOR RAUL URANGA")</f>
        <v>C.A.P.S.  GOBERNADOR RAUL URANGA</v>
      </c>
      <c r="C1112" s="30" t="str">
        <f ca="1">IFERROR(__xludf.DUMMYFUNCTION("""COMPUTED_VALUE"""),"Entre Ríos")</f>
        <v>Entre Ríos</v>
      </c>
      <c r="D1112" s="30" t="str">
        <f ca="1">IFERROR(__xludf.DUMMYFUNCTION("""COMPUTED_VALUE"""),"30")</f>
        <v>30</v>
      </c>
      <c r="E1112" s="30" t="str">
        <f ca="1">IFERROR(__xludf.DUMMYFUNCTION("""COMPUTED_VALUE"""),"")</f>
        <v/>
      </c>
      <c r="F1112" s="29"/>
      <c r="G1112" s="29"/>
      <c r="H1112" s="30" t="str">
        <f ca="1">IFERROR(__xludf.DUMMYFUNCTION("""COMPUTED_VALUE"""),"activo")</f>
        <v>activo</v>
      </c>
      <c r="I1112" s="30" t="str">
        <f ca="1">IFERROR(__xludf.DUMMYFUNCTION("""COMPUTED_VALUE"""),"incluido en la circular nro 2")</f>
        <v>incluido en la circular nro 2</v>
      </c>
      <c r="J1112" s="29"/>
      <c r="K1112" s="29"/>
      <c r="L1112" s="30" t="str">
        <f ca="1">IFERROR(__xludf.DUMMYFUNCTION("""COMPUTED_VALUE"""),"No")</f>
        <v>No</v>
      </c>
      <c r="M1112" s="30" t="str">
        <f ca="1">IFERROR(__xludf.DUMMYFUNCTION("""COMPUTED_VALUE"""),"30021010000")</f>
        <v>30021010000</v>
      </c>
      <c r="N1112" s="30" t="str">
        <f ca="1">IFERROR(__xludf.DUMMYFUNCTION("""COMPUTED_VALUE"""),"ALDEA BRASILERA")</f>
        <v>ALDEA BRASILERA</v>
      </c>
      <c r="O1112" s="30" t="str">
        <f ca="1">IFERROR(__xludf.DUMMYFUNCTION("""COMPUTED_VALUE"""),"3021")</f>
        <v>3021</v>
      </c>
      <c r="P1112" s="30" t="str">
        <f ca="1">IFERROR(__xludf.DUMMYFUNCTION("""COMPUTED_VALUE"""),"DIAMANTE")</f>
        <v>DIAMANTE</v>
      </c>
      <c r="Q1112" s="30" t="str">
        <f ca="1">IFERROR(__xludf.DUMMYFUNCTION("""COMPUTED_VALUE"""),"-31.89003845")</f>
        <v>-31.89003845</v>
      </c>
      <c r="R1112" s="30" t="str">
        <f ca="1">IFERROR(__xludf.DUMMYFUNCTION("""COMPUTED_VALUE"""),"-60.59394479")</f>
        <v>-60.59394479</v>
      </c>
      <c r="S1112" s="30" t="str">
        <f ca="1">IFERROR(__xludf.DUMMYFUNCTION("""COMPUTED_VALUE"""),"Provincial")</f>
        <v>Provincial</v>
      </c>
      <c r="T1112" s="30" t="str">
        <f ca="1">IFERROR(__xludf.DUMMYFUNCTION("""COMPUTED_VALUE"""),"-")</f>
        <v>-</v>
      </c>
    </row>
    <row r="1113" spans="1:20" ht="15.75" customHeight="1" x14ac:dyDescent="0.25">
      <c r="A1113" s="30" t="str">
        <f ca="1">IFERROR(__xludf.DUMMYFUNCTION("""COMPUTED_VALUE"""),"10340352147060")</f>
        <v>10340352147060</v>
      </c>
      <c r="B1113" s="30" t="str">
        <f ca="1">IFERROR(__xludf.DUMMYFUNCTION("""COMPUTED_VALUE"""),"HOSPITAL PROVINCIAL VILLA GENERAL GUEMES")</f>
        <v>HOSPITAL PROVINCIAL VILLA GENERAL GUEMES</v>
      </c>
      <c r="C1113" s="30" t="str">
        <f ca="1">IFERROR(__xludf.DUMMYFUNCTION("""COMPUTED_VALUE"""),"Formosa")</f>
        <v>Formosa</v>
      </c>
      <c r="D1113" s="30" t="str">
        <f ca="1">IFERROR(__xludf.DUMMYFUNCTION("""COMPUTED_VALUE"""),"34")</f>
        <v>34</v>
      </c>
      <c r="E1113" s="30" t="str">
        <f ca="1">IFERROR(__xludf.DUMMYFUNCTION("""COMPUTED_VALUE"""),"")</f>
        <v/>
      </c>
      <c r="F1113" s="29"/>
      <c r="G1113" s="29"/>
      <c r="H1113" s="30" t="str">
        <f ca="1">IFERROR(__xludf.DUMMYFUNCTION("""COMPUTED_VALUE"""),"activo")</f>
        <v>activo</v>
      </c>
      <c r="I1113" s="29"/>
      <c r="J1113" s="29"/>
      <c r="K1113" s="29"/>
      <c r="L1113" s="30" t="str">
        <f ca="1">IFERROR(__xludf.DUMMYFUNCTION("""COMPUTED_VALUE"""),"No")</f>
        <v>No</v>
      </c>
      <c r="M1113" s="30" t="str">
        <f ca="1">IFERROR(__xludf.DUMMYFUNCTION("""COMPUTED_VALUE"""),"34035160000")</f>
        <v>34035160000</v>
      </c>
      <c r="N1113" s="30" t="str">
        <f ca="1">IFERROR(__xludf.DUMMYFUNCTION("""COMPUTED_VALUE"""),"VILLA GENERAL GUEMES")</f>
        <v>VILLA GENERAL GUEMES</v>
      </c>
      <c r="O1113" s="30" t="str">
        <f ca="1">IFERROR(__xludf.DUMMYFUNCTION("""COMPUTED_VALUE"""),"3435")</f>
        <v>3435</v>
      </c>
      <c r="P1113" s="30" t="str">
        <f ca="1">IFERROR(__xludf.DUMMYFUNCTION("""COMPUTED_VALUE"""),"PATIÑO")</f>
        <v>PATIÑO</v>
      </c>
      <c r="Q1113" s="30" t="str">
        <f ca="1">IFERROR(__xludf.DUMMYFUNCTION("""COMPUTED_VALUE"""),"-24.73685348")</f>
        <v>-24.73685348</v>
      </c>
      <c r="R1113" s="30" t="str">
        <f ca="1">IFERROR(__xludf.DUMMYFUNCTION("""COMPUTED_VALUE"""),"-59.49371338")</f>
        <v>-59.49371338</v>
      </c>
      <c r="S1113" s="30" t="str">
        <f ca="1">IFERROR(__xludf.DUMMYFUNCTION("""COMPUTED_VALUE"""),"Provincial")</f>
        <v>Provincial</v>
      </c>
      <c r="T1113" s="30" t="str">
        <f ca="1">IFERROR(__xludf.DUMMYFUNCTION("""COMPUTED_VALUE"""),"-")</f>
        <v>-</v>
      </c>
    </row>
    <row r="1114" spans="1:20" ht="15.75" customHeight="1" x14ac:dyDescent="0.25">
      <c r="A1114" s="30" t="str">
        <f ca="1">IFERROR(__xludf.DUMMYFUNCTION("""COMPUTED_VALUE"""),"10340422147058")</f>
        <v>10340422147058</v>
      </c>
      <c r="B1114" s="30" t="str">
        <f ca="1">IFERROR(__xludf.DUMMYFUNCTION("""COMPUTED_VALUE"""),"HOSPITAL PROVINCIAL TRES LAGUNAS")</f>
        <v>HOSPITAL PROVINCIAL TRES LAGUNAS</v>
      </c>
      <c r="C1114" s="30" t="str">
        <f ca="1">IFERROR(__xludf.DUMMYFUNCTION("""COMPUTED_VALUE"""),"Formosa")</f>
        <v>Formosa</v>
      </c>
      <c r="D1114" s="30" t="str">
        <f ca="1">IFERROR(__xludf.DUMMYFUNCTION("""COMPUTED_VALUE"""),"34")</f>
        <v>34</v>
      </c>
      <c r="E1114" s="30" t="str">
        <f ca="1">IFERROR(__xludf.DUMMYFUNCTION("""COMPUTED_VALUE"""),"")</f>
        <v/>
      </c>
      <c r="F1114" s="29"/>
      <c r="G1114" s="29"/>
      <c r="H1114" s="30" t="str">
        <f ca="1">IFERROR(__xludf.DUMMYFUNCTION("""COMPUTED_VALUE"""),"activo")</f>
        <v>activo</v>
      </c>
      <c r="I1114" s="29"/>
      <c r="J1114" s="29"/>
      <c r="K1114" s="29"/>
      <c r="L1114" s="30" t="str">
        <f ca="1">IFERROR(__xludf.DUMMYFUNCTION("""COMPUTED_VALUE"""),"No")</f>
        <v>No</v>
      </c>
      <c r="M1114" s="30" t="str">
        <f ca="1">IFERROR(__xludf.DUMMYFUNCTION("""COMPUTED_VALUE"""),"34042060000")</f>
        <v>34042060000</v>
      </c>
      <c r="N1114" s="30" t="str">
        <f ca="1">IFERROR(__xludf.DUMMYFUNCTION("""COMPUTED_VALUE"""),"TRES LAGUNAS")</f>
        <v>TRES LAGUNAS</v>
      </c>
      <c r="O1114" s="30" t="str">
        <f ca="1">IFERROR(__xludf.DUMMYFUNCTION("""COMPUTED_VALUE"""),"3442")</f>
        <v>3442</v>
      </c>
      <c r="P1114" s="30" t="str">
        <f ca="1">IFERROR(__xludf.DUMMYFUNCTION("""COMPUTED_VALUE"""),"PILAGÁS")</f>
        <v>PILAGÁS</v>
      </c>
      <c r="Q1114" s="30" t="str">
        <f ca="1">IFERROR(__xludf.DUMMYFUNCTION("""COMPUTED_VALUE"""),"-25.217")</f>
        <v>-25.217</v>
      </c>
      <c r="R1114" s="30" t="str">
        <f ca="1">IFERROR(__xludf.DUMMYFUNCTION("""COMPUTED_VALUE"""),"-58.511")</f>
        <v>-58.511</v>
      </c>
      <c r="S1114" s="30" t="str">
        <f ca="1">IFERROR(__xludf.DUMMYFUNCTION("""COMPUTED_VALUE"""),"Provincial")</f>
        <v>Provincial</v>
      </c>
      <c r="T1114" s="30" t="str">
        <f ca="1">IFERROR(__xludf.DUMMYFUNCTION("""COMPUTED_VALUE"""),"-")</f>
        <v>-</v>
      </c>
    </row>
    <row r="1115" spans="1:20" ht="15.75" customHeight="1" x14ac:dyDescent="0.25">
      <c r="A1115" s="30" t="str">
        <f ca="1">IFERROR(__xludf.DUMMYFUNCTION("""COMPUTED_VALUE"""),"10340492147039")</f>
        <v>10340492147039</v>
      </c>
      <c r="B1115" s="30" t="str">
        <f ca="1">IFERROR(__xludf.DUMMYFUNCTION("""COMPUTED_VALUE"""),"HOSPITAL PROVINCIAL DR. CRUZ FELIPE ARNEDO - CLORINDA")</f>
        <v>HOSPITAL PROVINCIAL DR. CRUZ FELIPE ARNEDO - CLORINDA</v>
      </c>
      <c r="C1115" s="30" t="str">
        <f ca="1">IFERROR(__xludf.DUMMYFUNCTION("""COMPUTED_VALUE"""),"Formosa")</f>
        <v>Formosa</v>
      </c>
      <c r="D1115" s="30" t="str">
        <f ca="1">IFERROR(__xludf.DUMMYFUNCTION("""COMPUTED_VALUE"""),"34")</f>
        <v>34</v>
      </c>
      <c r="E1115" s="30" t="str">
        <f ca="1">IFERROR(__xludf.DUMMYFUNCTION("""COMPUTED_VALUE"""),"")</f>
        <v/>
      </c>
      <c r="F1115" s="29"/>
      <c r="G1115" s="29"/>
      <c r="H1115" s="30" t="str">
        <f ca="1">IFERROR(__xludf.DUMMYFUNCTION("""COMPUTED_VALUE"""),"inactivo")</f>
        <v>inactivo</v>
      </c>
      <c r="I1115" s="30" t="str">
        <f ca="1">IFERROR(__xludf.DUMMYFUNCTION("""COMPUTED_VALUE"""),"universo 07-2020")</f>
        <v>universo 07-2020</v>
      </c>
      <c r="J1115" s="29"/>
      <c r="K1115" s="29"/>
      <c r="L1115" s="30" t="str">
        <f ca="1">IFERROR(__xludf.DUMMYFUNCTION("""COMPUTED_VALUE"""),"No")</f>
        <v>No</v>
      </c>
      <c r="M1115" s="30" t="str">
        <f ca="1">IFERROR(__xludf.DUMMYFUNCTION("""COMPUTED_VALUE"""),"34049010000")</f>
        <v>34049010000</v>
      </c>
      <c r="N1115" s="30" t="str">
        <f ca="1">IFERROR(__xludf.DUMMYFUNCTION("""COMPUTED_VALUE"""),"CLORINDA")</f>
        <v>CLORINDA</v>
      </c>
      <c r="O1115" s="30" t="str">
        <f ca="1">IFERROR(__xludf.DUMMYFUNCTION("""COMPUTED_VALUE"""),"3449")</f>
        <v>3449</v>
      </c>
      <c r="P1115" s="30" t="str">
        <f ca="1">IFERROR(__xludf.DUMMYFUNCTION("""COMPUTED_VALUE"""),"PILCOMAYO")</f>
        <v>PILCOMAYO</v>
      </c>
      <c r="Q1115" s="30" t="str">
        <f ca="1">IFERROR(__xludf.DUMMYFUNCTION("""COMPUTED_VALUE"""),"-25.28692118")</f>
        <v>-25.28692118</v>
      </c>
      <c r="R1115" s="30" t="str">
        <f ca="1">IFERROR(__xludf.DUMMYFUNCTION("""COMPUTED_VALUE"""),"-57.72010803")</f>
        <v>-57.72010803</v>
      </c>
      <c r="S1115" s="30" t="str">
        <f ca="1">IFERROR(__xludf.DUMMYFUNCTION("""COMPUTED_VALUE"""),"Provincial")</f>
        <v>Provincial</v>
      </c>
      <c r="T1115" s="30" t="str">
        <f ca="1">IFERROR(__xludf.DUMMYFUNCTION("""COMPUTED_VALUE"""),"-")</f>
        <v>-</v>
      </c>
    </row>
    <row r="1116" spans="1:20" ht="15.75" customHeight="1" x14ac:dyDescent="0.25">
      <c r="A1116" s="30" t="str">
        <f ca="1">IFERROR(__xludf.DUMMYFUNCTION("""COMPUTED_VALUE"""),"10340492147055")</f>
        <v>10340492147055</v>
      </c>
      <c r="B1116" s="30" t="str">
        <f ca="1">IFERROR(__xludf.DUMMYFUNCTION("""COMPUTED_VALUE"""),"HOSPITAL DE LAGUNA BLANCA - PEDRO EUCLIDES INSFRAN")</f>
        <v>HOSPITAL DE LAGUNA BLANCA - PEDRO EUCLIDES INSFRAN</v>
      </c>
      <c r="C1116" s="30" t="str">
        <f ca="1">IFERROR(__xludf.DUMMYFUNCTION("""COMPUTED_VALUE"""),"Formosa")</f>
        <v>Formosa</v>
      </c>
      <c r="D1116" s="30" t="str">
        <f ca="1">IFERROR(__xludf.DUMMYFUNCTION("""COMPUTED_VALUE"""),"34")</f>
        <v>34</v>
      </c>
      <c r="E1116" s="30" t="str">
        <f ca="1">IFERROR(__xludf.DUMMYFUNCTION("""COMPUTED_VALUE"""),"")</f>
        <v/>
      </c>
      <c r="F1116" s="29"/>
      <c r="G1116" s="29"/>
      <c r="H1116" s="30" t="str">
        <f ca="1">IFERROR(__xludf.DUMMYFUNCTION("""COMPUTED_VALUE"""),"inactivo")</f>
        <v>inactivo</v>
      </c>
      <c r="I1116" s="30" t="str">
        <f ca="1">IFERROR(__xludf.DUMMYFUNCTION("""COMPUTED_VALUE"""),"universo 07-2020")</f>
        <v>universo 07-2020</v>
      </c>
      <c r="J1116" s="29"/>
      <c r="K1116" s="29"/>
      <c r="L1116" s="30" t="str">
        <f ca="1">IFERROR(__xludf.DUMMYFUNCTION("""COMPUTED_VALUE"""),"No")</f>
        <v>No</v>
      </c>
      <c r="M1116" s="30" t="str">
        <f ca="1">IFERROR(__xludf.DUMMYFUNCTION("""COMPUTED_VALUE"""),"34049020000")</f>
        <v>34049020000</v>
      </c>
      <c r="N1116" s="30" t="str">
        <f ca="1">IFERROR(__xludf.DUMMYFUNCTION("""COMPUTED_VALUE"""),"LAGUNA BLANCA")</f>
        <v>LAGUNA BLANCA</v>
      </c>
      <c r="O1116" s="30" t="str">
        <f ca="1">IFERROR(__xludf.DUMMYFUNCTION("""COMPUTED_VALUE"""),"3449")</f>
        <v>3449</v>
      </c>
      <c r="P1116" s="30" t="str">
        <f ca="1">IFERROR(__xludf.DUMMYFUNCTION("""COMPUTED_VALUE"""),"PILCOMAYO")</f>
        <v>PILCOMAYO</v>
      </c>
      <c r="Q1116" s="30" t="str">
        <f ca="1">IFERROR(__xludf.DUMMYFUNCTION("""COMPUTED_VALUE"""),"-25.12787929")</f>
        <v>-25.12787929</v>
      </c>
      <c r="R1116" s="30" t="str">
        <f ca="1">IFERROR(__xludf.DUMMYFUNCTION("""COMPUTED_VALUE"""),"-58.26805115")</f>
        <v>-58.26805115</v>
      </c>
      <c r="S1116" s="30" t="str">
        <f ca="1">IFERROR(__xludf.DUMMYFUNCTION("""COMPUTED_VALUE"""),"Provincial")</f>
        <v>Provincial</v>
      </c>
      <c r="T1116" s="30" t="str">
        <f ca="1">IFERROR(__xludf.DUMMYFUNCTION("""COMPUTED_VALUE"""),"-")</f>
        <v>-</v>
      </c>
    </row>
    <row r="1117" spans="1:20" ht="15.75" customHeight="1" x14ac:dyDescent="0.25">
      <c r="A1117" s="30" t="str">
        <f ca="1">IFERROR(__xludf.DUMMYFUNCTION("""COMPUTED_VALUE"""),"10340562147035")</f>
        <v>10340562147035</v>
      </c>
      <c r="B1117" s="30" t="str">
        <f ca="1">IFERROR(__xludf.DUMMYFUNCTION("""COMPUTED_VALUE"""),"HOSPITAL PROVINCIAL DR. SANTIAGO OPIZZO TRAVERSO")</f>
        <v>HOSPITAL PROVINCIAL DR. SANTIAGO OPIZZO TRAVERSO</v>
      </c>
      <c r="C1117" s="30" t="str">
        <f ca="1">IFERROR(__xludf.DUMMYFUNCTION("""COMPUTED_VALUE"""),"Formosa")</f>
        <v>Formosa</v>
      </c>
      <c r="D1117" s="30" t="str">
        <f ca="1">IFERROR(__xludf.DUMMYFUNCTION("""COMPUTED_VALUE"""),"34")</f>
        <v>34</v>
      </c>
      <c r="E1117" s="30" t="str">
        <f ca="1">IFERROR(__xludf.DUMMYFUNCTION("""COMPUTED_VALUE"""),"si")</f>
        <v>si</v>
      </c>
      <c r="F1117" s="29"/>
      <c r="G1117" s="29"/>
      <c r="H1117" s="30" t="str">
        <f ca="1">IFERROR(__xludf.DUMMYFUNCTION("""COMPUTED_VALUE"""),"inactivo")</f>
        <v>inactivo</v>
      </c>
      <c r="I1117" s="30" t="str">
        <f ca="1">IFERROR(__xludf.DUMMYFUNCTION("""COMPUTED_VALUE"""),"universo 07-2020")</f>
        <v>universo 07-2020</v>
      </c>
      <c r="J1117" s="29"/>
      <c r="K1117" s="29"/>
      <c r="L1117" s="30" t="str">
        <f ca="1">IFERROR(__xludf.DUMMYFUNCTION("""COMPUTED_VALUE"""),"No")</f>
        <v>No</v>
      </c>
      <c r="M1117" s="30" t="str">
        <f ca="1">IFERROR(__xludf.DUMMYFUNCTION("""COMPUTED_VALUE"""),"34056020000")</f>
        <v>34056020000</v>
      </c>
      <c r="N1117" s="30" t="str">
        <f ca="1">IFERROR(__xludf.DUMMYFUNCTION("""COMPUTED_VALUE"""),"EL COLORADO")</f>
        <v>EL COLORADO</v>
      </c>
      <c r="O1117" s="30" t="str">
        <f ca="1">IFERROR(__xludf.DUMMYFUNCTION("""COMPUTED_VALUE"""),"3456")</f>
        <v>3456</v>
      </c>
      <c r="P1117" s="30" t="str">
        <f ca="1">IFERROR(__xludf.DUMMYFUNCTION("""COMPUTED_VALUE"""),"PIRANÉ")</f>
        <v>PIRANÉ</v>
      </c>
      <c r="Q1117" s="30" t="str">
        <f ca="1">IFERROR(__xludf.DUMMYFUNCTION("""COMPUTED_VALUE"""),"-26.3087165")</f>
        <v>-26.3087165</v>
      </c>
      <c r="R1117" s="30" t="str">
        <f ca="1">IFERROR(__xludf.DUMMYFUNCTION("""COMPUTED_VALUE"""),"-59.3679736")</f>
        <v>-59.3679736</v>
      </c>
      <c r="S1117" s="30" t="str">
        <f ca="1">IFERROR(__xludf.DUMMYFUNCTION("""COMPUTED_VALUE"""),"Provincial")</f>
        <v>Provincial</v>
      </c>
      <c r="T1117" s="30" t="str">
        <f ca="1">IFERROR(__xludf.DUMMYFUNCTION("""COMPUTED_VALUE"""),"-")</f>
        <v>-</v>
      </c>
    </row>
    <row r="1118" spans="1:20" ht="15.75" customHeight="1" x14ac:dyDescent="0.25">
      <c r="A1118" s="30" t="str">
        <f ca="1">IFERROR(__xludf.DUMMYFUNCTION("""COMPUTED_VALUE"""),"10340632147026")</f>
        <v>10340632147026</v>
      </c>
      <c r="B1118" s="30" t="str">
        <f ca="1">IFERROR(__xludf.DUMMYFUNCTION("""COMPUTED_VALUE"""),"HOSPITAL PROVINCIAL EL POTRILLO")</f>
        <v>HOSPITAL PROVINCIAL EL POTRILLO</v>
      </c>
      <c r="C1118" s="30" t="str">
        <f ca="1">IFERROR(__xludf.DUMMYFUNCTION("""COMPUTED_VALUE"""),"Formosa")</f>
        <v>Formosa</v>
      </c>
      <c r="D1118" s="30" t="str">
        <f ca="1">IFERROR(__xludf.DUMMYFUNCTION("""COMPUTED_VALUE"""),"34")</f>
        <v>34</v>
      </c>
      <c r="E1118" s="30" t="str">
        <f ca="1">IFERROR(__xludf.DUMMYFUNCTION("""COMPUTED_VALUE"""),"si")</f>
        <v>si</v>
      </c>
      <c r="F1118" s="29"/>
      <c r="G1118" s="29"/>
      <c r="H1118" s="30" t="str">
        <f ca="1">IFERROR(__xludf.DUMMYFUNCTION("""COMPUTED_VALUE"""),"activo")</f>
        <v>activo</v>
      </c>
      <c r="I1118" s="29"/>
      <c r="J1118" s="29"/>
      <c r="K1118" s="29"/>
      <c r="L1118" s="30" t="str">
        <f ca="1">IFERROR(__xludf.DUMMYFUNCTION("""COMPUTED_VALUE"""),"No")</f>
        <v>No</v>
      </c>
      <c r="M1118" s="30" t="str">
        <f ca="1">IFERROR(__xludf.DUMMYFUNCTION("""COMPUTED_VALUE"""),"34063010000")</f>
        <v>34063010000</v>
      </c>
      <c r="N1118" s="30" t="str">
        <f ca="1">IFERROR(__xludf.DUMMYFUNCTION("""COMPUTED_VALUE"""),"EL POTRILLO")</f>
        <v>EL POTRILLO</v>
      </c>
      <c r="O1118" s="30" t="str">
        <f ca="1">IFERROR(__xludf.DUMMYFUNCTION("""COMPUTED_VALUE"""),"3463")</f>
        <v>3463</v>
      </c>
      <c r="P1118" s="30" t="str">
        <f ca="1">IFERROR(__xludf.DUMMYFUNCTION("""COMPUTED_VALUE"""),"RAMÓN LISTA")</f>
        <v>RAMÓN LISTA</v>
      </c>
      <c r="Q1118" s="30" t="str">
        <f ca="1">IFERROR(__xludf.DUMMYFUNCTION("""COMPUTED_VALUE"""),"-23.15778")</f>
        <v>-23.15778</v>
      </c>
      <c r="R1118" s="30" t="str">
        <f ca="1">IFERROR(__xludf.DUMMYFUNCTION("""COMPUTED_VALUE"""),"-62.00403")</f>
        <v>-62.00403</v>
      </c>
      <c r="S1118" s="30" t="str">
        <f ca="1">IFERROR(__xludf.DUMMYFUNCTION("""COMPUTED_VALUE"""),"Provincial")</f>
        <v>Provincial</v>
      </c>
      <c r="T1118" s="30" t="str">
        <f ca="1">IFERROR(__xludf.DUMMYFUNCTION("""COMPUTED_VALUE"""),"-")</f>
        <v>-</v>
      </c>
    </row>
    <row r="1119" spans="1:20" ht="15.75" customHeight="1" x14ac:dyDescent="0.25">
      <c r="A1119" s="30" t="str">
        <f ca="1">IFERROR(__xludf.DUMMYFUNCTION("""COMPUTED_VALUE"""),"10340632147030")</f>
        <v>10340632147030</v>
      </c>
      <c r="B1119" s="30" t="str">
        <f ca="1">IFERROR(__xludf.DUMMYFUNCTION("""COMPUTED_VALUE"""),"HOSPITAL EL CHORRO (GRAL. MOSCONI)")</f>
        <v>HOSPITAL EL CHORRO (GRAL. MOSCONI)</v>
      </c>
      <c r="C1119" s="30" t="str">
        <f ca="1">IFERROR(__xludf.DUMMYFUNCTION("""COMPUTED_VALUE"""),"Formosa")</f>
        <v>Formosa</v>
      </c>
      <c r="D1119" s="30" t="str">
        <f ca="1">IFERROR(__xludf.DUMMYFUNCTION("""COMPUTED_VALUE"""),"34")</f>
        <v>34</v>
      </c>
      <c r="E1119" s="30" t="str">
        <f ca="1">IFERROR(__xludf.DUMMYFUNCTION("""COMPUTED_VALUE"""),"si")</f>
        <v>si</v>
      </c>
      <c r="F1119" s="29"/>
      <c r="G1119" s="29"/>
      <c r="H1119" s="30" t="str">
        <f ca="1">IFERROR(__xludf.DUMMYFUNCTION("""COMPUTED_VALUE"""),"inactivo")</f>
        <v>inactivo</v>
      </c>
      <c r="I1119" s="30" t="str">
        <f ca="1">IFERROR(__xludf.DUMMYFUNCTION("""COMPUTED_VALUE"""),"casilla monitoreo: mail 18/04/2022")</f>
        <v>casilla monitoreo: mail 18/04/2022</v>
      </c>
      <c r="J1119" s="29"/>
      <c r="K1119" s="29"/>
      <c r="L1119" s="30" t="str">
        <f ca="1">IFERROR(__xludf.DUMMYFUNCTION("""COMPUTED_VALUE"""),"No")</f>
        <v>No</v>
      </c>
      <c r="M1119" s="30" t="str">
        <f ca="1">IFERROR(__xludf.DUMMYFUNCTION("""COMPUTED_VALUE"""),"34063020000")</f>
        <v>34063020000</v>
      </c>
      <c r="N1119" s="30" t="str">
        <f ca="1">IFERROR(__xludf.DUMMYFUNCTION("""COMPUTED_VALUE"""),"GENERAL MOSCONI")</f>
        <v>GENERAL MOSCONI</v>
      </c>
      <c r="O1119" s="30" t="str">
        <f ca="1">IFERROR(__xludf.DUMMYFUNCTION("""COMPUTED_VALUE"""),"3463")</f>
        <v>3463</v>
      </c>
      <c r="P1119" s="30" t="str">
        <f ca="1">IFERROR(__xludf.DUMMYFUNCTION("""COMPUTED_VALUE"""),"RAMÓN LISTA")</f>
        <v>RAMÓN LISTA</v>
      </c>
      <c r="Q1119" s="30" t="str">
        <f ca="1">IFERROR(__xludf.DUMMYFUNCTION("""COMPUTED_VALUE"""),"-23.18781521")</f>
        <v>-23.18781521</v>
      </c>
      <c r="R1119" s="30" t="str">
        <f ca="1">IFERROR(__xludf.DUMMYFUNCTION("""COMPUTED_VALUE"""),"-62.31270432")</f>
        <v>-62.31270432</v>
      </c>
      <c r="S1119" s="30" t="str">
        <f ca="1">IFERROR(__xludf.DUMMYFUNCTION("""COMPUTED_VALUE"""),"Provincial")</f>
        <v>Provincial</v>
      </c>
      <c r="T1119" s="30" t="str">
        <f ca="1">IFERROR(__xludf.DUMMYFUNCTION("""COMPUTED_VALUE"""),"-")</f>
        <v>-</v>
      </c>
    </row>
    <row r="1120" spans="1:20" ht="15.75" customHeight="1" x14ac:dyDescent="0.25">
      <c r="A1120" s="30" t="str">
        <f ca="1">IFERROR(__xludf.DUMMYFUNCTION("""COMPUTED_VALUE"""),"50340142147098")</f>
        <v>50340142147098</v>
      </c>
      <c r="B1120" s="30" t="str">
        <f ca="1">IFERROR(__xludf.DUMMYFUNCTION("""COMPUTED_VALUE"""),"CENTRO DE SALUD  LA FLORESTA")</f>
        <v>CENTRO DE SALUD  LA FLORESTA</v>
      </c>
      <c r="C1120" s="30" t="str">
        <f ca="1">IFERROR(__xludf.DUMMYFUNCTION("""COMPUTED_VALUE"""),"Formosa")</f>
        <v>Formosa</v>
      </c>
      <c r="D1120" s="30" t="str">
        <f ca="1">IFERROR(__xludf.DUMMYFUNCTION("""COMPUTED_VALUE"""),"34")</f>
        <v>34</v>
      </c>
      <c r="E1120" s="30" t="str">
        <f ca="1">IFERROR(__xludf.DUMMYFUNCTION("""COMPUTED_VALUE"""),"")</f>
        <v/>
      </c>
      <c r="F1120" s="29"/>
      <c r="G1120" s="29"/>
      <c r="H1120" s="30" t="str">
        <f ca="1">IFERROR(__xludf.DUMMYFUNCTION("""COMPUTED_VALUE"""),"inactivo")</f>
        <v>inactivo</v>
      </c>
      <c r="I1120" s="30" t="str">
        <f ca="1">IFERROR(__xludf.DUMMYFUNCTION("""COMPUTED_VALUE"""),"universo 07-2020")</f>
        <v>universo 07-2020</v>
      </c>
      <c r="J1120" s="29"/>
      <c r="K1120" s="29"/>
      <c r="L1120" s="30" t="str">
        <f ca="1">IFERROR(__xludf.DUMMYFUNCTION("""COMPUTED_VALUE"""),"No")</f>
        <v>No</v>
      </c>
      <c r="M1120" s="30" t="str">
        <f ca="1">IFERROR(__xludf.DUMMYFUNCTION("""COMPUTED_VALUE"""),"34014020000")</f>
        <v>34014020000</v>
      </c>
      <c r="N1120" s="30" t="str">
        <f ca="1">IFERROR(__xludf.DUMMYFUNCTION("""COMPUTED_VALUE"""),"FORMOSA")</f>
        <v>FORMOSA</v>
      </c>
      <c r="O1120" s="30" t="str">
        <f ca="1">IFERROR(__xludf.DUMMYFUNCTION("""COMPUTED_VALUE"""),"3414")</f>
        <v>3414</v>
      </c>
      <c r="P1120" s="30" t="str">
        <f ca="1">IFERROR(__xludf.DUMMYFUNCTION("""COMPUTED_VALUE"""),"FORMOSA")</f>
        <v>FORMOSA</v>
      </c>
      <c r="Q1120" s="30" t="str">
        <f ca="1">IFERROR(__xludf.DUMMYFUNCTION("""COMPUTED_VALUE"""),"-26.157444")</f>
        <v>-26.157444</v>
      </c>
      <c r="R1120" s="30" t="str">
        <f ca="1">IFERROR(__xludf.DUMMYFUNCTION("""COMPUTED_VALUE"""),"-58.1820401")</f>
        <v>-58.1820401</v>
      </c>
      <c r="S1120" s="30" t="str">
        <f ca="1">IFERROR(__xludf.DUMMYFUNCTION("""COMPUTED_VALUE"""),"Provincial")</f>
        <v>Provincial</v>
      </c>
      <c r="T1120" s="30" t="str">
        <f ca="1">IFERROR(__xludf.DUMMYFUNCTION("""COMPUTED_VALUE"""),"-")</f>
        <v>-</v>
      </c>
    </row>
    <row r="1121" spans="1:20" ht="15.75" customHeight="1" x14ac:dyDescent="0.25">
      <c r="A1121" s="30" t="str">
        <f ca="1">IFERROR(__xludf.DUMMYFUNCTION("""COMPUTED_VALUE"""),"50340142147102")</f>
        <v>50340142147102</v>
      </c>
      <c r="B1121" s="30" t="str">
        <f ca="1">IFERROR(__xludf.DUMMYFUNCTION("""COMPUTED_VALUE"""),"CENTRO DE SALUD BARRIO SAN ANTONIO")</f>
        <v>CENTRO DE SALUD BARRIO SAN ANTONIO</v>
      </c>
      <c r="C1121" s="30" t="str">
        <f ca="1">IFERROR(__xludf.DUMMYFUNCTION("""COMPUTED_VALUE"""),"Formosa")</f>
        <v>Formosa</v>
      </c>
      <c r="D1121" s="30" t="str">
        <f ca="1">IFERROR(__xludf.DUMMYFUNCTION("""COMPUTED_VALUE"""),"34")</f>
        <v>34</v>
      </c>
      <c r="E1121" s="30" t="str">
        <f ca="1">IFERROR(__xludf.DUMMYFUNCTION("""COMPUTED_VALUE"""),"")</f>
        <v/>
      </c>
      <c r="F1121" s="29"/>
      <c r="G1121" s="29"/>
      <c r="H1121" s="30" t="str">
        <f ca="1">IFERROR(__xludf.DUMMYFUNCTION("""COMPUTED_VALUE"""),"activo")</f>
        <v>activo</v>
      </c>
      <c r="I1121" s="29"/>
      <c r="J1121" s="29"/>
      <c r="K1121" s="29"/>
      <c r="L1121" s="30" t="str">
        <f ca="1">IFERROR(__xludf.DUMMYFUNCTION("""COMPUTED_VALUE"""),"No")</f>
        <v>No</v>
      </c>
      <c r="M1121" s="30" t="str">
        <f ca="1">IFERROR(__xludf.DUMMYFUNCTION("""COMPUTED_VALUE"""),"34014020000")</f>
        <v>34014020000</v>
      </c>
      <c r="N1121" s="30" t="str">
        <f ca="1">IFERROR(__xludf.DUMMYFUNCTION("""COMPUTED_VALUE"""),"FORMOSA")</f>
        <v>FORMOSA</v>
      </c>
      <c r="O1121" s="30" t="str">
        <f ca="1">IFERROR(__xludf.DUMMYFUNCTION("""COMPUTED_VALUE"""),"3414")</f>
        <v>3414</v>
      </c>
      <c r="P1121" s="30" t="str">
        <f ca="1">IFERROR(__xludf.DUMMYFUNCTION("""COMPUTED_VALUE"""),"FORMOSA")</f>
        <v>FORMOSA</v>
      </c>
      <c r="Q1121" s="30" t="str">
        <f ca="1">IFERROR(__xludf.DUMMYFUNCTION("""COMPUTED_VALUE"""),"-26.1667648")</f>
        <v>-26.1667648</v>
      </c>
      <c r="R1121" s="30" t="str">
        <f ca="1">IFERROR(__xludf.DUMMYFUNCTION("""COMPUTED_VALUE"""),"-58.2076466")</f>
        <v>-58.2076466</v>
      </c>
      <c r="S1121" s="30" t="str">
        <f ca="1">IFERROR(__xludf.DUMMYFUNCTION("""COMPUTED_VALUE"""),"Provincial")</f>
        <v>Provincial</v>
      </c>
      <c r="T1121" s="30" t="str">
        <f ca="1">IFERROR(__xludf.DUMMYFUNCTION("""COMPUTED_VALUE"""),"-")</f>
        <v>-</v>
      </c>
    </row>
    <row r="1122" spans="1:20" ht="15.75" customHeight="1" x14ac:dyDescent="0.25">
      <c r="A1122" s="30" t="str">
        <f ca="1">IFERROR(__xludf.DUMMYFUNCTION("""COMPUTED_VALUE"""),"50340142147110")</f>
        <v>50340142147110</v>
      </c>
      <c r="B1122" s="30" t="str">
        <f ca="1">IFERROR(__xludf.DUMMYFUNCTION("""COMPUTED_VALUE"""),"CENTRO DE SALUD DR. MARIO JORGE KRIMER")</f>
        <v>CENTRO DE SALUD DR. MARIO JORGE KRIMER</v>
      </c>
      <c r="C1122" s="30" t="str">
        <f ca="1">IFERROR(__xludf.DUMMYFUNCTION("""COMPUTED_VALUE"""),"Formosa")</f>
        <v>Formosa</v>
      </c>
      <c r="D1122" s="30" t="str">
        <f ca="1">IFERROR(__xludf.DUMMYFUNCTION("""COMPUTED_VALUE"""),"34")</f>
        <v>34</v>
      </c>
      <c r="E1122" s="30" t="str">
        <f ca="1">IFERROR(__xludf.DUMMYFUNCTION("""COMPUTED_VALUE"""),"")</f>
        <v/>
      </c>
      <c r="F1122" s="29"/>
      <c r="G1122" s="29"/>
      <c r="H1122" s="30" t="str">
        <f ca="1">IFERROR(__xludf.DUMMYFUNCTION("""COMPUTED_VALUE"""),"inactivo")</f>
        <v>inactivo</v>
      </c>
      <c r="I1122" s="30" t="str">
        <f ca="1">IFERROR(__xludf.DUMMYFUNCTION("""COMPUTED_VALUE"""),"universo 07-2020")</f>
        <v>universo 07-2020</v>
      </c>
      <c r="J1122" s="29"/>
      <c r="K1122" s="29"/>
      <c r="L1122" s="30" t="str">
        <f ca="1">IFERROR(__xludf.DUMMYFUNCTION("""COMPUTED_VALUE"""),"No")</f>
        <v>No</v>
      </c>
      <c r="M1122" s="30" t="str">
        <f ca="1">IFERROR(__xludf.DUMMYFUNCTION("""COMPUTED_VALUE"""),"34014020000")</f>
        <v>34014020000</v>
      </c>
      <c r="N1122" s="30" t="str">
        <f ca="1">IFERROR(__xludf.DUMMYFUNCTION("""COMPUTED_VALUE"""),"FORMOSA")</f>
        <v>FORMOSA</v>
      </c>
      <c r="O1122" s="30" t="str">
        <f ca="1">IFERROR(__xludf.DUMMYFUNCTION("""COMPUTED_VALUE"""),"3414")</f>
        <v>3414</v>
      </c>
      <c r="P1122" s="30" t="str">
        <f ca="1">IFERROR(__xludf.DUMMYFUNCTION("""COMPUTED_VALUE"""),"FORMOSA")</f>
        <v>FORMOSA</v>
      </c>
      <c r="Q1122" s="30" t="str">
        <f ca="1">IFERROR(__xludf.DUMMYFUNCTION("""COMPUTED_VALUE"""),"-26.20687125")</f>
        <v>-26.20687125</v>
      </c>
      <c r="R1122" s="30" t="str">
        <f ca="1">IFERROR(__xludf.DUMMYFUNCTION("""COMPUTED_VALUE"""),"-58.20925713")</f>
        <v>-58.20925713</v>
      </c>
      <c r="S1122" s="30" t="str">
        <f ca="1">IFERROR(__xludf.DUMMYFUNCTION("""COMPUTED_VALUE"""),"Provincial")</f>
        <v>Provincial</v>
      </c>
      <c r="T1122" s="30" t="str">
        <f ca="1">IFERROR(__xludf.DUMMYFUNCTION("""COMPUTED_VALUE"""),"-")</f>
        <v>-</v>
      </c>
    </row>
    <row r="1123" spans="1:20" ht="15.75" customHeight="1" x14ac:dyDescent="0.25">
      <c r="A1123" s="30" t="str">
        <f ca="1">IFERROR(__xludf.DUMMYFUNCTION("""COMPUTED_VALUE"""),"50340142147111")</f>
        <v>50340142147111</v>
      </c>
      <c r="B1123" s="30" t="str">
        <f ca="1">IFERROR(__xludf.DUMMYFUNCTION("""COMPUTED_VALUE"""),"CENTRO DE SALUD DR. PABLO ESTEBAN BARGAS - B° VILLA LOURDES")</f>
        <v>CENTRO DE SALUD DR. PABLO ESTEBAN BARGAS - B° VILLA LOURDES</v>
      </c>
      <c r="C1123" s="30" t="str">
        <f ca="1">IFERROR(__xludf.DUMMYFUNCTION("""COMPUTED_VALUE"""),"Formosa")</f>
        <v>Formosa</v>
      </c>
      <c r="D1123" s="30" t="str">
        <f ca="1">IFERROR(__xludf.DUMMYFUNCTION("""COMPUTED_VALUE"""),"34")</f>
        <v>34</v>
      </c>
      <c r="E1123" s="30" t="str">
        <f ca="1">IFERROR(__xludf.DUMMYFUNCTION("""COMPUTED_VALUE"""),"")</f>
        <v/>
      </c>
      <c r="F1123" s="29"/>
      <c r="G1123" s="29"/>
      <c r="H1123" s="30" t="str">
        <f ca="1">IFERROR(__xludf.DUMMYFUNCTION("""COMPUTED_VALUE"""),"activo")</f>
        <v>activo</v>
      </c>
      <c r="I1123" s="29"/>
      <c r="J1123" s="29"/>
      <c r="K1123" s="29"/>
      <c r="L1123" s="30" t="str">
        <f ca="1">IFERROR(__xludf.DUMMYFUNCTION("""COMPUTED_VALUE"""),"No")</f>
        <v>No</v>
      </c>
      <c r="M1123" s="30" t="str">
        <f ca="1">IFERROR(__xludf.DUMMYFUNCTION("""COMPUTED_VALUE"""),"34014020000")</f>
        <v>34014020000</v>
      </c>
      <c r="N1123" s="30" t="str">
        <f ca="1">IFERROR(__xludf.DUMMYFUNCTION("""COMPUTED_VALUE"""),"FORMOSA")</f>
        <v>FORMOSA</v>
      </c>
      <c r="O1123" s="30" t="str">
        <f ca="1">IFERROR(__xludf.DUMMYFUNCTION("""COMPUTED_VALUE"""),"3414")</f>
        <v>3414</v>
      </c>
      <c r="P1123" s="30" t="str">
        <f ca="1">IFERROR(__xludf.DUMMYFUNCTION("""COMPUTED_VALUE"""),"FORMOSA")</f>
        <v>FORMOSA</v>
      </c>
      <c r="Q1123" s="30" t="str">
        <f ca="1">IFERROR(__xludf.DUMMYFUNCTION("""COMPUTED_VALUE"""),"-26.1608209")</f>
        <v>-26.1608209</v>
      </c>
      <c r="R1123" s="30" t="str">
        <f ca="1">IFERROR(__xludf.DUMMYFUNCTION("""COMPUTED_VALUE"""),"-58.1865895")</f>
        <v>-58.1865895</v>
      </c>
      <c r="S1123" s="30" t="str">
        <f ca="1">IFERROR(__xludf.DUMMYFUNCTION("""COMPUTED_VALUE"""),"Provincial")</f>
        <v>Provincial</v>
      </c>
      <c r="T1123" s="30" t="str">
        <f ca="1">IFERROR(__xludf.DUMMYFUNCTION("""COMPUTED_VALUE"""),"-")</f>
        <v>-</v>
      </c>
    </row>
    <row r="1124" spans="1:20" ht="15.75" customHeight="1" x14ac:dyDescent="0.25">
      <c r="A1124" s="30" t="str">
        <f ca="1">IFERROR(__xludf.DUMMYFUNCTION("""COMPUTED_VALUE"""),"50340142147119")</f>
        <v>50340142147119</v>
      </c>
      <c r="B1124" s="30" t="str">
        <f ca="1">IFERROR(__xludf.DUMMYFUNCTION("""COMPUTED_VALUE"""),"HOSPITAL DISTRITAL Nº8")</f>
        <v>HOSPITAL DISTRITAL Nº8</v>
      </c>
      <c r="C1124" s="30" t="str">
        <f ca="1">IFERROR(__xludf.DUMMYFUNCTION("""COMPUTED_VALUE"""),"Formosa")</f>
        <v>Formosa</v>
      </c>
      <c r="D1124" s="30" t="str">
        <f ca="1">IFERROR(__xludf.DUMMYFUNCTION("""COMPUTED_VALUE"""),"34")</f>
        <v>34</v>
      </c>
      <c r="E1124" s="30" t="str">
        <f ca="1">IFERROR(__xludf.DUMMYFUNCTION("""COMPUTED_VALUE"""),"")</f>
        <v/>
      </c>
      <c r="F1124" s="29"/>
      <c r="G1124" s="29"/>
      <c r="H1124" s="30" t="str">
        <f ca="1">IFERROR(__xludf.DUMMYFUNCTION("""COMPUTED_VALUE"""),"inactivo")</f>
        <v>inactivo</v>
      </c>
      <c r="I1124" s="30" t="str">
        <f ca="1">IFERROR(__xludf.DUMMYFUNCTION("""COMPUTED_VALUE"""),"universo 07-2020")</f>
        <v>universo 07-2020</v>
      </c>
      <c r="J1124" s="29"/>
      <c r="K1124" s="29"/>
      <c r="L1124" s="30" t="str">
        <f ca="1">IFERROR(__xludf.DUMMYFUNCTION("""COMPUTED_VALUE"""),"No")</f>
        <v>No</v>
      </c>
      <c r="M1124" s="30" t="str">
        <f ca="1">IFERROR(__xludf.DUMMYFUNCTION("""COMPUTED_VALUE"""),"34014020000")</f>
        <v>34014020000</v>
      </c>
      <c r="N1124" s="30" t="str">
        <f ca="1">IFERROR(__xludf.DUMMYFUNCTION("""COMPUTED_VALUE"""),"FORMOSA")</f>
        <v>FORMOSA</v>
      </c>
      <c r="O1124" s="30" t="str">
        <f ca="1">IFERROR(__xludf.DUMMYFUNCTION("""COMPUTED_VALUE"""),"3414")</f>
        <v>3414</v>
      </c>
      <c r="P1124" s="30" t="str">
        <f ca="1">IFERROR(__xludf.DUMMYFUNCTION("""COMPUTED_VALUE"""),"FORMOSA")</f>
        <v>FORMOSA</v>
      </c>
      <c r="Q1124" s="30" t="str">
        <f ca="1">IFERROR(__xludf.DUMMYFUNCTION("""COMPUTED_VALUE"""),"-26.143808")</f>
        <v>-26.143808</v>
      </c>
      <c r="R1124" s="30" t="str">
        <f ca="1">IFERROR(__xludf.DUMMYFUNCTION("""COMPUTED_VALUE"""),"-58.150475")</f>
        <v>-58.150475</v>
      </c>
      <c r="S1124" s="30" t="str">
        <f ca="1">IFERROR(__xludf.DUMMYFUNCTION("""COMPUTED_VALUE"""),"Provincial")</f>
        <v>Provincial</v>
      </c>
      <c r="T1124" s="30" t="str">
        <f ca="1">IFERROR(__xludf.DUMMYFUNCTION("""COMPUTED_VALUE"""),"-")</f>
        <v>-</v>
      </c>
    </row>
    <row r="1125" spans="1:20" ht="15.75" customHeight="1" x14ac:dyDescent="0.25">
      <c r="A1125" s="30" t="str">
        <f ca="1">IFERROR(__xludf.DUMMYFUNCTION("""COMPUTED_VALUE"""),"50340142147123")</f>
        <v>50340142147123</v>
      </c>
      <c r="B1125" s="30" t="str">
        <f ca="1">IFERROR(__xludf.DUMMYFUNCTION("""COMPUTED_VALUE"""),"CENTRO DE SALUD LUIS MARIA CODDA BARRIO LIBORSI")</f>
        <v>CENTRO DE SALUD LUIS MARIA CODDA BARRIO LIBORSI</v>
      </c>
      <c r="C1125" s="30" t="str">
        <f ca="1">IFERROR(__xludf.DUMMYFUNCTION("""COMPUTED_VALUE"""),"Formosa")</f>
        <v>Formosa</v>
      </c>
      <c r="D1125" s="30" t="str">
        <f ca="1">IFERROR(__xludf.DUMMYFUNCTION("""COMPUTED_VALUE"""),"34")</f>
        <v>34</v>
      </c>
      <c r="E1125" s="30" t="str">
        <f ca="1">IFERROR(__xludf.DUMMYFUNCTION("""COMPUTED_VALUE"""),"")</f>
        <v/>
      </c>
      <c r="F1125" s="29"/>
      <c r="G1125" s="29"/>
      <c r="H1125" s="30" t="str">
        <f ca="1">IFERROR(__xludf.DUMMYFUNCTION("""COMPUTED_VALUE"""),"activo")</f>
        <v>activo</v>
      </c>
      <c r="I1125" s="29"/>
      <c r="J1125" s="29"/>
      <c r="K1125" s="29"/>
      <c r="L1125" s="30" t="str">
        <f ca="1">IFERROR(__xludf.DUMMYFUNCTION("""COMPUTED_VALUE"""),"No")</f>
        <v>No</v>
      </c>
      <c r="M1125" s="30" t="str">
        <f ca="1">IFERROR(__xludf.DUMMYFUNCTION("""COMPUTED_VALUE"""),"34014080")</f>
        <v>34014080</v>
      </c>
      <c r="N1125" s="30" t="str">
        <f ca="1">IFERROR(__xludf.DUMMYFUNCTION("""COMPUTED_VALUE"""),"PARQUE BOTÁNICO FORESTAL IGR L")</f>
        <v>PARQUE BOTÁNICO FORESTAL IGR L</v>
      </c>
      <c r="O1125" s="30" t="str">
        <f ca="1">IFERROR(__xludf.DUMMYFUNCTION("""COMPUTED_VALUE"""),"3414")</f>
        <v>3414</v>
      </c>
      <c r="P1125" s="30" t="str">
        <f ca="1">IFERROR(__xludf.DUMMYFUNCTION("""COMPUTED_VALUE"""),"FORMOSA")</f>
        <v>FORMOSA</v>
      </c>
      <c r="Q1125" s="30" t="str">
        <f ca="1">IFERROR(__xludf.DUMMYFUNCTION("""COMPUTED_VALUE"""),"-26.19291276")</f>
        <v>-26.19291276</v>
      </c>
      <c r="R1125" s="30" t="str">
        <f ca="1">IFERROR(__xludf.DUMMYFUNCTION("""COMPUTED_VALUE"""),"-58.22170258")</f>
        <v>-58.22170258</v>
      </c>
      <c r="S1125" s="30" t="str">
        <f ca="1">IFERROR(__xludf.DUMMYFUNCTION("""COMPUTED_VALUE"""),"Provincial")</f>
        <v>Provincial</v>
      </c>
      <c r="T1125" s="30" t="str">
        <f ca="1">IFERROR(__xludf.DUMMYFUNCTION("""COMPUTED_VALUE"""),"-")</f>
        <v>-</v>
      </c>
    </row>
    <row r="1126" spans="1:20" ht="15.75" customHeight="1" x14ac:dyDescent="0.25">
      <c r="A1126" s="30" t="str">
        <f ca="1">IFERROR(__xludf.DUMMYFUNCTION("""COMPUTED_VALUE"""),"50340142147124")</f>
        <v>50340142147124</v>
      </c>
      <c r="B1126" s="30" t="str">
        <f ca="1">IFERROR(__xludf.DUMMYFUNCTION("""COMPUTED_VALUE"""),"CENTRO DE SALUD MARIA LUISA ESPINOZA B° JUAN DOMINGO PERON")</f>
        <v>CENTRO DE SALUD MARIA LUISA ESPINOZA B° JUAN DOMINGO PERON</v>
      </c>
      <c r="C1126" s="30" t="str">
        <f ca="1">IFERROR(__xludf.DUMMYFUNCTION("""COMPUTED_VALUE"""),"Formosa")</f>
        <v>Formosa</v>
      </c>
      <c r="D1126" s="30" t="str">
        <f ca="1">IFERROR(__xludf.DUMMYFUNCTION("""COMPUTED_VALUE"""),"34")</f>
        <v>34</v>
      </c>
      <c r="E1126" s="30" t="str">
        <f ca="1">IFERROR(__xludf.DUMMYFUNCTION("""COMPUTED_VALUE"""),"")</f>
        <v/>
      </c>
      <c r="F1126" s="29"/>
      <c r="G1126" s="29"/>
      <c r="H1126" s="30" t="str">
        <f ca="1">IFERROR(__xludf.DUMMYFUNCTION("""COMPUTED_VALUE"""),"inactivo")</f>
        <v>inactivo</v>
      </c>
      <c r="I1126" s="30" t="str">
        <f ca="1">IFERROR(__xludf.DUMMYFUNCTION("""COMPUTED_VALUE"""),"universo 07-2020")</f>
        <v>universo 07-2020</v>
      </c>
      <c r="J1126" s="29"/>
      <c r="K1126" s="29"/>
      <c r="L1126" s="30" t="str">
        <f ca="1">IFERROR(__xludf.DUMMYFUNCTION("""COMPUTED_VALUE"""),"No")</f>
        <v>No</v>
      </c>
      <c r="M1126" s="30" t="str">
        <f ca="1">IFERROR(__xludf.DUMMYFUNCTION("""COMPUTED_VALUE"""),"34014020000")</f>
        <v>34014020000</v>
      </c>
      <c r="N1126" s="30" t="str">
        <f ca="1">IFERROR(__xludf.DUMMYFUNCTION("""COMPUTED_VALUE"""),"FORMOSA")</f>
        <v>FORMOSA</v>
      </c>
      <c r="O1126" s="30" t="str">
        <f ca="1">IFERROR(__xludf.DUMMYFUNCTION("""COMPUTED_VALUE"""),"3414")</f>
        <v>3414</v>
      </c>
      <c r="P1126" s="30" t="str">
        <f ca="1">IFERROR(__xludf.DUMMYFUNCTION("""COMPUTED_VALUE"""),"FORMOSA")</f>
        <v>FORMOSA</v>
      </c>
      <c r="Q1126" s="30" t="str">
        <f ca="1">IFERROR(__xludf.DUMMYFUNCTION("""COMPUTED_VALUE"""),"-26.132962")</f>
        <v>-26.132962</v>
      </c>
      <c r="R1126" s="30" t="str">
        <f ca="1">IFERROR(__xludf.DUMMYFUNCTION("""COMPUTED_VALUE"""),"-58.178971")</f>
        <v>-58.178971</v>
      </c>
      <c r="S1126" s="30" t="str">
        <f ca="1">IFERROR(__xludf.DUMMYFUNCTION("""COMPUTED_VALUE"""),"Provincial")</f>
        <v>Provincial</v>
      </c>
      <c r="T1126" s="30" t="str">
        <f ca="1">IFERROR(__xludf.DUMMYFUNCTION("""COMPUTED_VALUE"""),"-")</f>
        <v>-</v>
      </c>
    </row>
    <row r="1127" spans="1:20" ht="15.75" customHeight="1" x14ac:dyDescent="0.25">
      <c r="A1127" s="30" t="str">
        <f ca="1">IFERROR(__xludf.DUMMYFUNCTION("""COMPUTED_VALUE"""),"50340142147125")</f>
        <v>50340142147125</v>
      </c>
      <c r="B1127" s="30" t="str">
        <f ca="1">IFERROR(__xludf.DUMMYFUNCTION("""COMPUTED_VALUE"""),"CENTRO DE SALUD MARIANO MORENO")</f>
        <v>CENTRO DE SALUD MARIANO MORENO</v>
      </c>
      <c r="C1127" s="30" t="str">
        <f ca="1">IFERROR(__xludf.DUMMYFUNCTION("""COMPUTED_VALUE"""),"Formosa")</f>
        <v>Formosa</v>
      </c>
      <c r="D1127" s="30" t="str">
        <f ca="1">IFERROR(__xludf.DUMMYFUNCTION("""COMPUTED_VALUE"""),"34")</f>
        <v>34</v>
      </c>
      <c r="E1127" s="30" t="str">
        <f ca="1">IFERROR(__xludf.DUMMYFUNCTION("""COMPUTED_VALUE"""),"")</f>
        <v/>
      </c>
      <c r="F1127" s="29"/>
      <c r="G1127" s="29"/>
      <c r="H1127" s="30" t="str">
        <f ca="1">IFERROR(__xludf.DUMMYFUNCTION("""COMPUTED_VALUE"""),"activo")</f>
        <v>activo</v>
      </c>
      <c r="I1127" s="29"/>
      <c r="J1127" s="29"/>
      <c r="K1127" s="29"/>
      <c r="L1127" s="30" t="str">
        <f ca="1">IFERROR(__xludf.DUMMYFUNCTION("""COMPUTED_VALUE"""),"No")</f>
        <v>No</v>
      </c>
      <c r="M1127" s="30" t="str">
        <f ca="1">IFERROR(__xludf.DUMMYFUNCTION("""COMPUTED_VALUE"""),"34014020000")</f>
        <v>34014020000</v>
      </c>
      <c r="N1127" s="30" t="str">
        <f ca="1">IFERROR(__xludf.DUMMYFUNCTION("""COMPUTED_VALUE"""),"FORMOSA")</f>
        <v>FORMOSA</v>
      </c>
      <c r="O1127" s="30" t="str">
        <f ca="1">IFERROR(__xludf.DUMMYFUNCTION("""COMPUTED_VALUE"""),"3414")</f>
        <v>3414</v>
      </c>
      <c r="P1127" s="30" t="str">
        <f ca="1">IFERROR(__xludf.DUMMYFUNCTION("""COMPUTED_VALUE"""),"FORMOSA")</f>
        <v>FORMOSA</v>
      </c>
      <c r="Q1127" s="30" t="str">
        <f ca="1">IFERROR(__xludf.DUMMYFUNCTION("""COMPUTED_VALUE"""),"-26.1974061")</f>
        <v>-26.1974061</v>
      </c>
      <c r="R1127" s="30" t="str">
        <f ca="1">IFERROR(__xludf.DUMMYFUNCTION("""COMPUTED_VALUE"""),"-58.1963295")</f>
        <v>-58.1963295</v>
      </c>
      <c r="S1127" s="30" t="str">
        <f ca="1">IFERROR(__xludf.DUMMYFUNCTION("""COMPUTED_VALUE"""),"Provincial")</f>
        <v>Provincial</v>
      </c>
      <c r="T1127" s="30" t="str">
        <f ca="1">IFERROR(__xludf.DUMMYFUNCTION("""COMPUTED_VALUE"""),"-")</f>
        <v>-</v>
      </c>
    </row>
    <row r="1128" spans="1:20" ht="15.75" customHeight="1" x14ac:dyDescent="0.25">
      <c r="A1128" s="30" t="str">
        <f ca="1">IFERROR(__xludf.DUMMYFUNCTION("""COMPUTED_VALUE"""),"50340142147132")</f>
        <v>50340142147132</v>
      </c>
      <c r="B1128" s="30" t="str">
        <f ca="1">IFERROR(__xludf.DUMMYFUNCTION("""COMPUTED_VALUE"""),"CENTRO DE SALUD SAN FRANCISCO")</f>
        <v>CENTRO DE SALUD SAN FRANCISCO</v>
      </c>
      <c r="C1128" s="30" t="str">
        <f ca="1">IFERROR(__xludf.DUMMYFUNCTION("""COMPUTED_VALUE"""),"Formosa")</f>
        <v>Formosa</v>
      </c>
      <c r="D1128" s="30" t="str">
        <f ca="1">IFERROR(__xludf.DUMMYFUNCTION("""COMPUTED_VALUE"""),"34")</f>
        <v>34</v>
      </c>
      <c r="E1128" s="30" t="str">
        <f ca="1">IFERROR(__xludf.DUMMYFUNCTION("""COMPUTED_VALUE"""),"")</f>
        <v/>
      </c>
      <c r="F1128" s="29"/>
      <c r="G1128" s="29"/>
      <c r="H1128" s="30" t="str">
        <f ca="1">IFERROR(__xludf.DUMMYFUNCTION("""COMPUTED_VALUE"""),"activo")</f>
        <v>activo</v>
      </c>
      <c r="I1128" s="29"/>
      <c r="J1128" s="29"/>
      <c r="K1128" s="29"/>
      <c r="L1128" s="30" t="str">
        <f ca="1">IFERROR(__xludf.DUMMYFUNCTION("""COMPUTED_VALUE"""),"No")</f>
        <v>No</v>
      </c>
      <c r="M1128" s="30" t="str">
        <f ca="1">IFERROR(__xludf.DUMMYFUNCTION("""COMPUTED_VALUE"""),"34014020000")</f>
        <v>34014020000</v>
      </c>
      <c r="N1128" s="30" t="str">
        <f ca="1">IFERROR(__xludf.DUMMYFUNCTION("""COMPUTED_VALUE"""),"FORMOSA")</f>
        <v>FORMOSA</v>
      </c>
      <c r="O1128" s="30" t="str">
        <f ca="1">IFERROR(__xludf.DUMMYFUNCTION("""COMPUTED_VALUE"""),"3414")</f>
        <v>3414</v>
      </c>
      <c r="P1128" s="30" t="str">
        <f ca="1">IFERROR(__xludf.DUMMYFUNCTION("""COMPUTED_VALUE"""),"FORMOSA")</f>
        <v>FORMOSA</v>
      </c>
      <c r="Q1128" s="30" t="str">
        <f ca="1">IFERROR(__xludf.DUMMYFUNCTION("""COMPUTED_VALUE"""),"-26.17589076")</f>
        <v>-26.17589076</v>
      </c>
      <c r="R1128" s="30" t="str">
        <f ca="1">IFERROR(__xludf.DUMMYFUNCTION("""COMPUTED_VALUE"""),"-58.1837225")</f>
        <v>-58.1837225</v>
      </c>
      <c r="S1128" s="30" t="str">
        <f ca="1">IFERROR(__xludf.DUMMYFUNCTION("""COMPUTED_VALUE"""),"Provincial")</f>
        <v>Provincial</v>
      </c>
      <c r="T1128" s="30" t="str">
        <f ca="1">IFERROR(__xludf.DUMMYFUNCTION("""COMPUTED_VALUE"""),"-")</f>
        <v>-</v>
      </c>
    </row>
    <row r="1129" spans="1:20" ht="15.75" customHeight="1" x14ac:dyDescent="0.25">
      <c r="A1129" s="30" t="str">
        <f ca="1">IFERROR(__xludf.DUMMYFUNCTION("""COMPUTED_VALUE"""),"50340142147135")</f>
        <v>50340142147135</v>
      </c>
      <c r="B1129" s="30" t="str">
        <f ca="1">IFERROR(__xludf.DUMMYFUNCTION("""COMPUTED_VALUE"""),"HOSPITAL DE DIA 2 DE ABRIL - DISTRITAL IX")</f>
        <v>HOSPITAL DE DIA 2 DE ABRIL - DISTRITAL IX</v>
      </c>
      <c r="C1129" s="30" t="str">
        <f ca="1">IFERROR(__xludf.DUMMYFUNCTION("""COMPUTED_VALUE"""),"Formosa")</f>
        <v>Formosa</v>
      </c>
      <c r="D1129" s="30" t="str">
        <f ca="1">IFERROR(__xludf.DUMMYFUNCTION("""COMPUTED_VALUE"""),"34")</f>
        <v>34</v>
      </c>
      <c r="E1129" s="30" t="str">
        <f ca="1">IFERROR(__xludf.DUMMYFUNCTION("""COMPUTED_VALUE"""),"")</f>
        <v/>
      </c>
      <c r="F1129" s="29"/>
      <c r="G1129" s="29"/>
      <c r="H1129" s="30" t="str">
        <f ca="1">IFERROR(__xludf.DUMMYFUNCTION("""COMPUTED_VALUE"""),"inactivo")</f>
        <v>inactivo</v>
      </c>
      <c r="I1129" s="30" t="str">
        <f ca="1">IFERROR(__xludf.DUMMYFUNCTION("""COMPUTED_VALUE"""),"universo 07-2020")</f>
        <v>universo 07-2020</v>
      </c>
      <c r="J1129" s="29"/>
      <c r="K1129" s="29"/>
      <c r="L1129" s="30" t="str">
        <f ca="1">IFERROR(__xludf.DUMMYFUNCTION("""COMPUTED_VALUE"""),"No")</f>
        <v>No</v>
      </c>
      <c r="M1129" s="30" t="str">
        <f ca="1">IFERROR(__xludf.DUMMYFUNCTION("""COMPUTED_VALUE"""),"34014020000")</f>
        <v>34014020000</v>
      </c>
      <c r="N1129" s="30" t="str">
        <f ca="1">IFERROR(__xludf.DUMMYFUNCTION("""COMPUTED_VALUE"""),"FORMOSA")</f>
        <v>FORMOSA</v>
      </c>
      <c r="O1129" s="30" t="str">
        <f ca="1">IFERROR(__xludf.DUMMYFUNCTION("""COMPUTED_VALUE"""),"3414")</f>
        <v>3414</v>
      </c>
      <c r="P1129" s="30" t="str">
        <f ca="1">IFERROR(__xludf.DUMMYFUNCTION("""COMPUTED_VALUE"""),"FORMOSA")</f>
        <v>FORMOSA</v>
      </c>
      <c r="Q1129" s="30" t="str">
        <f ca="1">IFERROR(__xludf.DUMMYFUNCTION("""COMPUTED_VALUE"""),"-26.17234741")</f>
        <v>-26.17234741</v>
      </c>
      <c r="R1129" s="30" t="str">
        <f ca="1">IFERROR(__xludf.DUMMYFUNCTION("""COMPUTED_VALUE"""),"-58.19485903")</f>
        <v>-58.19485903</v>
      </c>
      <c r="S1129" s="30" t="str">
        <f ca="1">IFERROR(__xludf.DUMMYFUNCTION("""COMPUTED_VALUE"""),"Provincial")</f>
        <v>Provincial</v>
      </c>
      <c r="T1129" s="30" t="str">
        <f ca="1">IFERROR(__xludf.DUMMYFUNCTION("""COMPUTED_VALUE"""),"-")</f>
        <v>-</v>
      </c>
    </row>
    <row r="1130" spans="1:20" ht="15.75" customHeight="1" x14ac:dyDescent="0.25">
      <c r="A1130" s="30" t="str">
        <f ca="1">IFERROR(__xludf.DUMMYFUNCTION("""COMPUTED_VALUE"""),"50340142147138")</f>
        <v>50340142147138</v>
      </c>
      <c r="B1130" s="30" t="str">
        <f ca="1">IFERROR(__xludf.DUMMYFUNCTION("""COMPUTED_VALUE"""),"CENTRO DE SALUD 8 DE OCTUBRE")</f>
        <v>CENTRO DE SALUD 8 DE OCTUBRE</v>
      </c>
      <c r="C1130" s="30" t="str">
        <f ca="1">IFERROR(__xludf.DUMMYFUNCTION("""COMPUTED_VALUE"""),"Formosa")</f>
        <v>Formosa</v>
      </c>
      <c r="D1130" s="30" t="str">
        <f ca="1">IFERROR(__xludf.DUMMYFUNCTION("""COMPUTED_VALUE"""),"34")</f>
        <v>34</v>
      </c>
      <c r="E1130" s="30" t="str">
        <f ca="1">IFERROR(__xludf.DUMMYFUNCTION("""COMPUTED_VALUE"""),"")</f>
        <v/>
      </c>
      <c r="F1130" s="29"/>
      <c r="G1130" s="29"/>
      <c r="H1130" s="30" t="str">
        <f ca="1">IFERROR(__xludf.DUMMYFUNCTION("""COMPUTED_VALUE"""),"inactivo")</f>
        <v>inactivo</v>
      </c>
      <c r="I1130" s="30" t="str">
        <f ca="1">IFERROR(__xludf.DUMMYFUNCTION("""COMPUTED_VALUE"""),"universo 07-2020")</f>
        <v>universo 07-2020</v>
      </c>
      <c r="J1130" s="29"/>
      <c r="K1130" s="29"/>
      <c r="L1130" s="30" t="str">
        <f ca="1">IFERROR(__xludf.DUMMYFUNCTION("""COMPUTED_VALUE"""),"No")</f>
        <v>No</v>
      </c>
      <c r="M1130" s="30" t="str">
        <f ca="1">IFERROR(__xludf.DUMMYFUNCTION("""COMPUTED_VALUE"""),"34014020000")</f>
        <v>34014020000</v>
      </c>
      <c r="N1130" s="30" t="str">
        <f ca="1">IFERROR(__xludf.DUMMYFUNCTION("""COMPUTED_VALUE"""),"FORMOSA")</f>
        <v>FORMOSA</v>
      </c>
      <c r="O1130" s="30" t="str">
        <f ca="1">IFERROR(__xludf.DUMMYFUNCTION("""COMPUTED_VALUE"""),"3414")</f>
        <v>3414</v>
      </c>
      <c r="P1130" s="30" t="str">
        <f ca="1">IFERROR(__xludf.DUMMYFUNCTION("""COMPUTED_VALUE"""),"FORMOSA")</f>
        <v>FORMOSA</v>
      </c>
      <c r="Q1130" s="30" t="str">
        <f ca="1">IFERROR(__xludf.DUMMYFUNCTION("""COMPUTED_VALUE"""),"-26.128162")</f>
        <v>-26.128162</v>
      </c>
      <c r="R1130" s="30" t="str">
        <f ca="1">IFERROR(__xludf.DUMMYFUNCTION("""COMPUTED_VALUE"""),"-58.15947533")</f>
        <v>-58.15947533</v>
      </c>
      <c r="S1130" s="30" t="str">
        <f ca="1">IFERROR(__xludf.DUMMYFUNCTION("""COMPUTED_VALUE"""),"Provincial")</f>
        <v>Provincial</v>
      </c>
      <c r="T1130" s="30" t="str">
        <f ca="1">IFERROR(__xludf.DUMMYFUNCTION("""COMPUTED_VALUE"""),"-")</f>
        <v>-</v>
      </c>
    </row>
    <row r="1131" spans="1:20" ht="15.75" customHeight="1" x14ac:dyDescent="0.25">
      <c r="A1131" s="30" t="str">
        <f ca="1">IFERROR(__xludf.DUMMYFUNCTION("""COMPUTED_VALUE"""),"50340142147680")</f>
        <v>50340142147680</v>
      </c>
      <c r="B1131" s="30" t="str">
        <f ca="1">IFERROR(__xludf.DUMMYFUNCTION("""COMPUTED_VALUE"""),"CENTRO DE SALUD GUADALUPE")</f>
        <v>CENTRO DE SALUD GUADALUPE</v>
      </c>
      <c r="C1131" s="30" t="str">
        <f ca="1">IFERROR(__xludf.DUMMYFUNCTION("""COMPUTED_VALUE"""),"Formosa")</f>
        <v>Formosa</v>
      </c>
      <c r="D1131" s="30" t="str">
        <f ca="1">IFERROR(__xludf.DUMMYFUNCTION("""COMPUTED_VALUE"""),"34")</f>
        <v>34</v>
      </c>
      <c r="E1131" s="30" t="str">
        <f ca="1">IFERROR(__xludf.DUMMYFUNCTION("""COMPUTED_VALUE"""),"")</f>
        <v/>
      </c>
      <c r="F1131" s="29"/>
      <c r="G1131" s="29"/>
      <c r="H1131" s="30" t="str">
        <f ca="1">IFERROR(__xludf.DUMMYFUNCTION("""COMPUTED_VALUE"""),"inactivo")</f>
        <v>inactivo</v>
      </c>
      <c r="I1131" s="30" t="str">
        <f ca="1">IFERROR(__xludf.DUMMYFUNCTION("""COMPUTED_VALUE"""),"universo 07-2020")</f>
        <v>universo 07-2020</v>
      </c>
      <c r="J1131" s="29"/>
      <c r="K1131" s="29"/>
      <c r="L1131" s="30" t="str">
        <f ca="1">IFERROR(__xludf.DUMMYFUNCTION("""COMPUTED_VALUE"""),"No")</f>
        <v>No</v>
      </c>
      <c r="M1131" s="30" t="str">
        <f ca="1">IFERROR(__xludf.DUMMYFUNCTION("""COMPUTED_VALUE"""),"34014020000")</f>
        <v>34014020000</v>
      </c>
      <c r="N1131" s="30" t="str">
        <f ca="1">IFERROR(__xludf.DUMMYFUNCTION("""COMPUTED_VALUE"""),"FORMOSA")</f>
        <v>FORMOSA</v>
      </c>
      <c r="O1131" s="30" t="str">
        <f ca="1">IFERROR(__xludf.DUMMYFUNCTION("""COMPUTED_VALUE"""),"3414")</f>
        <v>3414</v>
      </c>
      <c r="P1131" s="30" t="str">
        <f ca="1">IFERROR(__xludf.DUMMYFUNCTION("""COMPUTED_VALUE"""),"FORMOSA")</f>
        <v>FORMOSA</v>
      </c>
      <c r="Q1131" s="30" t="str">
        <f ca="1">IFERROR(__xludf.DUMMYFUNCTION("""COMPUTED_VALUE"""),"-26.18482569")</f>
        <v>-26.18482569</v>
      </c>
      <c r="R1131" s="30" t="str">
        <f ca="1">IFERROR(__xludf.DUMMYFUNCTION("""COMPUTED_VALUE"""),"-58.19405437")</f>
        <v>-58.19405437</v>
      </c>
      <c r="S1131" s="30" t="str">
        <f ca="1">IFERROR(__xludf.DUMMYFUNCTION("""COMPUTED_VALUE"""),"Provincial")</f>
        <v>Provincial</v>
      </c>
      <c r="T1131" s="30" t="str">
        <f ca="1">IFERROR(__xludf.DUMMYFUNCTION("""COMPUTED_VALUE"""),"-")</f>
        <v>-</v>
      </c>
    </row>
    <row r="1132" spans="1:20" ht="15.75" customHeight="1" x14ac:dyDescent="0.25">
      <c r="A1132" s="30" t="str">
        <f ca="1">IFERROR(__xludf.DUMMYFUNCTION("""COMPUTED_VALUE"""),"50340492147115")</f>
        <v>50340492147115</v>
      </c>
      <c r="B1132" s="30" t="str">
        <f ca="1">IFERROR(__xludf.DUMMYFUNCTION("""COMPUTED_VALUE"""),"CENTRO DE SALUD EL PORTEÑO NORTE")</f>
        <v>CENTRO DE SALUD EL PORTEÑO NORTE</v>
      </c>
      <c r="C1132" s="30" t="str">
        <f ca="1">IFERROR(__xludf.DUMMYFUNCTION("""COMPUTED_VALUE"""),"Formosa")</f>
        <v>Formosa</v>
      </c>
      <c r="D1132" s="30" t="str">
        <f ca="1">IFERROR(__xludf.DUMMYFUNCTION("""COMPUTED_VALUE"""),"34")</f>
        <v>34</v>
      </c>
      <c r="E1132" s="30" t="str">
        <f ca="1">IFERROR(__xludf.DUMMYFUNCTION("""COMPUTED_VALUE"""),"")</f>
        <v/>
      </c>
      <c r="F1132" s="29"/>
      <c r="G1132" s="29"/>
      <c r="H1132" s="30" t="str">
        <f ca="1">IFERROR(__xludf.DUMMYFUNCTION("""COMPUTED_VALUE"""),"inactivo")</f>
        <v>inactivo</v>
      </c>
      <c r="I1132" s="30" t="str">
        <f ca="1">IFERROR(__xludf.DUMMYFUNCTION("""COMPUTED_VALUE"""),"universo 07-2020")</f>
        <v>universo 07-2020</v>
      </c>
      <c r="J1132" s="29"/>
      <c r="K1132" s="29"/>
      <c r="L1132" s="30" t="str">
        <f ca="1">IFERROR(__xludf.DUMMYFUNCTION("""COMPUTED_VALUE"""),"No")</f>
        <v>No</v>
      </c>
      <c r="M1132" s="30" t="str">
        <f ca="1">IFERROR(__xludf.DUMMYFUNCTION("""COMPUTED_VALUE"""),"34049010000")</f>
        <v>34049010000</v>
      </c>
      <c r="N1132" s="30" t="str">
        <f ca="1">IFERROR(__xludf.DUMMYFUNCTION("""COMPUTED_VALUE"""),"CLORINDA")</f>
        <v>CLORINDA</v>
      </c>
      <c r="O1132" s="30" t="str">
        <f ca="1">IFERROR(__xludf.DUMMYFUNCTION("""COMPUTED_VALUE"""),"3449")</f>
        <v>3449</v>
      </c>
      <c r="P1132" s="30" t="str">
        <f ca="1">IFERROR(__xludf.DUMMYFUNCTION("""COMPUTED_VALUE"""),"PILCOMAYO")</f>
        <v>PILCOMAYO</v>
      </c>
      <c r="Q1132" s="30" t="str">
        <f ca="1">IFERROR(__xludf.DUMMYFUNCTION("""COMPUTED_VALUE"""),"-25.2881832")</f>
        <v>-25.2881832</v>
      </c>
      <c r="R1132" s="30" t="str">
        <f ca="1">IFERROR(__xludf.DUMMYFUNCTION("""COMPUTED_VALUE"""),"-57.7228203")</f>
        <v>-57.7228203</v>
      </c>
      <c r="S1132" s="30" t="str">
        <f ca="1">IFERROR(__xludf.DUMMYFUNCTION("""COMPUTED_VALUE"""),"Provincial")</f>
        <v>Provincial</v>
      </c>
      <c r="T1132" s="30" t="str">
        <f ca="1">IFERROR(__xludf.DUMMYFUNCTION("""COMPUTED_VALUE"""),"-")</f>
        <v>-</v>
      </c>
    </row>
    <row r="1133" spans="1:20" ht="15.75" customHeight="1" x14ac:dyDescent="0.25">
      <c r="A1133" s="30" t="str">
        <f ca="1">IFERROR(__xludf.DUMMYFUNCTION("""COMPUTED_VALUE"""),"50340632147265")</f>
        <v>50340632147265</v>
      </c>
      <c r="B1133" s="30" t="str">
        <f ca="1">IFERROR(__xludf.DUMMYFUNCTION("""COMPUTED_VALUE"""),"CENTRO DE SALUD LOTE 8")</f>
        <v>CENTRO DE SALUD LOTE 8</v>
      </c>
      <c r="C1133" s="30" t="str">
        <f ca="1">IFERROR(__xludf.DUMMYFUNCTION("""COMPUTED_VALUE"""),"Formosa")</f>
        <v>Formosa</v>
      </c>
      <c r="D1133" s="30" t="str">
        <f ca="1">IFERROR(__xludf.DUMMYFUNCTION("""COMPUTED_VALUE"""),"34")</f>
        <v>34</v>
      </c>
      <c r="E1133" s="30" t="str">
        <f ca="1">IFERROR(__xludf.DUMMYFUNCTION("""COMPUTED_VALUE"""),"si")</f>
        <v>si</v>
      </c>
      <c r="F1133" s="29"/>
      <c r="G1133" s="29"/>
      <c r="H1133" s="30" t="str">
        <f ca="1">IFERROR(__xludf.DUMMYFUNCTION("""COMPUTED_VALUE"""),"activo")</f>
        <v>activo</v>
      </c>
      <c r="I1133" s="29"/>
      <c r="J1133" s="29"/>
      <c r="K1133" s="29"/>
      <c r="L1133" s="30" t="str">
        <f ca="1">IFERROR(__xludf.DUMMYFUNCTION("""COMPUTED_VALUE"""),"No")</f>
        <v>No</v>
      </c>
      <c r="M1133" s="30" t="str">
        <f ca="1">IFERROR(__xludf.DUMMYFUNCTION("""COMPUTED_VALUE"""),"34063010000")</f>
        <v>34063010000</v>
      </c>
      <c r="N1133" s="30" t="str">
        <f ca="1">IFERROR(__xludf.DUMMYFUNCTION("""COMPUTED_VALUE"""),"EL POTRILLO")</f>
        <v>EL POTRILLO</v>
      </c>
      <c r="O1133" s="30" t="str">
        <f ca="1">IFERROR(__xludf.DUMMYFUNCTION("""COMPUTED_VALUE"""),"3463")</f>
        <v>3463</v>
      </c>
      <c r="P1133" s="30" t="str">
        <f ca="1">IFERROR(__xludf.DUMMYFUNCTION("""COMPUTED_VALUE"""),"RAMÓN LISTA")</f>
        <v>RAMÓN LISTA</v>
      </c>
      <c r="Q1133" s="30" t="str">
        <f ca="1">IFERROR(__xludf.DUMMYFUNCTION("""COMPUTED_VALUE"""),"-23.19")</f>
        <v>-23.19</v>
      </c>
      <c r="R1133" s="30" t="str">
        <f ca="1">IFERROR(__xludf.DUMMYFUNCTION("""COMPUTED_VALUE"""),"-62.043611")</f>
        <v>-62.043611</v>
      </c>
      <c r="S1133" s="30" t="str">
        <f ca="1">IFERROR(__xludf.DUMMYFUNCTION("""COMPUTED_VALUE"""),"Provincial")</f>
        <v>Provincial</v>
      </c>
      <c r="T1133" s="30" t="str">
        <f ca="1">IFERROR(__xludf.DUMMYFUNCTION("""COMPUTED_VALUE"""),"-")</f>
        <v>-</v>
      </c>
    </row>
    <row r="1134" spans="1:20" ht="15.75" customHeight="1" x14ac:dyDescent="0.25">
      <c r="A1134" s="30" t="str">
        <f ca="1">IFERROR(__xludf.DUMMYFUNCTION("""COMPUTED_VALUE"""),"CI50340632999991")</f>
        <v>CI50340632999991</v>
      </c>
      <c r="B1134" s="30" t="str">
        <f ca="1">IFERROR(__xludf.DUMMYFUNCTION("""COMPUTED_VALUE"""),"CENTRO DE SALUD MADRASSI")</f>
        <v>CENTRO DE SALUD MADRASSI</v>
      </c>
      <c r="C1134" s="30" t="str">
        <f ca="1">IFERROR(__xludf.DUMMYFUNCTION("""COMPUTED_VALUE"""),"Formosa")</f>
        <v>Formosa</v>
      </c>
      <c r="D1134" s="30" t="str">
        <f ca="1">IFERROR(__xludf.DUMMYFUNCTION("""COMPUTED_VALUE"""),"34")</f>
        <v>34</v>
      </c>
      <c r="E1134" s="30" t="str">
        <f ca="1">IFERROR(__xludf.DUMMYFUNCTION("""COMPUTED_VALUE"""),"")</f>
        <v/>
      </c>
      <c r="F1134" s="29"/>
      <c r="G1134" s="29"/>
      <c r="H1134" s="30" t="str">
        <f ca="1">IFERROR(__xludf.DUMMYFUNCTION("""COMPUTED_VALUE"""),"inactivo")</f>
        <v>inactivo</v>
      </c>
      <c r="I1134" s="30" t="str">
        <f ca="1">IFERROR(__xludf.DUMMYFUNCTION("""COMPUTED_VALUE"""),"universo 07-2020")</f>
        <v>universo 07-2020</v>
      </c>
      <c r="J1134" s="29"/>
      <c r="K1134" s="29"/>
      <c r="L1134" s="30" t="str">
        <f ca="1">IFERROR(__xludf.DUMMYFUNCTION("""COMPUTED_VALUE"""),"No")</f>
        <v>No</v>
      </c>
      <c r="M1134" s="30" t="str">
        <f ca="1">IFERROR(__xludf.DUMMYFUNCTION("""COMPUTED_VALUE"""),"#N/A")</f>
        <v>#N/A</v>
      </c>
      <c r="N1134" s="30" t="str">
        <f ca="1">IFERROR(__xludf.DUMMYFUNCTION("""COMPUTED_VALUE"""),"#N/A")</f>
        <v>#N/A</v>
      </c>
      <c r="O1134" s="30" t="str">
        <f ca="1">IFERROR(__xludf.DUMMYFUNCTION("""COMPUTED_VALUE"""),"#N/A")</f>
        <v>#N/A</v>
      </c>
      <c r="P1134" s="30" t="str">
        <f ca="1">IFERROR(__xludf.DUMMYFUNCTION("""COMPUTED_VALUE"""),"Pilcomayo")</f>
        <v>Pilcomayo</v>
      </c>
      <c r="Q1134" s="30" t="str">
        <f ca="1">IFERROR(__xludf.DUMMYFUNCTION("""COMPUTED_VALUE"""),"#N/A")</f>
        <v>#N/A</v>
      </c>
      <c r="R1134" s="30" t="str">
        <f ca="1">IFERROR(__xludf.DUMMYFUNCTION("""COMPUTED_VALUE"""),"#N/A")</f>
        <v>#N/A</v>
      </c>
      <c r="S1134" s="30" t="str">
        <f ca="1">IFERROR(__xludf.DUMMYFUNCTION("""COMPUTED_VALUE"""),"#N/A")</f>
        <v>#N/A</v>
      </c>
      <c r="T1134" s="29"/>
    </row>
    <row r="1135" spans="1:20" ht="15.75" customHeight="1" x14ac:dyDescent="0.25">
      <c r="A1135" s="30" t="str">
        <f ca="1">IFERROR(__xludf.DUMMYFUNCTION("""COMPUTED_VALUE"""),"CI50340632999992")</f>
        <v>CI50340632999992</v>
      </c>
      <c r="B1135" s="30" t="str">
        <f ca="1">IFERROR(__xludf.DUMMYFUNCTION("""COMPUTED_VALUE"""),"CS 1º DE MAYO")</f>
        <v>CS 1º DE MAYO</v>
      </c>
      <c r="C1135" s="30" t="str">
        <f ca="1">IFERROR(__xludf.DUMMYFUNCTION("""COMPUTED_VALUE"""),"Formosa")</f>
        <v>Formosa</v>
      </c>
      <c r="D1135" s="30" t="str">
        <f ca="1">IFERROR(__xludf.DUMMYFUNCTION("""COMPUTED_VALUE"""),"34")</f>
        <v>34</v>
      </c>
      <c r="E1135" s="30" t="str">
        <f ca="1">IFERROR(__xludf.DUMMYFUNCTION("""COMPUTED_VALUE"""),"")</f>
        <v/>
      </c>
      <c r="F1135" s="29"/>
      <c r="G1135" s="29"/>
      <c r="H1135" s="30" t="str">
        <f ca="1">IFERROR(__xludf.DUMMYFUNCTION("""COMPUTED_VALUE"""),"inactivo")</f>
        <v>inactivo</v>
      </c>
      <c r="I1135" s="30" t="str">
        <f ca="1">IFERROR(__xludf.DUMMYFUNCTION("""COMPUTED_VALUE"""),"universo 07-2020")</f>
        <v>universo 07-2020</v>
      </c>
      <c r="J1135" s="29"/>
      <c r="K1135" s="29"/>
      <c r="L1135" s="30" t="str">
        <f ca="1">IFERROR(__xludf.DUMMYFUNCTION("""COMPUTED_VALUE"""),"No")</f>
        <v>No</v>
      </c>
      <c r="M1135" s="30" t="str">
        <f ca="1">IFERROR(__xludf.DUMMYFUNCTION("""COMPUTED_VALUE"""),"#N/A")</f>
        <v>#N/A</v>
      </c>
      <c r="N1135" s="30" t="str">
        <f ca="1">IFERROR(__xludf.DUMMYFUNCTION("""COMPUTED_VALUE"""),"#N/A")</f>
        <v>#N/A</v>
      </c>
      <c r="O1135" s="30" t="str">
        <f ca="1">IFERROR(__xludf.DUMMYFUNCTION("""COMPUTED_VALUE"""),"#N/A")</f>
        <v>#N/A</v>
      </c>
      <c r="P1135" s="30" t="str">
        <f ca="1">IFERROR(__xludf.DUMMYFUNCTION("""COMPUTED_VALUE"""),"Pilcomayo")</f>
        <v>Pilcomayo</v>
      </c>
      <c r="Q1135" s="30" t="str">
        <f ca="1">IFERROR(__xludf.DUMMYFUNCTION("""COMPUTED_VALUE"""),"#N/A")</f>
        <v>#N/A</v>
      </c>
      <c r="R1135" s="30" t="str">
        <f ca="1">IFERROR(__xludf.DUMMYFUNCTION("""COMPUTED_VALUE"""),"#N/A")</f>
        <v>#N/A</v>
      </c>
      <c r="S1135" s="30" t="str">
        <f ca="1">IFERROR(__xludf.DUMMYFUNCTION("""COMPUTED_VALUE"""),"#N/A")</f>
        <v>#N/A</v>
      </c>
      <c r="T1135" s="29"/>
    </row>
    <row r="1136" spans="1:20" ht="15.75" customHeight="1" x14ac:dyDescent="0.25">
      <c r="A1136" s="30" t="str">
        <f ca="1">IFERROR(__xludf.DUMMYFUNCTION("""COMPUTED_VALUE"""),"10380072150026")</f>
        <v>10380072150026</v>
      </c>
      <c r="B1136" s="30" t="str">
        <f ca="1">IFERROR(__xludf.DUMMYFUNCTION("""COMPUTED_VALUE"""),"HOSPITAL NUESTRA SEÑORA DEL ROSARIO (20)")</f>
        <v>HOSPITAL NUESTRA SEÑORA DEL ROSARIO (20)</v>
      </c>
      <c r="C1136" s="30" t="str">
        <f ca="1">IFERROR(__xludf.DUMMYFUNCTION("""COMPUTED_VALUE"""),"Jujuy")</f>
        <v>Jujuy</v>
      </c>
      <c r="D1136" s="30" t="str">
        <f ca="1">IFERROR(__xludf.DUMMYFUNCTION("""COMPUTED_VALUE"""),"38")</f>
        <v>38</v>
      </c>
      <c r="E1136" s="30" t="str">
        <f ca="1">IFERROR(__xludf.DUMMYFUNCTION("""COMPUTED_VALUE"""),"si")</f>
        <v>si</v>
      </c>
      <c r="F1136" s="29"/>
      <c r="G1136" s="29"/>
      <c r="H1136" s="30" t="str">
        <f ca="1">IFERROR(__xludf.DUMMYFUNCTION("""COMPUTED_VALUE"""),"activo")</f>
        <v>activo</v>
      </c>
      <c r="I1136" s="29"/>
      <c r="J1136" s="29"/>
      <c r="K1136" s="29"/>
      <c r="L1136" s="30" t="str">
        <f ca="1">IFERROR(__xludf.DUMMYFUNCTION("""COMPUTED_VALUE"""),"No")</f>
        <v>No</v>
      </c>
      <c r="M1136" s="30" t="str">
        <f ca="1">IFERROR(__xludf.DUMMYFUNCTION("""COMPUTED_VALUE"""),"38007020000")</f>
        <v>38007020000</v>
      </c>
      <c r="N1136" s="30" t="str">
        <f ca="1">IFERROR(__xludf.DUMMYFUNCTION("""COMPUTED_VALUE"""),"ABRA PAMPA")</f>
        <v>ABRA PAMPA</v>
      </c>
      <c r="O1136" s="30" t="str">
        <f ca="1">IFERROR(__xludf.DUMMYFUNCTION("""COMPUTED_VALUE"""),"387")</f>
        <v>387</v>
      </c>
      <c r="P1136" s="30" t="str">
        <f ca="1">IFERROR(__xludf.DUMMYFUNCTION("""COMPUTED_VALUE"""),"COCHINOCA")</f>
        <v>COCHINOCA</v>
      </c>
      <c r="Q1136" s="30" t="str">
        <f ca="1">IFERROR(__xludf.DUMMYFUNCTION("""COMPUTED_VALUE"""),"-22.7235842")</f>
        <v>-22.7235842</v>
      </c>
      <c r="R1136" s="30" t="str">
        <f ca="1">IFERROR(__xludf.DUMMYFUNCTION("""COMPUTED_VALUE"""),"-65.69856405")</f>
        <v>-65.69856405</v>
      </c>
      <c r="S1136" s="30" t="str">
        <f ca="1">IFERROR(__xludf.DUMMYFUNCTION("""COMPUTED_VALUE"""),"Provincial")</f>
        <v>Provincial</v>
      </c>
      <c r="T1136" s="30" t="str">
        <f ca="1">IFERROR(__xludf.DUMMYFUNCTION("""COMPUTED_VALUE"""),"-")</f>
        <v>-</v>
      </c>
    </row>
    <row r="1137" spans="1:20" ht="15.75" customHeight="1" x14ac:dyDescent="0.25">
      <c r="A1137" s="30" t="str">
        <f ca="1">IFERROR(__xludf.DUMMYFUNCTION("""COMPUTED_VALUE"""),"10380142150017")</f>
        <v>10380142150017</v>
      </c>
      <c r="B1137" s="30" t="str">
        <f ca="1">IFERROR(__xludf.DUMMYFUNCTION("""COMPUTED_VALUE"""),"HOSPITAL DR. ARTURO ZABALA (6)")</f>
        <v>HOSPITAL DR. ARTURO ZABALA (6)</v>
      </c>
      <c r="C1137" s="30" t="str">
        <f ca="1">IFERROR(__xludf.DUMMYFUNCTION("""COMPUTED_VALUE"""),"Jujuy")</f>
        <v>Jujuy</v>
      </c>
      <c r="D1137" s="30" t="str">
        <f ca="1">IFERROR(__xludf.DUMMYFUNCTION("""COMPUTED_VALUE"""),"38")</f>
        <v>38</v>
      </c>
      <c r="E1137" s="30" t="str">
        <f ca="1">IFERROR(__xludf.DUMMYFUNCTION("""COMPUTED_VALUE"""),"")</f>
        <v/>
      </c>
      <c r="F1137" s="29"/>
      <c r="G1137" s="29"/>
      <c r="H1137" s="30" t="str">
        <f ca="1">IFERROR(__xludf.DUMMYFUNCTION("""COMPUTED_VALUE"""),"activo")</f>
        <v>activo</v>
      </c>
      <c r="I1137" s="29"/>
      <c r="J1137" s="29"/>
      <c r="K1137" s="29"/>
      <c r="L1137" s="30" t="str">
        <f ca="1">IFERROR(__xludf.DUMMYFUNCTION("""COMPUTED_VALUE"""),"No")</f>
        <v>No</v>
      </c>
      <c r="M1137" s="30" t="str">
        <f ca="1">IFERROR(__xludf.DUMMYFUNCTION("""COMPUTED_VALUE"""),"38014090000")</f>
        <v>38014090000</v>
      </c>
      <c r="N1137" s="30" t="str">
        <f ca="1">IFERROR(__xludf.DUMMYFUNCTION("""COMPUTED_VALUE"""),"PERICO")</f>
        <v>PERICO</v>
      </c>
      <c r="O1137" s="30" t="str">
        <f ca="1">IFERROR(__xludf.DUMMYFUNCTION("""COMPUTED_VALUE"""),"3814")</f>
        <v>3814</v>
      </c>
      <c r="P1137" s="30" t="str">
        <f ca="1">IFERROR(__xludf.DUMMYFUNCTION("""COMPUTED_VALUE"""),"EL CARMEN")</f>
        <v>EL CARMEN</v>
      </c>
      <c r="Q1137" s="30" t="str">
        <f ca="1">IFERROR(__xludf.DUMMYFUNCTION("""COMPUTED_VALUE"""),"-24.37398388")</f>
        <v>-24.37398388</v>
      </c>
      <c r="R1137" s="30" t="str">
        <f ca="1">IFERROR(__xludf.DUMMYFUNCTION("""COMPUTED_VALUE"""),"-65.11854172")</f>
        <v>-65.11854172</v>
      </c>
      <c r="S1137" s="30" t="str">
        <f ca="1">IFERROR(__xludf.DUMMYFUNCTION("""COMPUTED_VALUE"""),"Provincial")</f>
        <v>Provincial</v>
      </c>
      <c r="T1137" s="30" t="str">
        <f ca="1">IFERROR(__xludf.DUMMYFUNCTION("""COMPUTED_VALUE"""),"-")</f>
        <v>-</v>
      </c>
    </row>
    <row r="1138" spans="1:20" ht="15.75" customHeight="1" x14ac:dyDescent="0.25">
      <c r="A1138" s="30" t="str">
        <f ca="1">IFERROR(__xludf.DUMMYFUNCTION("""COMPUTED_VALUE"""),"10380142150025")</f>
        <v>10380142150025</v>
      </c>
      <c r="B1138" s="30" t="str">
        <f ca="1">IFERROR(__xludf.DUMMYFUNCTION("""COMPUTED_VALUE"""),"HOSPITAL NUESTRA SEÑORA DEL CARMEN (5)")</f>
        <v>HOSPITAL NUESTRA SEÑORA DEL CARMEN (5)</v>
      </c>
      <c r="C1138" s="30" t="str">
        <f ca="1">IFERROR(__xludf.DUMMYFUNCTION("""COMPUTED_VALUE"""),"Jujuy")</f>
        <v>Jujuy</v>
      </c>
      <c r="D1138" s="30" t="str">
        <f ca="1">IFERROR(__xludf.DUMMYFUNCTION("""COMPUTED_VALUE"""),"38")</f>
        <v>38</v>
      </c>
      <c r="E1138" s="30" t="str">
        <f ca="1">IFERROR(__xludf.DUMMYFUNCTION("""COMPUTED_VALUE"""),"si")</f>
        <v>si</v>
      </c>
      <c r="F1138" s="29"/>
      <c r="G1138" s="29"/>
      <c r="H1138" s="30" t="str">
        <f ca="1">IFERROR(__xludf.DUMMYFUNCTION("""COMPUTED_VALUE"""),"activo")</f>
        <v>activo</v>
      </c>
      <c r="I1138" s="29"/>
      <c r="J1138" s="29"/>
      <c r="K1138" s="29"/>
      <c r="L1138" s="30" t="str">
        <f ca="1">IFERROR(__xludf.DUMMYFUNCTION("""COMPUTED_VALUE"""),"No")</f>
        <v>No</v>
      </c>
      <c r="M1138" s="30" t="str">
        <f ca="1">IFERROR(__xludf.DUMMYFUNCTION("""COMPUTED_VALUE"""),"38014040000")</f>
        <v>38014040000</v>
      </c>
      <c r="N1138" s="30" t="str">
        <f ca="1">IFERROR(__xludf.DUMMYFUNCTION("""COMPUTED_VALUE"""),"EL CARMEN")</f>
        <v>EL CARMEN</v>
      </c>
      <c r="O1138" s="30" t="str">
        <f ca="1">IFERROR(__xludf.DUMMYFUNCTION("""COMPUTED_VALUE"""),"3814")</f>
        <v>3814</v>
      </c>
      <c r="P1138" s="30" t="str">
        <f ca="1">IFERROR(__xludf.DUMMYFUNCTION("""COMPUTED_VALUE"""),"EL CARMEN")</f>
        <v>EL CARMEN</v>
      </c>
      <c r="Q1138" s="30" t="str">
        <f ca="1">IFERROR(__xludf.DUMMYFUNCTION("""COMPUTED_VALUE"""),"-24.39109096")</f>
        <v>-24.39109096</v>
      </c>
      <c r="R1138" s="30" t="str">
        <f ca="1">IFERROR(__xludf.DUMMYFUNCTION("""COMPUTED_VALUE"""),"-65.262186")</f>
        <v>-65.262186</v>
      </c>
      <c r="S1138" s="30" t="str">
        <f ca="1">IFERROR(__xludf.DUMMYFUNCTION("""COMPUTED_VALUE"""),"Provincial")</f>
        <v>Provincial</v>
      </c>
      <c r="T1138" s="30" t="str">
        <f ca="1">IFERROR(__xludf.DUMMYFUNCTION("""COMPUTED_VALUE"""),"-")</f>
        <v>-</v>
      </c>
    </row>
    <row r="1139" spans="1:20" ht="15.75" customHeight="1" x14ac:dyDescent="0.25">
      <c r="A1139" s="30" t="str">
        <f ca="1">IFERROR(__xludf.DUMMYFUNCTION("""COMPUTED_VALUE"""),"10380282150021")</f>
        <v>10380282150021</v>
      </c>
      <c r="B1139" s="30" t="str">
        <f ca="1">IFERROR(__xludf.DUMMYFUNCTION("""COMPUTED_VALUE"""),"HOSPITAL GENERAL M. BELGRANO (19)")</f>
        <v>HOSPITAL GENERAL M. BELGRANO (19)</v>
      </c>
      <c r="C1139" s="30" t="str">
        <f ca="1">IFERROR(__xludf.DUMMYFUNCTION("""COMPUTED_VALUE"""),"Jujuy")</f>
        <v>Jujuy</v>
      </c>
      <c r="D1139" s="30" t="str">
        <f ca="1">IFERROR(__xludf.DUMMYFUNCTION("""COMPUTED_VALUE"""),"38")</f>
        <v>38</v>
      </c>
      <c r="E1139" s="30" t="str">
        <f ca="1">IFERROR(__xludf.DUMMYFUNCTION("""COMPUTED_VALUE"""),"si")</f>
        <v>si</v>
      </c>
      <c r="F1139" s="29"/>
      <c r="G1139" s="29"/>
      <c r="H1139" s="30" t="str">
        <f ca="1">IFERROR(__xludf.DUMMYFUNCTION("""COMPUTED_VALUE"""),"activo")</f>
        <v>activo</v>
      </c>
      <c r="I1139" s="29"/>
      <c r="J1139" s="29"/>
      <c r="K1139" s="29"/>
      <c r="L1139" s="30" t="str">
        <f ca="1">IFERROR(__xludf.DUMMYFUNCTION("""COMPUTED_VALUE"""),"No")</f>
        <v>No</v>
      </c>
      <c r="M1139" s="30" t="str">
        <f ca="1">IFERROR(__xludf.DUMMYFUNCTION("""COMPUTED_VALUE"""),"38028040000")</f>
        <v>38028040000</v>
      </c>
      <c r="N1139" s="30" t="str">
        <f ca="1">IFERROR(__xludf.DUMMYFUNCTION("""COMPUTED_VALUE"""),"HUMAHUACA")</f>
        <v>HUMAHUACA</v>
      </c>
      <c r="O1139" s="30" t="str">
        <f ca="1">IFERROR(__xludf.DUMMYFUNCTION("""COMPUTED_VALUE"""),"3828")</f>
        <v>3828</v>
      </c>
      <c r="P1139" s="30" t="str">
        <f ca="1">IFERROR(__xludf.DUMMYFUNCTION("""COMPUTED_VALUE"""),"HUMAHUACA")</f>
        <v>HUMAHUACA</v>
      </c>
      <c r="Q1139" s="30" t="str">
        <f ca="1">IFERROR(__xludf.DUMMYFUNCTION("""COMPUTED_VALUE"""),"-23.201084")</f>
        <v>-23.201084</v>
      </c>
      <c r="R1139" s="30" t="str">
        <f ca="1">IFERROR(__xludf.DUMMYFUNCTION("""COMPUTED_VALUE"""),"-65.35031")</f>
        <v>-65.35031</v>
      </c>
      <c r="S1139" s="30" t="str">
        <f ca="1">IFERROR(__xludf.DUMMYFUNCTION("""COMPUTED_VALUE"""),"Provincial")</f>
        <v>Provincial</v>
      </c>
      <c r="T1139" s="30" t="str">
        <f ca="1">IFERROR(__xludf.DUMMYFUNCTION("""COMPUTED_VALUE"""),"-")</f>
        <v>-</v>
      </c>
    </row>
    <row r="1140" spans="1:20" ht="15.75" customHeight="1" x14ac:dyDescent="0.25">
      <c r="A1140" s="30" t="str">
        <f ca="1">IFERROR(__xludf.DUMMYFUNCTION("""COMPUTED_VALUE"""),"10380352150029")</f>
        <v>10380352150029</v>
      </c>
      <c r="B1140" s="30" t="str">
        <f ca="1">IFERROR(__xludf.DUMMYFUNCTION("""COMPUTED_VALUE"""),"HOSPITAL PRESBITERO ESCOLASTICO ZEGADA (10)")</f>
        <v>HOSPITAL PRESBITERO ESCOLASTICO ZEGADA (10)</v>
      </c>
      <c r="C1140" s="30" t="str">
        <f ca="1">IFERROR(__xludf.DUMMYFUNCTION("""COMPUTED_VALUE"""),"Jujuy")</f>
        <v>Jujuy</v>
      </c>
      <c r="D1140" s="30" t="str">
        <f ca="1">IFERROR(__xludf.DUMMYFUNCTION("""COMPUTED_VALUE"""),"38")</f>
        <v>38</v>
      </c>
      <c r="E1140" s="30" t="str">
        <f ca="1">IFERROR(__xludf.DUMMYFUNCTION("""COMPUTED_VALUE"""),"")</f>
        <v/>
      </c>
      <c r="F1140" s="29"/>
      <c r="G1140" s="29"/>
      <c r="H1140" s="30" t="str">
        <f ca="1">IFERROR(__xludf.DUMMYFUNCTION("""COMPUTED_VALUE"""),"activo")</f>
        <v>activo</v>
      </c>
      <c r="I1140" s="29"/>
      <c r="J1140" s="29"/>
      <c r="K1140" s="29"/>
      <c r="L1140" s="30" t="str">
        <f ca="1">IFERROR(__xludf.DUMMYFUNCTION("""COMPUTED_VALUE"""),"No")</f>
        <v>No</v>
      </c>
      <c r="M1140" s="30" t="str">
        <f ca="1">IFERROR(__xludf.DUMMYFUNCTION("""COMPUTED_VALUE"""),"38035060000")</f>
        <v>38035060000</v>
      </c>
      <c r="N1140" s="30" t="str">
        <f ca="1">IFERROR(__xludf.DUMMYFUNCTION("""COMPUTED_VALUE"""),"FRAILE PINTADO")</f>
        <v>FRAILE PINTADO</v>
      </c>
      <c r="O1140" s="30" t="str">
        <f ca="1">IFERROR(__xludf.DUMMYFUNCTION("""COMPUTED_VALUE"""),"3835")</f>
        <v>3835</v>
      </c>
      <c r="P1140" s="30" t="str">
        <f ca="1">IFERROR(__xludf.DUMMYFUNCTION("""COMPUTED_VALUE"""),"LEDESMA")</f>
        <v>LEDESMA</v>
      </c>
      <c r="Q1140" s="30" t="str">
        <f ca="1">IFERROR(__xludf.DUMMYFUNCTION("""COMPUTED_VALUE"""),"-23.945164")</f>
        <v>-23.945164</v>
      </c>
      <c r="R1140" s="30" t="str">
        <f ca="1">IFERROR(__xludf.DUMMYFUNCTION("""COMPUTED_VALUE"""),"-64.802507")</f>
        <v>-64.802507</v>
      </c>
      <c r="S1140" s="30" t="str">
        <f ca="1">IFERROR(__xludf.DUMMYFUNCTION("""COMPUTED_VALUE"""),"Provincial")</f>
        <v>Provincial</v>
      </c>
      <c r="T1140" s="30" t="str">
        <f ca="1">IFERROR(__xludf.DUMMYFUNCTION("""COMPUTED_VALUE"""),"-")</f>
        <v>-</v>
      </c>
    </row>
    <row r="1141" spans="1:20" ht="15.75" customHeight="1" x14ac:dyDescent="0.25">
      <c r="A1141" s="30" t="str">
        <f ca="1">IFERROR(__xludf.DUMMYFUNCTION("""COMPUTED_VALUE"""),"10380702150027")</f>
        <v>10380702150027</v>
      </c>
      <c r="B1141" s="30" t="str">
        <f ca="1">IFERROR(__xludf.DUMMYFUNCTION("""COMPUTED_VALUE"""),"HOSPITAL NUESTRA SEÑORA DEL VALLE (15)")</f>
        <v>HOSPITAL NUESTRA SEÑORA DEL VALLE (15)</v>
      </c>
      <c r="C1141" s="30" t="str">
        <f ca="1">IFERROR(__xludf.DUMMYFUNCTION("""COMPUTED_VALUE"""),"Jujuy")</f>
        <v>Jujuy</v>
      </c>
      <c r="D1141" s="30" t="str">
        <f ca="1">IFERROR(__xludf.DUMMYFUNCTION("""COMPUTED_VALUE"""),"38")</f>
        <v>38</v>
      </c>
      <c r="E1141" s="30" t="str">
        <f ca="1">IFERROR(__xludf.DUMMYFUNCTION("""COMPUTED_VALUE"""),"si")</f>
        <v>si</v>
      </c>
      <c r="F1141" s="29"/>
      <c r="G1141" s="29"/>
      <c r="H1141" s="30" t="str">
        <f ca="1">IFERROR(__xludf.DUMMYFUNCTION("""COMPUTED_VALUE"""),"activo")</f>
        <v>activo</v>
      </c>
      <c r="I1141" s="29"/>
      <c r="J1141" s="29"/>
      <c r="K1141" s="29"/>
      <c r="L1141" s="30" t="str">
        <f ca="1">IFERROR(__xludf.DUMMYFUNCTION("""COMPUTED_VALUE"""),"No")</f>
        <v>No</v>
      </c>
      <c r="M1141" s="30" t="str">
        <f ca="1">IFERROR(__xludf.DUMMYFUNCTION("""COMPUTED_VALUE"""),"38070040000")</f>
        <v>38070040000</v>
      </c>
      <c r="N1141" s="30" t="str">
        <f ca="1">IFERROR(__xludf.DUMMYFUNCTION("""COMPUTED_VALUE"""),"PALMA SOLA")</f>
        <v>PALMA SOLA</v>
      </c>
      <c r="O1141" s="30" t="str">
        <f ca="1">IFERROR(__xludf.DUMMYFUNCTION("""COMPUTED_VALUE"""),"3870")</f>
        <v>3870</v>
      </c>
      <c r="P1141" s="30" t="str">
        <f ca="1">IFERROR(__xludf.DUMMYFUNCTION("""COMPUTED_VALUE"""),"SANTA BÁRBARA")</f>
        <v>SANTA BÁRBARA</v>
      </c>
      <c r="Q1141" s="30" t="str">
        <f ca="1">IFERROR(__xludf.DUMMYFUNCTION("""COMPUTED_VALUE"""),"-23.97679129")</f>
        <v>-23.97679129</v>
      </c>
      <c r="R1141" s="30" t="str">
        <f ca="1">IFERROR(__xludf.DUMMYFUNCTION("""COMPUTED_VALUE"""),"-64.30410156")</f>
        <v>-64.30410156</v>
      </c>
      <c r="S1141" s="30" t="str">
        <f ca="1">IFERROR(__xludf.DUMMYFUNCTION("""COMPUTED_VALUE"""),"Provincial")</f>
        <v>Provincial</v>
      </c>
      <c r="T1141" s="30" t="str">
        <f ca="1">IFERROR(__xludf.DUMMYFUNCTION("""COMPUTED_VALUE"""),"-")</f>
        <v>-</v>
      </c>
    </row>
    <row r="1142" spans="1:20" ht="15.75" customHeight="1" x14ac:dyDescent="0.25">
      <c r="A1142" s="30" t="str">
        <f ca="1">IFERROR(__xludf.DUMMYFUNCTION("""COMPUTED_VALUE"""),"10380422150032")</f>
        <v>10380422150032</v>
      </c>
      <c r="B1142" s="30" t="str">
        <f ca="1">IFERROR(__xludf.DUMMYFUNCTION("""COMPUTED_VALUE"""),"HOSPITAL WENCESLAO GALLARDO (4)")</f>
        <v>HOSPITAL WENCESLAO GALLARDO (4)</v>
      </c>
      <c r="C1142" s="30" t="str">
        <f ca="1">IFERROR(__xludf.DUMMYFUNCTION("""COMPUTED_VALUE"""),"Jujuy")</f>
        <v>Jujuy</v>
      </c>
      <c r="D1142" s="30" t="str">
        <f ca="1">IFERROR(__xludf.DUMMYFUNCTION("""COMPUTED_VALUE"""),"38")</f>
        <v>38</v>
      </c>
      <c r="E1142" s="30" t="str">
        <f ca="1">IFERROR(__xludf.DUMMYFUNCTION("""COMPUTED_VALUE"""),"")</f>
        <v/>
      </c>
      <c r="F1142" s="29"/>
      <c r="G1142" s="29"/>
      <c r="H1142" s="30" t="str">
        <f ca="1">IFERROR(__xludf.DUMMYFUNCTION("""COMPUTED_VALUE"""),"activo")</f>
        <v>activo</v>
      </c>
      <c r="I1142" s="29"/>
      <c r="J1142" s="29"/>
      <c r="K1142" s="29"/>
      <c r="L1142" s="30" t="str">
        <f ca="1">IFERROR(__xludf.DUMMYFUNCTION("""COMPUTED_VALUE"""),"No")</f>
        <v>No</v>
      </c>
      <c r="M1142" s="30" t="str">
        <f ca="1">IFERROR(__xludf.DUMMYFUNCTION("""COMPUTED_VALUE"""),"38042040001")</f>
        <v>38042040001</v>
      </c>
      <c r="N1142" s="30" t="str">
        <f ca="1">IFERROR(__xludf.DUMMYFUNCTION("""COMPUTED_VALUE"""),"PALPALA")</f>
        <v>PALPALA</v>
      </c>
      <c r="O1142" s="30" t="str">
        <f ca="1">IFERROR(__xludf.DUMMYFUNCTION("""COMPUTED_VALUE"""),"3842")</f>
        <v>3842</v>
      </c>
      <c r="P1142" s="30" t="str">
        <f ca="1">IFERROR(__xludf.DUMMYFUNCTION("""COMPUTED_VALUE"""),"PALPALÁ")</f>
        <v>PALPALÁ</v>
      </c>
      <c r="Q1142" s="30" t="str">
        <f ca="1">IFERROR(__xludf.DUMMYFUNCTION("""COMPUTED_VALUE"""),"-24.2575046")</f>
        <v>-24.2575046</v>
      </c>
      <c r="R1142" s="30" t="str">
        <f ca="1">IFERROR(__xludf.DUMMYFUNCTION("""COMPUTED_VALUE"""),"-65.21339")</f>
        <v>-65.21339</v>
      </c>
      <c r="S1142" s="30" t="str">
        <f ca="1">IFERROR(__xludf.DUMMYFUNCTION("""COMPUTED_VALUE"""),"Provincial")</f>
        <v>Provincial</v>
      </c>
      <c r="T1142" s="30" t="str">
        <f ca="1">IFERROR(__xludf.DUMMYFUNCTION("""COMPUTED_VALUE"""),"-")</f>
        <v>-</v>
      </c>
    </row>
    <row r="1143" spans="1:20" ht="15.75" customHeight="1" x14ac:dyDescent="0.25">
      <c r="A1143" s="30" t="str">
        <f ca="1">IFERROR(__xludf.DUMMYFUNCTION("""COMPUTED_VALUE"""),"10380942150014")</f>
        <v>10380942150014</v>
      </c>
      <c r="B1143" s="30" t="str">
        <f ca="1">IFERROR(__xludf.DUMMYFUNCTION("""COMPUTED_VALUE"""),"HOSPITAL DR. SALVADOR MAZZA (18)")</f>
        <v>HOSPITAL DR. SALVADOR MAZZA (18)</v>
      </c>
      <c r="C1143" s="30" t="str">
        <f ca="1">IFERROR(__xludf.DUMMYFUNCTION("""COMPUTED_VALUE"""),"Jujuy")</f>
        <v>Jujuy</v>
      </c>
      <c r="D1143" s="30" t="str">
        <f ca="1">IFERROR(__xludf.DUMMYFUNCTION("""COMPUTED_VALUE"""),"38")</f>
        <v>38</v>
      </c>
      <c r="E1143" s="30" t="str">
        <f ca="1">IFERROR(__xludf.DUMMYFUNCTION("""COMPUTED_VALUE"""),"")</f>
        <v/>
      </c>
      <c r="F1143" s="29"/>
      <c r="G1143" s="29"/>
      <c r="H1143" s="30" t="str">
        <f ca="1">IFERROR(__xludf.DUMMYFUNCTION("""COMPUTED_VALUE"""),"activo")</f>
        <v>activo</v>
      </c>
      <c r="I1143" s="29"/>
      <c r="J1143" s="29"/>
      <c r="K1143" s="29"/>
      <c r="L1143" s="30" t="str">
        <f ca="1">IFERROR(__xludf.DUMMYFUNCTION("""COMPUTED_VALUE"""),"No")</f>
        <v>No</v>
      </c>
      <c r="M1143" s="30" t="str">
        <f ca="1">IFERROR(__xludf.DUMMYFUNCTION("""COMPUTED_VALUE"""),"38094050000")</f>
        <v>38094050000</v>
      </c>
      <c r="N1143" s="30" t="str">
        <f ca="1">IFERROR(__xludf.DUMMYFUNCTION("""COMPUTED_VALUE"""),"TILCARA")</f>
        <v>TILCARA</v>
      </c>
      <c r="O1143" s="30" t="str">
        <f ca="1">IFERROR(__xludf.DUMMYFUNCTION("""COMPUTED_VALUE"""),"3894")</f>
        <v>3894</v>
      </c>
      <c r="P1143" s="30" t="str">
        <f ca="1">IFERROR(__xludf.DUMMYFUNCTION("""COMPUTED_VALUE"""),"TILCARA")</f>
        <v>TILCARA</v>
      </c>
      <c r="Q1143" s="30" t="str">
        <f ca="1">IFERROR(__xludf.DUMMYFUNCTION("""COMPUTED_VALUE"""),"-23.575881")</f>
        <v>-23.575881</v>
      </c>
      <c r="R1143" s="30" t="str">
        <f ca="1">IFERROR(__xludf.DUMMYFUNCTION("""COMPUTED_VALUE"""),"-65.395327")</f>
        <v>-65.395327</v>
      </c>
      <c r="S1143" s="30" t="str">
        <f ca="1">IFERROR(__xludf.DUMMYFUNCTION("""COMPUTED_VALUE"""),"Provincial")</f>
        <v>Provincial</v>
      </c>
      <c r="T1143" s="30" t="str">
        <f ca="1">IFERROR(__xludf.DUMMYFUNCTION("""COMPUTED_VALUE"""),"-")</f>
        <v>-</v>
      </c>
    </row>
    <row r="1144" spans="1:20" ht="15.75" customHeight="1" x14ac:dyDescent="0.25">
      <c r="A1144" s="30" t="str">
        <f ca="1">IFERROR(__xludf.DUMMYFUNCTION("""COMPUTED_VALUE"""),"10380942150023")</f>
        <v>10380942150023</v>
      </c>
      <c r="B1144" s="30" t="str">
        <f ca="1">IFERROR(__xludf.DUMMYFUNCTION("""COMPUTED_VALUE"""),"HOSPITAL MAIMARA (16)")</f>
        <v>HOSPITAL MAIMARA (16)</v>
      </c>
      <c r="C1144" s="30" t="str">
        <f ca="1">IFERROR(__xludf.DUMMYFUNCTION("""COMPUTED_VALUE"""),"Jujuy")</f>
        <v>Jujuy</v>
      </c>
      <c r="D1144" s="30" t="str">
        <f ca="1">IFERROR(__xludf.DUMMYFUNCTION("""COMPUTED_VALUE"""),"38")</f>
        <v>38</v>
      </c>
      <c r="E1144" s="30" t="str">
        <f ca="1">IFERROR(__xludf.DUMMYFUNCTION("""COMPUTED_VALUE"""),"")</f>
        <v/>
      </c>
      <c r="F1144" s="29"/>
      <c r="G1144" s="29"/>
      <c r="H1144" s="30" t="str">
        <f ca="1">IFERROR(__xludf.DUMMYFUNCTION("""COMPUTED_VALUE"""),"activo")</f>
        <v>activo</v>
      </c>
      <c r="I1144" s="29"/>
      <c r="J1144" s="29"/>
      <c r="K1144" s="29"/>
      <c r="L1144" s="30" t="str">
        <f ca="1">IFERROR(__xludf.DUMMYFUNCTION("""COMPUTED_VALUE"""),"No")</f>
        <v>No</v>
      </c>
      <c r="M1144" s="30" t="str">
        <f ca="1">IFERROR(__xludf.DUMMYFUNCTION("""COMPUTED_VALUE"""),"38094040000")</f>
        <v>38094040000</v>
      </c>
      <c r="N1144" s="30" t="str">
        <f ca="1">IFERROR(__xludf.DUMMYFUNCTION("""COMPUTED_VALUE"""),"MAIMARA")</f>
        <v>MAIMARA</v>
      </c>
      <c r="O1144" s="30" t="str">
        <f ca="1">IFERROR(__xludf.DUMMYFUNCTION("""COMPUTED_VALUE"""),"3894")</f>
        <v>3894</v>
      </c>
      <c r="P1144" s="30" t="str">
        <f ca="1">IFERROR(__xludf.DUMMYFUNCTION("""COMPUTED_VALUE"""),"TILCARA")</f>
        <v>TILCARA</v>
      </c>
      <c r="Q1144" s="30" t="str">
        <f ca="1">IFERROR(__xludf.DUMMYFUNCTION("""COMPUTED_VALUE"""),"-23.6305003")</f>
        <v>-23.6305003</v>
      </c>
      <c r="R1144" s="30" t="str">
        <f ca="1">IFERROR(__xludf.DUMMYFUNCTION("""COMPUTED_VALUE"""),"-65.4115955")</f>
        <v>-65.4115955</v>
      </c>
      <c r="S1144" s="30" t="str">
        <f ca="1">IFERROR(__xludf.DUMMYFUNCTION("""COMPUTED_VALUE"""),"Provincial")</f>
        <v>Provincial</v>
      </c>
      <c r="T1144" s="30" t="str">
        <f ca="1">IFERROR(__xludf.DUMMYFUNCTION("""COMPUTED_VALUE"""),"-")</f>
        <v>-</v>
      </c>
    </row>
    <row r="1145" spans="1:20" ht="15.75" customHeight="1" x14ac:dyDescent="0.25">
      <c r="A1145" s="30" t="str">
        <f ca="1">IFERROR(__xludf.DUMMYFUNCTION("""COMPUTED_VALUE"""),"10381122150019")</f>
        <v>10381122150019</v>
      </c>
      <c r="B1145" s="30" t="str">
        <f ca="1">IFERROR(__xludf.DUMMYFUNCTION("""COMPUTED_VALUE"""),"HOSPITAL DR. JORGE URO (21)")</f>
        <v>HOSPITAL DR. JORGE URO (21)</v>
      </c>
      <c r="C1145" s="30" t="str">
        <f ca="1">IFERROR(__xludf.DUMMYFUNCTION("""COMPUTED_VALUE"""),"Jujuy")</f>
        <v>Jujuy</v>
      </c>
      <c r="D1145" s="30" t="str">
        <f ca="1">IFERROR(__xludf.DUMMYFUNCTION("""COMPUTED_VALUE"""),"38")</f>
        <v>38</v>
      </c>
      <c r="E1145" s="30" t="str">
        <f ca="1">IFERROR(__xludf.DUMMYFUNCTION("""COMPUTED_VALUE"""),"si")</f>
        <v>si</v>
      </c>
      <c r="F1145" s="29"/>
      <c r="G1145" s="29"/>
      <c r="H1145" s="30" t="str">
        <f ca="1">IFERROR(__xludf.DUMMYFUNCTION("""COMPUTED_VALUE"""),"activo")</f>
        <v>activo</v>
      </c>
      <c r="I1145" s="29"/>
      <c r="J1145" s="29"/>
      <c r="K1145" s="29"/>
      <c r="L1145" s="30" t="str">
        <f ca="1">IFERROR(__xludf.DUMMYFUNCTION("""COMPUTED_VALUE"""),"No")</f>
        <v>No</v>
      </c>
      <c r="M1145" s="30" t="str">
        <f ca="1">IFERROR(__xludf.DUMMYFUNCTION("""COMPUTED_VALUE"""),"38112050000")</f>
        <v>38112050000</v>
      </c>
      <c r="N1145" s="30" t="str">
        <f ca="1">IFERROR(__xludf.DUMMYFUNCTION("""COMPUTED_VALUE"""),"LA QUIACA")</f>
        <v>LA QUIACA</v>
      </c>
      <c r="O1145" s="30" t="str">
        <f ca="1">IFERROR(__xludf.DUMMYFUNCTION("""COMPUTED_VALUE"""),"38112")</f>
        <v>38112</v>
      </c>
      <c r="P1145" s="30" t="str">
        <f ca="1">IFERROR(__xludf.DUMMYFUNCTION("""COMPUTED_VALUE"""),"YAVI")</f>
        <v>YAVI</v>
      </c>
      <c r="Q1145" s="30" t="str">
        <f ca="1">IFERROR(__xludf.DUMMYFUNCTION("""COMPUTED_VALUE"""),"-22.1109444")</f>
        <v>-22.1109444</v>
      </c>
      <c r="R1145" s="30" t="str">
        <f ca="1">IFERROR(__xludf.DUMMYFUNCTION("""COMPUTED_VALUE"""),"-65.5978075")</f>
        <v>-65.5978075</v>
      </c>
      <c r="S1145" s="30" t="str">
        <f ca="1">IFERROR(__xludf.DUMMYFUNCTION("""COMPUTED_VALUE"""),"Provincial")</f>
        <v>Provincial</v>
      </c>
      <c r="T1145" s="30" t="str">
        <f ca="1">IFERROR(__xludf.DUMMYFUNCTION("""COMPUTED_VALUE"""),"-")</f>
        <v>-</v>
      </c>
    </row>
    <row r="1146" spans="1:20" ht="15.75" customHeight="1" x14ac:dyDescent="0.25">
      <c r="A1146" s="30" t="str">
        <f ca="1">IFERROR(__xludf.DUMMYFUNCTION("""COMPUTED_VALUE"""),"50380142150280")</f>
        <v>50380142150280</v>
      </c>
      <c r="B1146" s="30" t="str">
        <f ca="1">IFERROR(__xludf.DUMMYFUNCTION("""COMPUTED_VALUE"""),"CIC N° 2  (SAN JOSE) (6)")</f>
        <v>CIC N° 2  (SAN JOSE) (6)</v>
      </c>
      <c r="C1146" s="30" t="str">
        <f ca="1">IFERROR(__xludf.DUMMYFUNCTION("""COMPUTED_VALUE"""),"Jujuy")</f>
        <v>Jujuy</v>
      </c>
      <c r="D1146" s="30" t="str">
        <f ca="1">IFERROR(__xludf.DUMMYFUNCTION("""COMPUTED_VALUE"""),"38")</f>
        <v>38</v>
      </c>
      <c r="E1146" s="30" t="str">
        <f ca="1">IFERROR(__xludf.DUMMYFUNCTION("""COMPUTED_VALUE"""),"")</f>
        <v/>
      </c>
      <c r="F1146" s="29"/>
      <c r="G1146" s="29"/>
      <c r="H1146" s="30" t="str">
        <f ca="1">IFERROR(__xludf.DUMMYFUNCTION("""COMPUTED_VALUE"""),"activo")</f>
        <v>activo</v>
      </c>
      <c r="I1146" s="29"/>
      <c r="J1146" s="29"/>
      <c r="K1146" s="29"/>
      <c r="L1146" s="30" t="str">
        <f ca="1">IFERROR(__xludf.DUMMYFUNCTION("""COMPUTED_VALUE"""),"No")</f>
        <v>No</v>
      </c>
      <c r="M1146" s="30" t="str">
        <f ca="1">IFERROR(__xludf.DUMMYFUNCTION("""COMPUTED_VALUE"""),"38014090000")</f>
        <v>38014090000</v>
      </c>
      <c r="N1146" s="30" t="str">
        <f ca="1">IFERROR(__xludf.DUMMYFUNCTION("""COMPUTED_VALUE"""),"PERICO")</f>
        <v>PERICO</v>
      </c>
      <c r="O1146" s="30" t="str">
        <f ca="1">IFERROR(__xludf.DUMMYFUNCTION("""COMPUTED_VALUE"""),"3814")</f>
        <v>3814</v>
      </c>
      <c r="P1146" s="30" t="str">
        <f ca="1">IFERROR(__xludf.DUMMYFUNCTION("""COMPUTED_VALUE"""),"EL CARMEN")</f>
        <v>EL CARMEN</v>
      </c>
      <c r="Q1146" s="30" t="str">
        <f ca="1">IFERROR(__xludf.DUMMYFUNCTION("""COMPUTED_VALUE"""),"-24.3817123")</f>
        <v>-24.3817123</v>
      </c>
      <c r="R1146" s="30" t="str">
        <f ca="1">IFERROR(__xludf.DUMMYFUNCTION("""COMPUTED_VALUE"""),"-65.1201075")</f>
        <v>-65.1201075</v>
      </c>
      <c r="S1146" s="30" t="str">
        <f ca="1">IFERROR(__xludf.DUMMYFUNCTION("""COMPUTED_VALUE"""),"Provincial")</f>
        <v>Provincial</v>
      </c>
      <c r="T1146" s="30" t="str">
        <f ca="1">IFERROR(__xludf.DUMMYFUNCTION("""COMPUTED_VALUE"""),"-")</f>
        <v>-</v>
      </c>
    </row>
    <row r="1147" spans="1:20" ht="15.75" customHeight="1" x14ac:dyDescent="0.25">
      <c r="A1147" s="30" t="str">
        <f ca="1">IFERROR(__xludf.DUMMYFUNCTION("""COMPUTED_VALUE"""),"50380142150311")</f>
        <v>50380142150311</v>
      </c>
      <c r="B1147" s="30" t="str">
        <f ca="1">IFERROR(__xludf.DUMMYFUNCTION("""COMPUTED_VALUE"""),"HOSPITAL SAN ISIDRO LABRADOR")</f>
        <v>HOSPITAL SAN ISIDRO LABRADOR</v>
      </c>
      <c r="C1147" s="30" t="str">
        <f ca="1">IFERROR(__xludf.DUMMYFUNCTION("""COMPUTED_VALUE"""),"Jujuy")</f>
        <v>Jujuy</v>
      </c>
      <c r="D1147" s="30" t="str">
        <f ca="1">IFERROR(__xludf.DUMMYFUNCTION("""COMPUTED_VALUE"""),"38")</f>
        <v>38</v>
      </c>
      <c r="E1147" s="30" t="str">
        <f ca="1">IFERROR(__xludf.DUMMYFUNCTION("""COMPUTED_VALUE"""),"")</f>
        <v/>
      </c>
      <c r="F1147" s="29"/>
      <c r="G1147" s="29"/>
      <c r="H1147" s="30" t="str">
        <f ca="1">IFERROR(__xludf.DUMMYFUNCTION("""COMPUTED_VALUE"""),"activo")</f>
        <v>activo</v>
      </c>
      <c r="I1147" s="29"/>
      <c r="J1147" s="29"/>
      <c r="K1147" s="29"/>
      <c r="L1147" s="30" t="str">
        <f ca="1">IFERROR(__xludf.DUMMYFUNCTION("""COMPUTED_VALUE"""),"No")</f>
        <v>No</v>
      </c>
      <c r="M1147" s="30" t="str">
        <f ca="1">IFERROR(__xludf.DUMMYFUNCTION("""COMPUTED_VALUE"""),"38014070")</f>
        <v>38014070</v>
      </c>
      <c r="N1147" s="30" t="str">
        <f ca="1">IFERROR(__xludf.DUMMYFUNCTION("""COMPUTED_VALUE"""),"MONTERRICO  (MONTERRICO)")</f>
        <v>MONTERRICO  (MONTERRICO)</v>
      </c>
      <c r="O1147" s="30" t="str">
        <f ca="1">IFERROR(__xludf.DUMMYFUNCTION("""COMPUTED_VALUE"""),"3814")</f>
        <v>3814</v>
      </c>
      <c r="P1147" s="30" t="str">
        <f ca="1">IFERROR(__xludf.DUMMYFUNCTION("""COMPUTED_VALUE"""),"EL CARMEN")</f>
        <v>EL CARMEN</v>
      </c>
      <c r="Q1147" s="30" t="str">
        <f ca="1">IFERROR(__xludf.DUMMYFUNCTION("""COMPUTED_VALUE"""),"-24.44248402")</f>
        <v>-24.44248402</v>
      </c>
      <c r="R1147" s="30" t="str">
        <f ca="1">IFERROR(__xludf.DUMMYFUNCTION("""COMPUTED_VALUE"""),"-65.15905699")</f>
        <v>-65.15905699</v>
      </c>
      <c r="S1147" s="30" t="str">
        <f ca="1">IFERROR(__xludf.DUMMYFUNCTION("""COMPUTED_VALUE"""),"Provincial")</f>
        <v>Provincial</v>
      </c>
      <c r="T1147" s="30" t="str">
        <f ca="1">IFERROR(__xludf.DUMMYFUNCTION("""COMPUTED_VALUE"""),"-")</f>
        <v>-</v>
      </c>
    </row>
    <row r="1148" spans="1:20" ht="15.75" customHeight="1" x14ac:dyDescent="0.25">
      <c r="A1148" s="30" t="str">
        <f ca="1">IFERROR(__xludf.DUMMYFUNCTION("""COMPUTED_VALUE"""),"50380142150512")</f>
        <v>50380142150512</v>
      </c>
      <c r="B1148" s="30" t="str">
        <f ca="1">IFERROR(__xludf.DUMMYFUNCTION("""COMPUTED_VALUE"""),"CIC N° 1 LA POSTA (6)")</f>
        <v>CIC N° 1 LA POSTA (6)</v>
      </c>
      <c r="C1148" s="30" t="str">
        <f ca="1">IFERROR(__xludf.DUMMYFUNCTION("""COMPUTED_VALUE"""),"Jujuy")</f>
        <v>Jujuy</v>
      </c>
      <c r="D1148" s="30" t="str">
        <f ca="1">IFERROR(__xludf.DUMMYFUNCTION("""COMPUTED_VALUE"""),"38")</f>
        <v>38</v>
      </c>
      <c r="E1148" s="30" t="str">
        <f ca="1">IFERROR(__xludf.DUMMYFUNCTION("""COMPUTED_VALUE"""),"")</f>
        <v/>
      </c>
      <c r="F1148" s="29"/>
      <c r="G1148" s="29"/>
      <c r="H1148" s="30" t="str">
        <f ca="1">IFERROR(__xludf.DUMMYFUNCTION("""COMPUTED_VALUE"""),"activo")</f>
        <v>activo</v>
      </c>
      <c r="I1148" s="29"/>
      <c r="J1148" s="29"/>
      <c r="K1148" s="29"/>
      <c r="L1148" s="30" t="str">
        <f ca="1">IFERROR(__xludf.DUMMYFUNCTION("""COMPUTED_VALUE"""),"No")</f>
        <v>No</v>
      </c>
      <c r="M1148" s="30" t="str">
        <f ca="1">IFERROR(__xludf.DUMMYFUNCTION("""COMPUTED_VALUE"""),"38014090000")</f>
        <v>38014090000</v>
      </c>
      <c r="N1148" s="30" t="str">
        <f ca="1">IFERROR(__xludf.DUMMYFUNCTION("""COMPUTED_VALUE"""),"PERICO")</f>
        <v>PERICO</v>
      </c>
      <c r="O1148" s="30" t="str">
        <f ca="1">IFERROR(__xludf.DUMMYFUNCTION("""COMPUTED_VALUE"""),"3814")</f>
        <v>3814</v>
      </c>
      <c r="P1148" s="30" t="str">
        <f ca="1">IFERROR(__xludf.DUMMYFUNCTION("""COMPUTED_VALUE"""),"EL CARMEN")</f>
        <v>EL CARMEN</v>
      </c>
      <c r="Q1148" s="30" t="str">
        <f ca="1">IFERROR(__xludf.DUMMYFUNCTION("""COMPUTED_VALUE"""),"-24.3830232")</f>
        <v>-24.3830232</v>
      </c>
      <c r="R1148" s="30" t="str">
        <f ca="1">IFERROR(__xludf.DUMMYFUNCTION("""COMPUTED_VALUE"""),"-65.13047218")</f>
        <v>-65.13047218</v>
      </c>
      <c r="S1148" s="30" t="str">
        <f ca="1">IFERROR(__xludf.DUMMYFUNCTION("""COMPUTED_VALUE"""),"Provincial")</f>
        <v>Provincial</v>
      </c>
      <c r="T1148" s="30" t="str">
        <f ca="1">IFERROR(__xludf.DUMMYFUNCTION("""COMPUTED_VALUE"""),"-")</f>
        <v>-</v>
      </c>
    </row>
    <row r="1149" spans="1:20" ht="15.75" customHeight="1" x14ac:dyDescent="0.25">
      <c r="A1149" s="30" t="str">
        <f ca="1">IFERROR(__xludf.DUMMYFUNCTION("""COMPUTED_VALUE"""),"50380212150067")</f>
        <v>50380212150067</v>
      </c>
      <c r="B1149" s="30" t="str">
        <f ca="1">IFERROR(__xludf.DUMMYFUNCTION("""COMPUTED_VALUE"""),"CAPS ALBERDI (1)")</f>
        <v>CAPS ALBERDI (1)</v>
      </c>
      <c r="C1149" s="30" t="str">
        <f ca="1">IFERROR(__xludf.DUMMYFUNCTION("""COMPUTED_VALUE"""),"Jujuy")</f>
        <v>Jujuy</v>
      </c>
      <c r="D1149" s="30" t="str">
        <f ca="1">IFERROR(__xludf.DUMMYFUNCTION("""COMPUTED_VALUE"""),"38")</f>
        <v>38</v>
      </c>
      <c r="E1149" s="30" t="str">
        <f ca="1">IFERROR(__xludf.DUMMYFUNCTION("""COMPUTED_VALUE"""),"")</f>
        <v/>
      </c>
      <c r="F1149" s="29"/>
      <c r="G1149" s="29"/>
      <c r="H1149" s="30" t="str">
        <f ca="1">IFERROR(__xludf.DUMMYFUNCTION("""COMPUTED_VALUE"""),"activo")</f>
        <v>activo</v>
      </c>
      <c r="I1149" s="29"/>
      <c r="J1149" s="29"/>
      <c r="K1149" s="29"/>
      <c r="L1149" s="30" t="str">
        <f ca="1">IFERROR(__xludf.DUMMYFUNCTION("""COMPUTED_VALUE"""),"No")</f>
        <v>No</v>
      </c>
      <c r="M1149" s="30" t="str">
        <f ca="1">IFERROR(__xludf.DUMMYFUNCTION("""COMPUTED_VALUE"""),"38021060000")</f>
        <v>38021060000</v>
      </c>
      <c r="N1149" s="30" t="str">
        <f ca="1">IFERROR(__xludf.DUMMYFUNCTION("""COMPUTED_VALUE"""),"SAN SALVADOR DE JUJUY")</f>
        <v>SAN SALVADOR DE JUJUY</v>
      </c>
      <c r="O1149" s="30" t="str">
        <f ca="1">IFERROR(__xludf.DUMMYFUNCTION("""COMPUTED_VALUE"""),"3821")</f>
        <v>3821</v>
      </c>
      <c r="P1149" s="30" t="str">
        <f ca="1">IFERROR(__xludf.DUMMYFUNCTION("""COMPUTED_VALUE"""),"DR. MANUEL BELGRANO")</f>
        <v>DR. MANUEL BELGRANO</v>
      </c>
      <c r="Q1149" s="30" t="str">
        <f ca="1">IFERROR(__xludf.DUMMYFUNCTION("""COMPUTED_VALUE"""),"-24.206778")</f>
        <v>-24.206778</v>
      </c>
      <c r="R1149" s="30" t="str">
        <f ca="1">IFERROR(__xludf.DUMMYFUNCTION("""COMPUTED_VALUE"""),"-65.273764")</f>
        <v>-65.273764</v>
      </c>
      <c r="S1149" s="30" t="str">
        <f ca="1">IFERROR(__xludf.DUMMYFUNCTION("""COMPUTED_VALUE"""),"Provincial")</f>
        <v>Provincial</v>
      </c>
      <c r="T1149" s="30" t="str">
        <f ca="1">IFERROR(__xludf.DUMMYFUNCTION("""COMPUTED_VALUE"""),"-")</f>
        <v>-</v>
      </c>
    </row>
    <row r="1150" spans="1:20" ht="15.75" customHeight="1" x14ac:dyDescent="0.25">
      <c r="A1150" s="30" t="str">
        <f ca="1">IFERROR(__xludf.DUMMYFUNCTION("""COMPUTED_VALUE"""),"50380212150084")</f>
        <v>50380212150084</v>
      </c>
      <c r="B1150" s="30" t="str">
        <f ca="1">IFERROR(__xludf.DUMMYFUNCTION("""COMPUTED_VALUE"""),"CAPS CAMPO VERDE (1)")</f>
        <v>CAPS CAMPO VERDE (1)</v>
      </c>
      <c r="C1150" s="30" t="str">
        <f ca="1">IFERROR(__xludf.DUMMYFUNCTION("""COMPUTED_VALUE"""),"Jujuy")</f>
        <v>Jujuy</v>
      </c>
      <c r="D1150" s="30" t="str">
        <f ca="1">IFERROR(__xludf.DUMMYFUNCTION("""COMPUTED_VALUE"""),"38")</f>
        <v>38</v>
      </c>
      <c r="E1150" s="30" t="str">
        <f ca="1">IFERROR(__xludf.DUMMYFUNCTION("""COMPUTED_VALUE"""),"")</f>
        <v/>
      </c>
      <c r="F1150" s="29"/>
      <c r="G1150" s="30" t="str">
        <f ca="1">IFERROR(__xludf.DUMMYFUNCTION("""COMPUTED_VALUE"""),"50380212150454")</f>
        <v>50380212150454</v>
      </c>
      <c r="H1150" s="30" t="str">
        <f ca="1">IFERROR(__xludf.DUMMYFUNCTION("""COMPUTED_VALUE"""),"activo")</f>
        <v>activo</v>
      </c>
      <c r="I1150" s="29"/>
      <c r="J1150" s="29"/>
      <c r="K1150" s="29"/>
      <c r="L1150" s="30" t="str">
        <f ca="1">IFERROR(__xludf.DUMMYFUNCTION("""COMPUTED_VALUE"""),"No")</f>
        <v>No</v>
      </c>
      <c r="M1150" s="30" t="str">
        <f ca="1">IFERROR(__xludf.DUMMYFUNCTION("""COMPUTED_VALUE"""),"38021060000")</f>
        <v>38021060000</v>
      </c>
      <c r="N1150" s="30" t="str">
        <f ca="1">IFERROR(__xludf.DUMMYFUNCTION("""COMPUTED_VALUE"""),"SAN SALVADOR DE JUJUY")</f>
        <v>SAN SALVADOR DE JUJUY</v>
      </c>
      <c r="O1150" s="30" t="str">
        <f ca="1">IFERROR(__xludf.DUMMYFUNCTION("""COMPUTED_VALUE"""),"3821")</f>
        <v>3821</v>
      </c>
      <c r="P1150" s="30" t="str">
        <f ca="1">IFERROR(__xludf.DUMMYFUNCTION("""COMPUTED_VALUE"""),"DR. MANUEL BELGRANO")</f>
        <v>DR. MANUEL BELGRANO</v>
      </c>
      <c r="Q1150" s="30" t="str">
        <f ca="1">IFERROR(__xludf.DUMMYFUNCTION("""COMPUTED_VALUE"""),"-24.167171")</f>
        <v>-24.167171</v>
      </c>
      <c r="R1150" s="30" t="str">
        <f ca="1">IFERROR(__xludf.DUMMYFUNCTION("""COMPUTED_VALUE"""),"-65.289738")</f>
        <v>-65.289738</v>
      </c>
      <c r="S1150" s="30" t="str">
        <f ca="1">IFERROR(__xludf.DUMMYFUNCTION("""COMPUTED_VALUE"""),"Provincial")</f>
        <v>Provincial</v>
      </c>
      <c r="T1150" s="30" t="str">
        <f ca="1">IFERROR(__xludf.DUMMYFUNCTION("""COMPUTED_VALUE"""),"-")</f>
        <v>-</v>
      </c>
    </row>
    <row r="1151" spans="1:20" ht="15.75" customHeight="1" x14ac:dyDescent="0.25">
      <c r="A1151" s="30" t="str">
        <f ca="1">IFERROR(__xludf.DUMMYFUNCTION("""COMPUTED_VALUE"""),"50380212150454")</f>
        <v>50380212150454</v>
      </c>
      <c r="B1151" s="30" t="str">
        <f ca="1">IFERROR(__xludf.DUMMYFUNCTION("""COMPUTED_VALUE"""),"CENTRO SANITARIO DR. CARLOS ALVARADO (3)- CENTRO DE ESPECIALIDADES NORTE")</f>
        <v>CENTRO SANITARIO DR. CARLOS ALVARADO (3)- CENTRO DE ESPECIALIDADES NORTE</v>
      </c>
      <c r="C1151" s="30" t="str">
        <f ca="1">IFERROR(__xludf.DUMMYFUNCTION("""COMPUTED_VALUE"""),"Jujuy")</f>
        <v>Jujuy</v>
      </c>
      <c r="D1151" s="30" t="str">
        <f ca="1">IFERROR(__xludf.DUMMYFUNCTION("""COMPUTED_VALUE"""),"38")</f>
        <v>38</v>
      </c>
      <c r="E1151" s="30" t="str">
        <f ca="1">IFERROR(__xludf.DUMMYFUNCTION("""COMPUTED_VALUE"""),"")</f>
        <v/>
      </c>
      <c r="F1151" s="30" t="str">
        <f ca="1">IFERROR(__xludf.DUMMYFUNCTION("""COMPUTED_VALUE"""),"50380212150084")</f>
        <v>50380212150084</v>
      </c>
      <c r="G1151" s="29"/>
      <c r="H1151" s="30" t="str">
        <f ca="1">IFERROR(__xludf.DUMMYFUNCTION("""COMPUTED_VALUE"""),"activo")</f>
        <v>activo</v>
      </c>
      <c r="I1151" s="30" t="str">
        <f ca="1">IFERROR(__xludf.DUMMYFUNCTION("""COMPUTED_VALUE"""),"no coincide el nombre: centro de especialidades norte")</f>
        <v>no coincide el nombre: centro de especialidades norte</v>
      </c>
      <c r="J1151" s="29"/>
      <c r="K1151" s="29"/>
      <c r="L1151" s="30" t="str">
        <f ca="1">IFERROR(__xludf.DUMMYFUNCTION("""COMPUTED_VALUE"""),"No")</f>
        <v>No</v>
      </c>
      <c r="M1151" s="30" t="str">
        <f ca="1">IFERROR(__xludf.DUMMYFUNCTION("""COMPUTED_VALUE"""),"38021060000")</f>
        <v>38021060000</v>
      </c>
      <c r="N1151" s="30" t="str">
        <f ca="1">IFERROR(__xludf.DUMMYFUNCTION("""COMPUTED_VALUE"""),"SAN SALVADOR DE JUJUY")</f>
        <v>SAN SALVADOR DE JUJUY</v>
      </c>
      <c r="O1151" s="30" t="str">
        <f ca="1">IFERROR(__xludf.DUMMYFUNCTION("""COMPUTED_VALUE"""),"3821")</f>
        <v>3821</v>
      </c>
      <c r="P1151" s="30" t="str">
        <f ca="1">IFERROR(__xludf.DUMMYFUNCTION("""COMPUTED_VALUE"""),"DR. MANUEL BELGRANO")</f>
        <v>DR. MANUEL BELGRANO</v>
      </c>
      <c r="Q1151" s="30" t="str">
        <f ca="1">IFERROR(__xludf.DUMMYFUNCTION("""COMPUTED_VALUE"""),"-24.1872561")</f>
        <v>-24.1872561</v>
      </c>
      <c r="R1151" s="30" t="str">
        <f ca="1">IFERROR(__xludf.DUMMYFUNCTION("""COMPUTED_VALUE"""),"-65.2934825")</f>
        <v>-65.2934825</v>
      </c>
      <c r="S1151" s="30" t="str">
        <f ca="1">IFERROR(__xludf.DUMMYFUNCTION("""COMPUTED_VALUE"""),"Provincial")</f>
        <v>Provincial</v>
      </c>
      <c r="T1151" s="30" t="str">
        <f ca="1">IFERROR(__xludf.DUMMYFUNCTION("""COMPUTED_VALUE"""),"-")</f>
        <v>-</v>
      </c>
    </row>
    <row r="1152" spans="1:20" ht="15.75" customHeight="1" x14ac:dyDescent="0.25">
      <c r="A1152" s="30" t="str">
        <f ca="1">IFERROR(__xludf.DUMMYFUNCTION("""COMPUTED_VALUE"""),"50380212150094")</f>
        <v>50380212150094</v>
      </c>
      <c r="B1152" s="30" t="str">
        <f ca="1">IFERROR(__xludf.DUMMYFUNCTION("""COMPUTED_VALUE"""),"CAPS CASTAÑEDA (1)")</f>
        <v>CAPS CASTAÑEDA (1)</v>
      </c>
      <c r="C1152" s="30" t="str">
        <f ca="1">IFERROR(__xludf.DUMMYFUNCTION("""COMPUTED_VALUE"""),"Jujuy")</f>
        <v>Jujuy</v>
      </c>
      <c r="D1152" s="30" t="str">
        <f ca="1">IFERROR(__xludf.DUMMYFUNCTION("""COMPUTED_VALUE"""),"38")</f>
        <v>38</v>
      </c>
      <c r="E1152" s="30" t="str">
        <f ca="1">IFERROR(__xludf.DUMMYFUNCTION("""COMPUTED_VALUE"""),"")</f>
        <v/>
      </c>
      <c r="F1152" s="29"/>
      <c r="G1152" s="29"/>
      <c r="H1152" s="30" t="str">
        <f ca="1">IFERROR(__xludf.DUMMYFUNCTION("""COMPUTED_VALUE"""),"activo")</f>
        <v>activo</v>
      </c>
      <c r="I1152" s="29"/>
      <c r="J1152" s="29"/>
      <c r="K1152" s="29"/>
      <c r="L1152" s="30" t="str">
        <f ca="1">IFERROR(__xludf.DUMMYFUNCTION("""COMPUTED_VALUE"""),"No")</f>
        <v>No</v>
      </c>
      <c r="M1152" s="30" t="str">
        <f ca="1">IFERROR(__xludf.DUMMYFUNCTION("""COMPUTED_VALUE"""),"38021060000")</f>
        <v>38021060000</v>
      </c>
      <c r="N1152" s="30" t="str">
        <f ca="1">IFERROR(__xludf.DUMMYFUNCTION("""COMPUTED_VALUE"""),"SAN SALVADOR DE JUJUY")</f>
        <v>SAN SALVADOR DE JUJUY</v>
      </c>
      <c r="O1152" s="30" t="str">
        <f ca="1">IFERROR(__xludf.DUMMYFUNCTION("""COMPUTED_VALUE"""),"3821")</f>
        <v>3821</v>
      </c>
      <c r="P1152" s="30" t="str">
        <f ca="1">IFERROR(__xludf.DUMMYFUNCTION("""COMPUTED_VALUE"""),"DR. MANUEL BELGRANO")</f>
        <v>DR. MANUEL BELGRANO</v>
      </c>
      <c r="Q1152" s="30" t="str">
        <f ca="1">IFERROR(__xludf.DUMMYFUNCTION("""COMPUTED_VALUE"""),"-24.197209")</f>
        <v>-24.197209</v>
      </c>
      <c r="R1152" s="30" t="str">
        <f ca="1">IFERROR(__xludf.DUMMYFUNCTION("""COMPUTED_VALUE"""),"-65.310415")</f>
        <v>-65.310415</v>
      </c>
      <c r="S1152" s="30" t="str">
        <f ca="1">IFERROR(__xludf.DUMMYFUNCTION("""COMPUTED_VALUE"""),"Provincial")</f>
        <v>Provincial</v>
      </c>
      <c r="T1152" s="30" t="str">
        <f ca="1">IFERROR(__xludf.DUMMYFUNCTION("""COMPUTED_VALUE"""),"-")</f>
        <v>-</v>
      </c>
    </row>
    <row r="1153" spans="1:20" ht="15.75" customHeight="1" x14ac:dyDescent="0.25">
      <c r="A1153" s="30" t="str">
        <f ca="1">IFERROR(__xludf.DUMMYFUNCTION("""COMPUTED_VALUE"""),"50380212150935")</f>
        <v>50380212150935</v>
      </c>
      <c r="B1153" s="30" t="str">
        <f ca="1">IFERROR(__xludf.DUMMYFUNCTION("""COMPUTED_VALUE"""),"CAPS CHE GUEVARA (2)")</f>
        <v>CAPS CHE GUEVARA (2)</v>
      </c>
      <c r="C1153" s="30" t="str">
        <f ca="1">IFERROR(__xludf.DUMMYFUNCTION("""COMPUTED_VALUE"""),"Jujuy")</f>
        <v>Jujuy</v>
      </c>
      <c r="D1153" s="30" t="str">
        <f ca="1">IFERROR(__xludf.DUMMYFUNCTION("""COMPUTED_VALUE"""),"38")</f>
        <v>38</v>
      </c>
      <c r="E1153" s="30" t="str">
        <f ca="1">IFERROR(__xludf.DUMMYFUNCTION("""COMPUTED_VALUE"""),"si")</f>
        <v>si</v>
      </c>
      <c r="F1153" s="29"/>
      <c r="G1153" s="29"/>
      <c r="H1153" s="30" t="str">
        <f ca="1">IFERROR(__xludf.DUMMYFUNCTION("""COMPUTED_VALUE"""),"activo")</f>
        <v>activo</v>
      </c>
      <c r="I1153" s="29"/>
      <c r="J1153" s="29"/>
      <c r="K1153" s="29"/>
      <c r="L1153" s="30" t="str">
        <f ca="1">IFERROR(__xludf.DUMMYFUNCTION("""COMPUTED_VALUE"""),"No")</f>
        <v>No</v>
      </c>
      <c r="M1153" s="30" t="str">
        <f ca="1">IFERROR(__xludf.DUMMYFUNCTION("""COMPUTED_VALUE"""),"38021060000")</f>
        <v>38021060000</v>
      </c>
      <c r="N1153" s="30" t="str">
        <f ca="1">IFERROR(__xludf.DUMMYFUNCTION("""COMPUTED_VALUE"""),"SAN SALVADOR DE JUJUY")</f>
        <v>SAN SALVADOR DE JUJUY</v>
      </c>
      <c r="O1153" s="30" t="str">
        <f ca="1">IFERROR(__xludf.DUMMYFUNCTION("""COMPUTED_VALUE"""),"3821")</f>
        <v>3821</v>
      </c>
      <c r="P1153" s="30" t="str">
        <f ca="1">IFERROR(__xludf.DUMMYFUNCTION("""COMPUTED_VALUE"""),"DR. MANUEL BELGRANO")</f>
        <v>DR. MANUEL BELGRANO</v>
      </c>
      <c r="Q1153" s="30" t="str">
        <f ca="1">IFERROR(__xludf.DUMMYFUNCTION("""COMPUTED_VALUE"""),"-24.258539")</f>
        <v>-24.258539</v>
      </c>
      <c r="R1153" s="30" t="str">
        <f ca="1">IFERROR(__xludf.DUMMYFUNCTION("""COMPUTED_VALUE"""),"-65.239484")</f>
        <v>-65.239484</v>
      </c>
      <c r="S1153" s="30" t="str">
        <f ca="1">IFERROR(__xludf.DUMMYFUNCTION("""COMPUTED_VALUE"""),"Provincial")</f>
        <v>Provincial</v>
      </c>
      <c r="T1153" s="30" t="str">
        <f ca="1">IFERROR(__xludf.DUMMYFUNCTION("""COMPUTED_VALUE"""),"-")</f>
        <v>-</v>
      </c>
    </row>
    <row r="1154" spans="1:20" ht="15.75" customHeight="1" x14ac:dyDescent="0.25">
      <c r="A1154" s="30" t="str">
        <f ca="1">IFERROR(__xludf.DUMMYFUNCTION("""COMPUTED_VALUE"""),"50380212150109")</f>
        <v>50380212150109</v>
      </c>
      <c r="B1154" s="30" t="str">
        <f ca="1">IFERROR(__xludf.DUMMYFUNCTION("""COMPUTED_VALUE"""),"CIC COPACABANA (2)")</f>
        <v>CIC COPACABANA (2)</v>
      </c>
      <c r="C1154" s="30" t="str">
        <f ca="1">IFERROR(__xludf.DUMMYFUNCTION("""COMPUTED_VALUE"""),"Jujuy")</f>
        <v>Jujuy</v>
      </c>
      <c r="D1154" s="30" t="str">
        <f ca="1">IFERROR(__xludf.DUMMYFUNCTION("""COMPUTED_VALUE"""),"38")</f>
        <v>38</v>
      </c>
      <c r="E1154" s="30" t="str">
        <f ca="1">IFERROR(__xludf.DUMMYFUNCTION("""COMPUTED_VALUE"""),"si")</f>
        <v>si</v>
      </c>
      <c r="F1154" s="29"/>
      <c r="G1154" s="29"/>
      <c r="H1154" s="30" t="str">
        <f ca="1">IFERROR(__xludf.DUMMYFUNCTION("""COMPUTED_VALUE"""),"activo")</f>
        <v>activo</v>
      </c>
      <c r="I1154" s="29"/>
      <c r="J1154" s="29"/>
      <c r="K1154" s="29"/>
      <c r="L1154" s="30" t="str">
        <f ca="1">IFERROR(__xludf.DUMMYFUNCTION("""COMPUTED_VALUE"""),"No")</f>
        <v>No</v>
      </c>
      <c r="M1154" s="30" t="str">
        <f ca="1">IFERROR(__xludf.DUMMYFUNCTION("""COMPUTED_VALUE"""),"38021060000")</f>
        <v>38021060000</v>
      </c>
      <c r="N1154" s="30" t="str">
        <f ca="1">IFERROR(__xludf.DUMMYFUNCTION("""COMPUTED_VALUE"""),"SAN SALVADOR DE JUJUY")</f>
        <v>SAN SALVADOR DE JUJUY</v>
      </c>
      <c r="O1154" s="30" t="str">
        <f ca="1">IFERROR(__xludf.DUMMYFUNCTION("""COMPUTED_VALUE"""),"3821")</f>
        <v>3821</v>
      </c>
      <c r="P1154" s="30" t="str">
        <f ca="1">IFERROR(__xludf.DUMMYFUNCTION("""COMPUTED_VALUE"""),"DR. MANUEL BELGRANO")</f>
        <v>DR. MANUEL BELGRANO</v>
      </c>
      <c r="Q1154" s="30" t="str">
        <f ca="1">IFERROR(__xludf.DUMMYFUNCTION("""COMPUTED_VALUE"""),"-24.248402")</f>
        <v>-24.248402</v>
      </c>
      <c r="R1154" s="30" t="str">
        <f ca="1">IFERROR(__xludf.DUMMYFUNCTION("""COMPUTED_VALUE"""),"-65.272999")</f>
        <v>-65.272999</v>
      </c>
      <c r="S1154" s="30" t="str">
        <f ca="1">IFERROR(__xludf.DUMMYFUNCTION("""COMPUTED_VALUE"""),"Provincial")</f>
        <v>Provincial</v>
      </c>
      <c r="T1154" s="30" t="str">
        <f ca="1">IFERROR(__xludf.DUMMYFUNCTION("""COMPUTED_VALUE"""),"-")</f>
        <v>-</v>
      </c>
    </row>
    <row r="1155" spans="1:20" ht="15.75" customHeight="1" x14ac:dyDescent="0.25">
      <c r="A1155" s="30" t="str">
        <f ca="1">IFERROR(__xludf.DUMMYFUNCTION("""COMPUTED_VALUE"""),"50380212150112")</f>
        <v>50380212150112</v>
      </c>
      <c r="B1155" s="30" t="str">
        <f ca="1">IFERROR(__xludf.DUMMYFUNCTION("""COMPUTED_VALUE"""),"CAPS CORONEL ARIAS (1)")</f>
        <v>CAPS CORONEL ARIAS (1)</v>
      </c>
      <c r="C1155" s="30" t="str">
        <f ca="1">IFERROR(__xludf.DUMMYFUNCTION("""COMPUTED_VALUE"""),"Jujuy")</f>
        <v>Jujuy</v>
      </c>
      <c r="D1155" s="30" t="str">
        <f ca="1">IFERROR(__xludf.DUMMYFUNCTION("""COMPUTED_VALUE"""),"38")</f>
        <v>38</v>
      </c>
      <c r="E1155" s="30" t="str">
        <f ca="1">IFERROR(__xludf.DUMMYFUNCTION("""COMPUTED_VALUE"""),"")</f>
        <v/>
      </c>
      <c r="F1155" s="29"/>
      <c r="G1155" s="29"/>
      <c r="H1155" s="30" t="str">
        <f ca="1">IFERROR(__xludf.DUMMYFUNCTION("""COMPUTED_VALUE"""),"activo")</f>
        <v>activo</v>
      </c>
      <c r="I1155" s="29"/>
      <c r="J1155" s="29"/>
      <c r="K1155" s="29"/>
      <c r="L1155" s="30" t="str">
        <f ca="1">IFERROR(__xludf.DUMMYFUNCTION("""COMPUTED_VALUE"""),"No")</f>
        <v>No</v>
      </c>
      <c r="M1155" s="30" t="str">
        <f ca="1">IFERROR(__xludf.DUMMYFUNCTION("""COMPUTED_VALUE"""),"38021060000")</f>
        <v>38021060000</v>
      </c>
      <c r="N1155" s="30" t="str">
        <f ca="1">IFERROR(__xludf.DUMMYFUNCTION("""COMPUTED_VALUE"""),"SAN SALVADOR DE JUJUY")</f>
        <v>SAN SALVADOR DE JUJUY</v>
      </c>
      <c r="O1155" s="30" t="str">
        <f ca="1">IFERROR(__xludf.DUMMYFUNCTION("""COMPUTED_VALUE"""),"3821")</f>
        <v>3821</v>
      </c>
      <c r="P1155" s="30" t="str">
        <f ca="1">IFERROR(__xludf.DUMMYFUNCTION("""COMPUTED_VALUE"""),"DR. MANUEL BELGRANO")</f>
        <v>DR. MANUEL BELGRANO</v>
      </c>
      <c r="Q1155" s="30" t="str">
        <f ca="1">IFERROR(__xludf.DUMMYFUNCTION("""COMPUTED_VALUE"""),"-24.207844")</f>
        <v>-24.207844</v>
      </c>
      <c r="R1155" s="30" t="str">
        <f ca="1">IFERROR(__xludf.DUMMYFUNCTION("""COMPUTED_VALUE"""),"-65.285087")</f>
        <v>-65.285087</v>
      </c>
      <c r="S1155" s="30" t="str">
        <f ca="1">IFERROR(__xludf.DUMMYFUNCTION("""COMPUTED_VALUE"""),"Provincial")</f>
        <v>Provincial</v>
      </c>
      <c r="T1155" s="30" t="str">
        <f ca="1">IFERROR(__xludf.DUMMYFUNCTION("""COMPUTED_VALUE"""),"-")</f>
        <v>-</v>
      </c>
    </row>
    <row r="1156" spans="1:20" ht="15.75" customHeight="1" x14ac:dyDescent="0.25">
      <c r="A1156" s="30" t="str">
        <f ca="1">IFERROR(__xludf.DUMMYFUNCTION("""COMPUTED_VALUE"""),"50380212150125")</f>
        <v>50380212150125</v>
      </c>
      <c r="B1156" s="30" t="str">
        <f ca="1">IFERROR(__xludf.DUMMYFUNCTION("""COMPUTED_VALUE"""),"CAPS EL CHINGO (1)")</f>
        <v>CAPS EL CHINGO (1)</v>
      </c>
      <c r="C1156" s="30" t="str">
        <f ca="1">IFERROR(__xludf.DUMMYFUNCTION("""COMPUTED_VALUE"""),"Jujuy")</f>
        <v>Jujuy</v>
      </c>
      <c r="D1156" s="30" t="str">
        <f ca="1">IFERROR(__xludf.DUMMYFUNCTION("""COMPUTED_VALUE"""),"38")</f>
        <v>38</v>
      </c>
      <c r="E1156" s="30" t="str">
        <f ca="1">IFERROR(__xludf.DUMMYFUNCTION("""COMPUTED_VALUE"""),"")</f>
        <v/>
      </c>
      <c r="F1156" s="29"/>
      <c r="G1156" s="29"/>
      <c r="H1156" s="30" t="str">
        <f ca="1">IFERROR(__xludf.DUMMYFUNCTION("""COMPUTED_VALUE"""),"activo")</f>
        <v>activo</v>
      </c>
      <c r="I1156" s="29"/>
      <c r="J1156" s="29"/>
      <c r="K1156" s="29"/>
      <c r="L1156" s="30" t="str">
        <f ca="1">IFERROR(__xludf.DUMMYFUNCTION("""COMPUTED_VALUE"""),"No")</f>
        <v>No</v>
      </c>
      <c r="M1156" s="30" t="str">
        <f ca="1">IFERROR(__xludf.DUMMYFUNCTION("""COMPUTED_VALUE"""),"38021060000")</f>
        <v>38021060000</v>
      </c>
      <c r="N1156" s="30" t="str">
        <f ca="1">IFERROR(__xludf.DUMMYFUNCTION("""COMPUTED_VALUE"""),"SAN SALVADOR DE JUJUY")</f>
        <v>SAN SALVADOR DE JUJUY</v>
      </c>
      <c r="O1156" s="30" t="str">
        <f ca="1">IFERROR(__xludf.DUMMYFUNCTION("""COMPUTED_VALUE"""),"3821")</f>
        <v>3821</v>
      </c>
      <c r="P1156" s="30" t="str">
        <f ca="1">IFERROR(__xludf.DUMMYFUNCTION("""COMPUTED_VALUE"""),"DR. MANUEL BELGRANO")</f>
        <v>DR. MANUEL BELGRANO</v>
      </c>
      <c r="Q1156" s="30" t="str">
        <f ca="1">IFERROR(__xludf.DUMMYFUNCTION("""COMPUTED_VALUE"""),"-24.182636")</f>
        <v>-24.182636</v>
      </c>
      <c r="R1156" s="30" t="str">
        <f ca="1">IFERROR(__xludf.DUMMYFUNCTION("""COMPUTED_VALUE"""),"-65.296142")</f>
        <v>-65.296142</v>
      </c>
      <c r="S1156" s="30" t="str">
        <f ca="1">IFERROR(__xludf.DUMMYFUNCTION("""COMPUTED_VALUE"""),"Provincial")</f>
        <v>Provincial</v>
      </c>
      <c r="T1156" s="30" t="str">
        <f ca="1">IFERROR(__xludf.DUMMYFUNCTION("""COMPUTED_VALUE"""),"-")</f>
        <v>-</v>
      </c>
    </row>
    <row r="1157" spans="1:20" ht="15.75" customHeight="1" x14ac:dyDescent="0.25">
      <c r="A1157" s="30" t="str">
        <f ca="1">IFERROR(__xludf.DUMMYFUNCTION("""COMPUTED_VALUE"""),"50380212150138")</f>
        <v>50380212150138</v>
      </c>
      <c r="B1157" s="30" t="str">
        <f ca="1">IFERROR(__xludf.DUMMYFUNCTION("""COMPUTED_VALUE"""),"CAPS EVA PERON (2)")</f>
        <v>CAPS EVA PERON (2)</v>
      </c>
      <c r="C1157" s="30" t="str">
        <f ca="1">IFERROR(__xludf.DUMMYFUNCTION("""COMPUTED_VALUE"""),"Jujuy")</f>
        <v>Jujuy</v>
      </c>
      <c r="D1157" s="30" t="str">
        <f ca="1">IFERROR(__xludf.DUMMYFUNCTION("""COMPUTED_VALUE"""),"38")</f>
        <v>38</v>
      </c>
      <c r="E1157" s="30" t="str">
        <f ca="1">IFERROR(__xludf.DUMMYFUNCTION("""COMPUTED_VALUE"""),"")</f>
        <v/>
      </c>
      <c r="F1157" s="29"/>
      <c r="G1157" s="29"/>
      <c r="H1157" s="30" t="str">
        <f ca="1">IFERROR(__xludf.DUMMYFUNCTION("""COMPUTED_VALUE"""),"activo")</f>
        <v>activo</v>
      </c>
      <c r="I1157" s="29"/>
      <c r="J1157" s="29"/>
      <c r="K1157" s="29"/>
      <c r="L1157" s="30" t="str">
        <f ca="1">IFERROR(__xludf.DUMMYFUNCTION("""COMPUTED_VALUE"""),"No")</f>
        <v>No</v>
      </c>
      <c r="M1157" s="30" t="str">
        <f ca="1">IFERROR(__xludf.DUMMYFUNCTION("""COMPUTED_VALUE"""),"38021060000")</f>
        <v>38021060000</v>
      </c>
      <c r="N1157" s="30" t="str">
        <f ca="1">IFERROR(__xludf.DUMMYFUNCTION("""COMPUTED_VALUE"""),"SAN SALVADOR DE JUJUY")</f>
        <v>SAN SALVADOR DE JUJUY</v>
      </c>
      <c r="O1157" s="30" t="str">
        <f ca="1">IFERROR(__xludf.DUMMYFUNCTION("""COMPUTED_VALUE"""),"3821")</f>
        <v>3821</v>
      </c>
      <c r="P1157" s="30" t="str">
        <f ca="1">IFERROR(__xludf.DUMMYFUNCTION("""COMPUTED_VALUE"""),"DR. MANUEL BELGRANO")</f>
        <v>DR. MANUEL BELGRANO</v>
      </c>
      <c r="Q1157" s="30" t="str">
        <f ca="1">IFERROR(__xludf.DUMMYFUNCTION("""COMPUTED_VALUE"""),"-24.233747")</f>
        <v>-24.233747</v>
      </c>
      <c r="R1157" s="30" t="str">
        <f ca="1">IFERROR(__xludf.DUMMYFUNCTION("""COMPUTED_VALUE"""),"-65.269647")</f>
        <v>-65.269647</v>
      </c>
      <c r="S1157" s="30" t="str">
        <f ca="1">IFERROR(__xludf.DUMMYFUNCTION("""COMPUTED_VALUE"""),"Provincial")</f>
        <v>Provincial</v>
      </c>
      <c r="T1157" s="30" t="str">
        <f ca="1">IFERROR(__xludf.DUMMYFUNCTION("""COMPUTED_VALUE"""),"-")</f>
        <v>-</v>
      </c>
    </row>
    <row r="1158" spans="1:20" ht="15.75" customHeight="1" x14ac:dyDescent="0.25">
      <c r="A1158" s="30" t="str">
        <f ca="1">IFERROR(__xludf.DUMMYFUNCTION("""COMPUTED_VALUE"""),"50380212150160")</f>
        <v>50380212150160</v>
      </c>
      <c r="B1158" s="30" t="str">
        <f ca="1">IFERROR(__xludf.DUMMYFUNCTION("""COMPUTED_VALUE"""),"CAPS DR. RENE FAVAROLO (2) (EX LA LOMA)")</f>
        <v>CAPS DR. RENE FAVAROLO (2) (EX LA LOMA)</v>
      </c>
      <c r="C1158" s="30" t="str">
        <f ca="1">IFERROR(__xludf.DUMMYFUNCTION("""COMPUTED_VALUE"""),"Jujuy")</f>
        <v>Jujuy</v>
      </c>
      <c r="D1158" s="30" t="str">
        <f ca="1">IFERROR(__xludf.DUMMYFUNCTION("""COMPUTED_VALUE"""),"38")</f>
        <v>38</v>
      </c>
      <c r="E1158" s="30" t="str">
        <f ca="1">IFERROR(__xludf.DUMMYFUNCTION("""COMPUTED_VALUE"""),"")</f>
        <v/>
      </c>
      <c r="F1158" s="29"/>
      <c r="G1158" s="29"/>
      <c r="H1158" s="30" t="str">
        <f ca="1">IFERROR(__xludf.DUMMYFUNCTION("""COMPUTED_VALUE"""),"activo")</f>
        <v>activo</v>
      </c>
      <c r="I1158" s="29"/>
      <c r="J1158" s="29"/>
      <c r="K1158" s="29"/>
      <c r="L1158" s="30" t="str">
        <f ca="1">IFERROR(__xludf.DUMMYFUNCTION("""COMPUTED_VALUE"""),"No")</f>
        <v>No</v>
      </c>
      <c r="M1158" s="30" t="str">
        <f ca="1">IFERROR(__xludf.DUMMYFUNCTION("""COMPUTED_VALUE"""),"38021060000")</f>
        <v>38021060000</v>
      </c>
      <c r="N1158" s="30" t="str">
        <f ca="1">IFERROR(__xludf.DUMMYFUNCTION("""COMPUTED_VALUE"""),"SAN SALVADOR DE JUJUY")</f>
        <v>SAN SALVADOR DE JUJUY</v>
      </c>
      <c r="O1158" s="30" t="str">
        <f ca="1">IFERROR(__xludf.DUMMYFUNCTION("""COMPUTED_VALUE"""),"3821")</f>
        <v>3821</v>
      </c>
      <c r="P1158" s="30" t="str">
        <f ca="1">IFERROR(__xludf.DUMMYFUNCTION("""COMPUTED_VALUE"""),"DR. MANUEL BELGRANO")</f>
        <v>DR. MANUEL BELGRANO</v>
      </c>
      <c r="Q1158" s="30" t="str">
        <f ca="1">IFERROR(__xludf.DUMMYFUNCTION("""COMPUTED_VALUE"""),"-24.25175096")</f>
        <v>-24.25175096</v>
      </c>
      <c r="R1158" s="30" t="str">
        <f ca="1">IFERROR(__xludf.DUMMYFUNCTION("""COMPUTED_VALUE"""),"-65.25374601")</f>
        <v>-65.25374601</v>
      </c>
      <c r="S1158" s="30" t="str">
        <f ca="1">IFERROR(__xludf.DUMMYFUNCTION("""COMPUTED_VALUE"""),"Provincial")</f>
        <v>Provincial</v>
      </c>
      <c r="T1158" s="30" t="str">
        <f ca="1">IFERROR(__xludf.DUMMYFUNCTION("""COMPUTED_VALUE"""),"-")</f>
        <v>-</v>
      </c>
    </row>
    <row r="1159" spans="1:20" ht="15.75" customHeight="1" x14ac:dyDescent="0.25">
      <c r="A1159" s="30" t="str">
        <f ca="1">IFERROR(__xludf.DUMMYFUNCTION("""COMPUTED_VALUE"""),"50380212150166")</f>
        <v>50380212150166</v>
      </c>
      <c r="B1159" s="30" t="str">
        <f ca="1">IFERROR(__xludf.DUMMYFUNCTION("""COMPUTED_VALUE"""),"CAPS LA VIÑA (1)")</f>
        <v>CAPS LA VIÑA (1)</v>
      </c>
      <c r="C1159" s="30" t="str">
        <f ca="1">IFERROR(__xludf.DUMMYFUNCTION("""COMPUTED_VALUE"""),"Jujuy")</f>
        <v>Jujuy</v>
      </c>
      <c r="D1159" s="30" t="str">
        <f ca="1">IFERROR(__xludf.DUMMYFUNCTION("""COMPUTED_VALUE"""),"38")</f>
        <v>38</v>
      </c>
      <c r="E1159" s="30" t="str">
        <f ca="1">IFERROR(__xludf.DUMMYFUNCTION("""COMPUTED_VALUE"""),"si")</f>
        <v>si</v>
      </c>
      <c r="F1159" s="29"/>
      <c r="G1159" s="29"/>
      <c r="H1159" s="30" t="str">
        <f ca="1">IFERROR(__xludf.DUMMYFUNCTION("""COMPUTED_VALUE"""),"activo")</f>
        <v>activo</v>
      </c>
      <c r="I1159" s="29"/>
      <c r="J1159" s="29"/>
      <c r="K1159" s="29"/>
      <c r="L1159" s="30" t="str">
        <f ca="1">IFERROR(__xludf.DUMMYFUNCTION("""COMPUTED_VALUE"""),"No")</f>
        <v>No</v>
      </c>
      <c r="M1159" s="30" t="str">
        <f ca="1">IFERROR(__xludf.DUMMYFUNCTION("""COMPUTED_VALUE"""),"38021060000")</f>
        <v>38021060000</v>
      </c>
      <c r="N1159" s="30" t="str">
        <f ca="1">IFERROR(__xludf.DUMMYFUNCTION("""COMPUTED_VALUE"""),"SAN SALVADOR DE JUJUY")</f>
        <v>SAN SALVADOR DE JUJUY</v>
      </c>
      <c r="O1159" s="30" t="str">
        <f ca="1">IFERROR(__xludf.DUMMYFUNCTION("""COMPUTED_VALUE"""),"3821")</f>
        <v>3821</v>
      </c>
      <c r="P1159" s="30" t="str">
        <f ca="1">IFERROR(__xludf.DUMMYFUNCTION("""COMPUTED_VALUE"""),"DR. MANUEL BELGRANO")</f>
        <v>DR. MANUEL BELGRANO</v>
      </c>
      <c r="Q1159" s="30" t="str">
        <f ca="1">IFERROR(__xludf.DUMMYFUNCTION("""COMPUTED_VALUE"""),"-24.175875")</f>
        <v>-24.175875</v>
      </c>
      <c r="R1159" s="30" t="str">
        <f ca="1">IFERROR(__xludf.DUMMYFUNCTION("""COMPUTED_VALUE"""),"-65.298697")</f>
        <v>-65.298697</v>
      </c>
      <c r="S1159" s="30" t="str">
        <f ca="1">IFERROR(__xludf.DUMMYFUNCTION("""COMPUTED_VALUE"""),"Provincial")</f>
        <v>Provincial</v>
      </c>
      <c r="T1159" s="30" t="str">
        <f ca="1">IFERROR(__xludf.DUMMYFUNCTION("""COMPUTED_VALUE"""),"-")</f>
        <v>-</v>
      </c>
    </row>
    <row r="1160" spans="1:20" ht="15.75" customHeight="1" x14ac:dyDescent="0.25">
      <c r="A1160" s="30" t="str">
        <f ca="1">IFERROR(__xludf.DUMMYFUNCTION("""COMPUTED_VALUE"""),"10380352150030")</f>
        <v>10380352150030</v>
      </c>
      <c r="B1160" s="30" t="str">
        <f ca="1">IFERROR(__xludf.DUMMYFUNCTION("""COMPUTED_VALUE"""),"HOSPITAL SAN MIGUEL (13)")</f>
        <v>HOSPITAL SAN MIGUEL (13)</v>
      </c>
      <c r="C1160" s="30" t="str">
        <f ca="1">IFERROR(__xludf.DUMMYFUNCTION("""COMPUTED_VALUE"""),"Jujuy")</f>
        <v>Jujuy</v>
      </c>
      <c r="D1160" s="30" t="str">
        <f ca="1">IFERROR(__xludf.DUMMYFUNCTION("""COMPUTED_VALUE"""),"38")</f>
        <v>38</v>
      </c>
      <c r="E1160" s="30" t="str">
        <f ca="1">IFERROR(__xludf.DUMMYFUNCTION("""COMPUTED_VALUE"""),"")</f>
        <v/>
      </c>
      <c r="F1160" s="29"/>
      <c r="G1160" s="29"/>
      <c r="H1160" s="30" t="str">
        <f ca="1">IFERROR(__xludf.DUMMYFUNCTION("""COMPUTED_VALUE"""),"activo")</f>
        <v>activo</v>
      </c>
      <c r="I1160" s="29"/>
      <c r="J1160" s="29"/>
      <c r="K1160" s="29"/>
      <c r="L1160" s="30" t="str">
        <f ca="1">IFERROR(__xludf.DUMMYFUNCTION("""COMPUTED_VALUE"""),"No")</f>
        <v>No</v>
      </c>
      <c r="M1160" s="30" t="str">
        <f ca="1">IFERROR(__xludf.DUMMYFUNCTION("""COMPUTED_VALUE"""),"38035110000")</f>
        <v>38035110000</v>
      </c>
      <c r="N1160" s="30" t="str">
        <f ca="1">IFERROR(__xludf.DUMMYFUNCTION("""COMPUTED_VALUE"""),"YUTO")</f>
        <v>YUTO</v>
      </c>
      <c r="O1160" s="30" t="str">
        <f ca="1">IFERROR(__xludf.DUMMYFUNCTION("""COMPUTED_VALUE"""),"3835")</f>
        <v>3835</v>
      </c>
      <c r="P1160" s="30" t="str">
        <f ca="1">IFERROR(__xludf.DUMMYFUNCTION("""COMPUTED_VALUE"""),"LEDESMA")</f>
        <v>LEDESMA</v>
      </c>
      <c r="Q1160" s="30" t="str">
        <f ca="1">IFERROR(__xludf.DUMMYFUNCTION("""COMPUTED_VALUE"""),"-23.640586")</f>
        <v>-23.640586</v>
      </c>
      <c r="R1160" s="30" t="str">
        <f ca="1">IFERROR(__xludf.DUMMYFUNCTION("""COMPUTED_VALUE"""),"-64.47409297")</f>
        <v>-64.47409297</v>
      </c>
      <c r="S1160" s="30" t="str">
        <f ca="1">IFERROR(__xludf.DUMMYFUNCTION("""COMPUTED_VALUE"""),"Provincial")</f>
        <v>Provincial</v>
      </c>
      <c r="T1160" s="30" t="str">
        <f ca="1">IFERROR(__xludf.DUMMYFUNCTION("""COMPUTED_VALUE"""),"-")</f>
        <v>-</v>
      </c>
    </row>
    <row r="1161" spans="1:20" ht="15.75" customHeight="1" x14ac:dyDescent="0.25">
      <c r="A1161" s="30" t="str">
        <f ca="1">IFERROR(__xludf.DUMMYFUNCTION("""COMPUTED_VALUE"""),"50380212150232")</f>
        <v>50380212150232</v>
      </c>
      <c r="B1161" s="30" t="str">
        <f ca="1">IFERROR(__xludf.DUMMYFUNCTION("""COMPUTED_VALUE"""),"CAPS SAN CAYETANO (1)")</f>
        <v>CAPS SAN CAYETANO (1)</v>
      </c>
      <c r="C1161" s="30" t="str">
        <f ca="1">IFERROR(__xludf.DUMMYFUNCTION("""COMPUTED_VALUE"""),"Jujuy")</f>
        <v>Jujuy</v>
      </c>
      <c r="D1161" s="30" t="str">
        <f ca="1">IFERROR(__xludf.DUMMYFUNCTION("""COMPUTED_VALUE"""),"38")</f>
        <v>38</v>
      </c>
      <c r="E1161" s="30" t="str">
        <f ca="1">IFERROR(__xludf.DUMMYFUNCTION("""COMPUTED_VALUE"""),"")</f>
        <v/>
      </c>
      <c r="F1161" s="29"/>
      <c r="G1161" s="29"/>
      <c r="H1161" s="30" t="str">
        <f ca="1">IFERROR(__xludf.DUMMYFUNCTION("""COMPUTED_VALUE"""),"activo")</f>
        <v>activo</v>
      </c>
      <c r="I1161" s="29"/>
      <c r="J1161" s="29"/>
      <c r="K1161" s="29"/>
      <c r="L1161" s="30" t="str">
        <f ca="1">IFERROR(__xludf.DUMMYFUNCTION("""COMPUTED_VALUE"""),"No")</f>
        <v>No</v>
      </c>
      <c r="M1161" s="30" t="str">
        <f ca="1">IFERROR(__xludf.DUMMYFUNCTION("""COMPUTED_VALUE"""),"38021060000")</f>
        <v>38021060000</v>
      </c>
      <c r="N1161" s="30" t="str">
        <f ca="1">IFERROR(__xludf.DUMMYFUNCTION("""COMPUTED_VALUE"""),"SAN SALVADOR DE JUJUY")</f>
        <v>SAN SALVADOR DE JUJUY</v>
      </c>
      <c r="O1161" s="30" t="str">
        <f ca="1">IFERROR(__xludf.DUMMYFUNCTION("""COMPUTED_VALUE"""),"3821")</f>
        <v>3821</v>
      </c>
      <c r="P1161" s="30" t="str">
        <f ca="1">IFERROR(__xludf.DUMMYFUNCTION("""COMPUTED_VALUE"""),"DR. MANUEL BELGRANO")</f>
        <v>DR. MANUEL BELGRANO</v>
      </c>
      <c r="Q1161" s="30" t="str">
        <f ca="1">IFERROR(__xludf.DUMMYFUNCTION("""COMPUTED_VALUE"""),"-24.204418")</f>
        <v>-24.204418</v>
      </c>
      <c r="R1161" s="30" t="str">
        <f ca="1">IFERROR(__xludf.DUMMYFUNCTION("""COMPUTED_VALUE"""),"-65.299449")</f>
        <v>-65.299449</v>
      </c>
      <c r="S1161" s="30" t="str">
        <f ca="1">IFERROR(__xludf.DUMMYFUNCTION("""COMPUTED_VALUE"""),"Provincial")</f>
        <v>Provincial</v>
      </c>
      <c r="T1161" s="30" t="str">
        <f ca="1">IFERROR(__xludf.DUMMYFUNCTION("""COMPUTED_VALUE"""),"-")</f>
        <v>-</v>
      </c>
    </row>
    <row r="1162" spans="1:20" ht="15.75" customHeight="1" x14ac:dyDescent="0.25">
      <c r="A1162" s="30" t="str">
        <f ca="1">IFERROR(__xludf.DUMMYFUNCTION("""COMPUTED_VALUE"""),"50380212150187")</f>
        <v>50380212150187</v>
      </c>
      <c r="B1162" s="30" t="str">
        <f ca="1">IFERROR(__xludf.DUMMYFUNCTION("""COMPUTED_VALUE"""),"CAPS MARIANO MORENO (1)")</f>
        <v>CAPS MARIANO MORENO (1)</v>
      </c>
      <c r="C1162" s="30" t="str">
        <f ca="1">IFERROR(__xludf.DUMMYFUNCTION("""COMPUTED_VALUE"""),"Jujuy")</f>
        <v>Jujuy</v>
      </c>
      <c r="D1162" s="30" t="str">
        <f ca="1">IFERROR(__xludf.DUMMYFUNCTION("""COMPUTED_VALUE"""),"38")</f>
        <v>38</v>
      </c>
      <c r="E1162" s="30" t="str">
        <f ca="1">IFERROR(__xludf.DUMMYFUNCTION("""COMPUTED_VALUE"""),"")</f>
        <v/>
      </c>
      <c r="F1162" s="29"/>
      <c r="G1162" s="29"/>
      <c r="H1162" s="30" t="str">
        <f ca="1">IFERROR(__xludf.DUMMYFUNCTION("""COMPUTED_VALUE"""),"inactivo")</f>
        <v>inactivo</v>
      </c>
      <c r="I1162" s="30" t="str">
        <f ca="1">IFERROR(__xludf.DUMMYFUNCTION("""COMPUTED_VALUE"""),"baja solicitada por la provincia mail 13/03/2020")</f>
        <v>baja solicitada por la provincia mail 13/03/2020</v>
      </c>
      <c r="J1162" s="29"/>
      <c r="K1162" s="29"/>
      <c r="L1162" s="30" t="str">
        <f ca="1">IFERROR(__xludf.DUMMYFUNCTION("""COMPUTED_VALUE"""),"No")</f>
        <v>No</v>
      </c>
      <c r="M1162" s="30" t="str">
        <f ca="1">IFERROR(__xludf.DUMMYFUNCTION("""COMPUTED_VALUE"""),"38021060000")</f>
        <v>38021060000</v>
      </c>
      <c r="N1162" s="30" t="str">
        <f ca="1">IFERROR(__xludf.DUMMYFUNCTION("""COMPUTED_VALUE"""),"SAN SALVADOR DE JUJUY")</f>
        <v>SAN SALVADOR DE JUJUY</v>
      </c>
      <c r="O1162" s="30" t="str">
        <f ca="1">IFERROR(__xludf.DUMMYFUNCTION("""COMPUTED_VALUE"""),"3821")</f>
        <v>3821</v>
      </c>
      <c r="P1162" s="30" t="str">
        <f ca="1">IFERROR(__xludf.DUMMYFUNCTION("""COMPUTED_VALUE"""),"DR. MANUEL BELGRANO")</f>
        <v>DR. MANUEL BELGRANO</v>
      </c>
      <c r="Q1162" s="30" t="str">
        <f ca="1">IFERROR(__xludf.DUMMYFUNCTION("""COMPUTED_VALUE"""),"-24.1963")</f>
        <v>-24.1963</v>
      </c>
      <c r="R1162" s="30" t="str">
        <f ca="1">IFERROR(__xludf.DUMMYFUNCTION("""COMPUTED_VALUE"""),"-65.302925")</f>
        <v>-65.302925</v>
      </c>
      <c r="S1162" s="30" t="str">
        <f ca="1">IFERROR(__xludf.DUMMYFUNCTION("""COMPUTED_VALUE"""),"Provincial")</f>
        <v>Provincial</v>
      </c>
      <c r="T1162" s="30" t="str">
        <f ca="1">IFERROR(__xludf.DUMMYFUNCTION("""COMPUTED_VALUE"""),"-")</f>
        <v>-</v>
      </c>
    </row>
    <row r="1163" spans="1:20" ht="15.75" customHeight="1" x14ac:dyDescent="0.25">
      <c r="A1163" s="30" t="str">
        <f ca="1">IFERROR(__xludf.DUMMYFUNCTION("""COMPUTED_VALUE"""),"50380212150233")</f>
        <v>50380212150233</v>
      </c>
      <c r="B1163" s="30" t="str">
        <f ca="1">IFERROR(__xludf.DUMMYFUNCTION("""COMPUTED_VALUE"""),"CAPS SAN FRANCISCO DE ALAVA (1)")</f>
        <v>CAPS SAN FRANCISCO DE ALAVA (1)</v>
      </c>
      <c r="C1163" s="30" t="str">
        <f ca="1">IFERROR(__xludf.DUMMYFUNCTION("""COMPUTED_VALUE"""),"Jujuy")</f>
        <v>Jujuy</v>
      </c>
      <c r="D1163" s="30" t="str">
        <f ca="1">IFERROR(__xludf.DUMMYFUNCTION("""COMPUTED_VALUE"""),"38")</f>
        <v>38</v>
      </c>
      <c r="E1163" s="30" t="str">
        <f ca="1">IFERROR(__xludf.DUMMYFUNCTION("""COMPUTED_VALUE"""),"")</f>
        <v/>
      </c>
      <c r="F1163" s="29"/>
      <c r="G1163" s="29"/>
      <c r="H1163" s="30" t="str">
        <f ca="1">IFERROR(__xludf.DUMMYFUNCTION("""COMPUTED_VALUE"""),"activo")</f>
        <v>activo</v>
      </c>
      <c r="I1163" s="29"/>
      <c r="J1163" s="29"/>
      <c r="K1163" s="29"/>
      <c r="L1163" s="30" t="str">
        <f ca="1">IFERROR(__xludf.DUMMYFUNCTION("""COMPUTED_VALUE"""),"No")</f>
        <v>No</v>
      </c>
      <c r="M1163" s="30" t="str">
        <f ca="1">IFERROR(__xludf.DUMMYFUNCTION("""COMPUTED_VALUE"""),"38021060000")</f>
        <v>38021060000</v>
      </c>
      <c r="N1163" s="30" t="str">
        <f ca="1">IFERROR(__xludf.DUMMYFUNCTION("""COMPUTED_VALUE"""),"SAN SALVADOR DE JUJUY")</f>
        <v>SAN SALVADOR DE JUJUY</v>
      </c>
      <c r="O1163" s="30" t="str">
        <f ca="1">IFERROR(__xludf.DUMMYFUNCTION("""COMPUTED_VALUE"""),"3821")</f>
        <v>3821</v>
      </c>
      <c r="P1163" s="30" t="str">
        <f ca="1">IFERROR(__xludf.DUMMYFUNCTION("""COMPUTED_VALUE"""),"DR. MANUEL BELGRANO")</f>
        <v>DR. MANUEL BELGRANO</v>
      </c>
      <c r="Q1163" s="30" t="str">
        <f ca="1">IFERROR(__xludf.DUMMYFUNCTION("""COMPUTED_VALUE"""),"-24.194067")</f>
        <v>-24.194067</v>
      </c>
      <c r="R1163" s="30" t="str">
        <f ca="1">IFERROR(__xludf.DUMMYFUNCTION("""COMPUTED_VALUE"""),"-65.28078")</f>
        <v>-65.28078</v>
      </c>
      <c r="S1163" s="30" t="str">
        <f ca="1">IFERROR(__xludf.DUMMYFUNCTION("""COMPUTED_VALUE"""),"Provincial")</f>
        <v>Provincial</v>
      </c>
      <c r="T1163" s="30" t="str">
        <f ca="1">IFERROR(__xludf.DUMMYFUNCTION("""COMPUTED_VALUE"""),"-")</f>
        <v>-</v>
      </c>
    </row>
    <row r="1164" spans="1:20" ht="15.75" customHeight="1" x14ac:dyDescent="0.25">
      <c r="A1164" s="30" t="str">
        <f ca="1">IFERROR(__xludf.DUMMYFUNCTION("""COMPUTED_VALUE"""),"50380212150281")</f>
        <v>50380212150281</v>
      </c>
      <c r="B1164" s="30" t="str">
        <f ca="1">IFERROR(__xludf.DUMMYFUNCTION("""COMPUTED_VALUE"""),"CAPS 820 VIVIENDAS (1)")</f>
        <v>CAPS 820 VIVIENDAS (1)</v>
      </c>
      <c r="C1164" s="30" t="str">
        <f ca="1">IFERROR(__xludf.DUMMYFUNCTION("""COMPUTED_VALUE"""),"Jujuy")</f>
        <v>Jujuy</v>
      </c>
      <c r="D1164" s="30" t="str">
        <f ca="1">IFERROR(__xludf.DUMMYFUNCTION("""COMPUTED_VALUE"""),"38")</f>
        <v>38</v>
      </c>
      <c r="E1164" s="30" t="str">
        <f ca="1">IFERROR(__xludf.DUMMYFUNCTION("""COMPUTED_VALUE"""),"")</f>
        <v/>
      </c>
      <c r="F1164" s="29"/>
      <c r="G1164" s="29"/>
      <c r="H1164" s="30" t="str">
        <f ca="1">IFERROR(__xludf.DUMMYFUNCTION("""COMPUTED_VALUE"""),"activo")</f>
        <v>activo</v>
      </c>
      <c r="I1164" s="29"/>
      <c r="J1164" s="29"/>
      <c r="K1164" s="29"/>
      <c r="L1164" s="30" t="str">
        <f ca="1">IFERROR(__xludf.DUMMYFUNCTION("""COMPUTED_VALUE"""),"No")</f>
        <v>No</v>
      </c>
      <c r="M1164" s="30" t="str">
        <f ca="1">IFERROR(__xludf.DUMMYFUNCTION("""COMPUTED_VALUE"""),"38021060000")</f>
        <v>38021060000</v>
      </c>
      <c r="N1164" s="30" t="str">
        <f ca="1">IFERROR(__xludf.DUMMYFUNCTION("""COMPUTED_VALUE"""),"SAN SALVADOR DE JUJUY")</f>
        <v>SAN SALVADOR DE JUJUY</v>
      </c>
      <c r="O1164" s="30" t="str">
        <f ca="1">IFERROR(__xludf.DUMMYFUNCTION("""COMPUTED_VALUE"""),"3821")</f>
        <v>3821</v>
      </c>
      <c r="P1164" s="30" t="str">
        <f ca="1">IFERROR(__xludf.DUMMYFUNCTION("""COMPUTED_VALUE"""),"DR. MANUEL BELGRANO")</f>
        <v>DR. MANUEL BELGRANO</v>
      </c>
      <c r="Q1164" s="30" t="str">
        <f ca="1">IFERROR(__xludf.DUMMYFUNCTION("""COMPUTED_VALUE"""),"-24.209938")</f>
        <v>-24.209938</v>
      </c>
      <c r="R1164" s="30" t="str">
        <f ca="1">IFERROR(__xludf.DUMMYFUNCTION("""COMPUTED_VALUE"""),"-65.264671")</f>
        <v>-65.264671</v>
      </c>
      <c r="S1164" s="30" t="str">
        <f ca="1">IFERROR(__xludf.DUMMYFUNCTION("""COMPUTED_VALUE"""),"Provincial")</f>
        <v>Provincial</v>
      </c>
      <c r="T1164" s="30" t="str">
        <f ca="1">IFERROR(__xludf.DUMMYFUNCTION("""COMPUTED_VALUE"""),"-")</f>
        <v>-</v>
      </c>
    </row>
    <row r="1165" spans="1:20" ht="15.75" customHeight="1" x14ac:dyDescent="0.25">
      <c r="A1165" s="30" t="str">
        <f ca="1">IFERROR(__xludf.DUMMYFUNCTION("""COMPUTED_VALUE"""),"50380212150310")</f>
        <v>50380212150310</v>
      </c>
      <c r="B1165" s="30" t="str">
        <f ca="1">IFERROR(__xludf.DUMMYFUNCTION("""COMPUTED_VALUE"""),"HOSPITAL ING. CARLOS SNOPEK (2)")</f>
        <v>HOSPITAL ING. CARLOS SNOPEK (2)</v>
      </c>
      <c r="C1165" s="30" t="str">
        <f ca="1">IFERROR(__xludf.DUMMYFUNCTION("""COMPUTED_VALUE"""),"Jujuy")</f>
        <v>Jujuy</v>
      </c>
      <c r="D1165" s="30" t="str">
        <f ca="1">IFERROR(__xludf.DUMMYFUNCTION("""COMPUTED_VALUE"""),"38")</f>
        <v>38</v>
      </c>
      <c r="E1165" s="30" t="str">
        <f ca="1">IFERROR(__xludf.DUMMYFUNCTION("""COMPUTED_VALUE"""),"")</f>
        <v/>
      </c>
      <c r="F1165" s="29"/>
      <c r="G1165" s="29"/>
      <c r="H1165" s="30" t="str">
        <f ca="1">IFERROR(__xludf.DUMMYFUNCTION("""COMPUTED_VALUE"""),"activo")</f>
        <v>activo</v>
      </c>
      <c r="I1165" s="29"/>
      <c r="J1165" s="29"/>
      <c r="K1165" s="29"/>
      <c r="L1165" s="30" t="str">
        <f ca="1">IFERROR(__xludf.DUMMYFUNCTION("""COMPUTED_VALUE"""),"No")</f>
        <v>No</v>
      </c>
      <c r="M1165" s="30" t="str">
        <f ca="1">IFERROR(__xludf.DUMMYFUNCTION("""COMPUTED_VALUE"""),"38021060000")</f>
        <v>38021060000</v>
      </c>
      <c r="N1165" s="30" t="str">
        <f ca="1">IFERROR(__xludf.DUMMYFUNCTION("""COMPUTED_VALUE"""),"SAN SALVADOR DE JUJUY")</f>
        <v>SAN SALVADOR DE JUJUY</v>
      </c>
      <c r="O1165" s="30" t="str">
        <f ca="1">IFERROR(__xludf.DUMMYFUNCTION("""COMPUTED_VALUE"""),"3821")</f>
        <v>3821</v>
      </c>
      <c r="P1165" s="30" t="str">
        <f ca="1">IFERROR(__xludf.DUMMYFUNCTION("""COMPUTED_VALUE"""),"DR. MANUEL BELGRANO")</f>
        <v>DR. MANUEL BELGRANO</v>
      </c>
      <c r="Q1165" s="30" t="str">
        <f ca="1">IFERROR(__xludf.DUMMYFUNCTION("""COMPUTED_VALUE"""),"-24.24355")</f>
        <v>-24.24355</v>
      </c>
      <c r="R1165" s="30" t="str">
        <f ca="1">IFERROR(__xludf.DUMMYFUNCTION("""COMPUTED_VALUE"""),"-65.262524")</f>
        <v>-65.262524</v>
      </c>
      <c r="S1165" s="30" t="str">
        <f ca="1">IFERROR(__xludf.DUMMYFUNCTION("""COMPUTED_VALUE"""),"Provincial")</f>
        <v>Provincial</v>
      </c>
      <c r="T1165" s="30" t="str">
        <f ca="1">IFERROR(__xludf.DUMMYFUNCTION("""COMPUTED_VALUE"""),"-")</f>
        <v>-</v>
      </c>
    </row>
    <row r="1166" spans="1:20" ht="15.75" customHeight="1" x14ac:dyDescent="0.25">
      <c r="A1166" s="30" t="str">
        <f ca="1">IFERROR(__xludf.DUMMYFUNCTION("""COMPUTED_VALUE"""),"50380352150082")</f>
        <v>50380352150082</v>
      </c>
      <c r="B1166" s="30" t="str">
        <f ca="1">IFERROR(__xludf.DUMMYFUNCTION("""COMPUTED_VALUE"""),"CAPS CAIMANCITO (12)")</f>
        <v>CAPS CAIMANCITO (12)</v>
      </c>
      <c r="C1166" s="30" t="str">
        <f ca="1">IFERROR(__xludf.DUMMYFUNCTION("""COMPUTED_VALUE"""),"Jujuy")</f>
        <v>Jujuy</v>
      </c>
      <c r="D1166" s="30" t="str">
        <f ca="1">IFERROR(__xludf.DUMMYFUNCTION("""COMPUTED_VALUE"""),"38")</f>
        <v>38</v>
      </c>
      <c r="E1166" s="30" t="str">
        <f ca="1">IFERROR(__xludf.DUMMYFUNCTION("""COMPUTED_VALUE"""),"si")</f>
        <v>si</v>
      </c>
      <c r="F1166" s="29"/>
      <c r="G1166" s="29"/>
      <c r="H1166" s="30" t="str">
        <f ca="1">IFERROR(__xludf.DUMMYFUNCTION("""COMPUTED_VALUE"""),"activo")</f>
        <v>activo</v>
      </c>
      <c r="I1166" s="29"/>
      <c r="J1166" s="29"/>
      <c r="K1166" s="29"/>
      <c r="L1166" s="30" t="str">
        <f ca="1">IFERROR(__xludf.DUMMYFUNCTION("""COMPUTED_VALUE"""),"No")</f>
        <v>No</v>
      </c>
      <c r="M1166" s="30" t="str">
        <f ca="1">IFERROR(__xludf.DUMMYFUNCTION("""COMPUTED_VALUE"""),"38035030000")</f>
        <v>38035030000</v>
      </c>
      <c r="N1166" s="30" t="str">
        <f ca="1">IFERROR(__xludf.DUMMYFUNCTION("""COMPUTED_VALUE"""),"CAIMANCITO")</f>
        <v>CAIMANCITO</v>
      </c>
      <c r="O1166" s="30" t="str">
        <f ca="1">IFERROR(__xludf.DUMMYFUNCTION("""COMPUTED_VALUE"""),"3835")</f>
        <v>3835</v>
      </c>
      <c r="P1166" s="30" t="str">
        <f ca="1">IFERROR(__xludf.DUMMYFUNCTION("""COMPUTED_VALUE"""),"LEDESMA")</f>
        <v>LEDESMA</v>
      </c>
      <c r="Q1166" s="30" t="str">
        <f ca="1">IFERROR(__xludf.DUMMYFUNCTION("""COMPUTED_VALUE"""),"-23.740559")</f>
        <v>-23.740559</v>
      </c>
      <c r="R1166" s="30" t="str">
        <f ca="1">IFERROR(__xludf.DUMMYFUNCTION("""COMPUTED_VALUE"""),"-64.591221")</f>
        <v>-64.591221</v>
      </c>
      <c r="S1166" s="30" t="str">
        <f ca="1">IFERROR(__xludf.DUMMYFUNCTION("""COMPUTED_VALUE"""),"Provincial")</f>
        <v>Provincial</v>
      </c>
      <c r="T1166" s="30" t="str">
        <f ca="1">IFERROR(__xludf.DUMMYFUNCTION("""COMPUTED_VALUE"""),"-")</f>
        <v>-</v>
      </c>
    </row>
    <row r="1167" spans="1:20" ht="15.75" customHeight="1" x14ac:dyDescent="0.25">
      <c r="A1167" s="30" t="str">
        <f ca="1">IFERROR(__xludf.DUMMYFUNCTION("""COMPUTED_VALUE"""),"50380352150119")</f>
        <v>50380352150119</v>
      </c>
      <c r="B1167" s="30" t="str">
        <f ca="1">IFERROR(__xludf.DUMMYFUNCTION("""COMPUTED_VALUE"""),"CAPS DR. FERNANDO CAMPERO (11)")</f>
        <v>CAPS DR. FERNANDO CAMPERO (11)</v>
      </c>
      <c r="C1167" s="30" t="str">
        <f ca="1">IFERROR(__xludf.DUMMYFUNCTION("""COMPUTED_VALUE"""),"Jujuy")</f>
        <v>Jujuy</v>
      </c>
      <c r="D1167" s="30" t="str">
        <f ca="1">IFERROR(__xludf.DUMMYFUNCTION("""COMPUTED_VALUE"""),"38")</f>
        <v>38</v>
      </c>
      <c r="E1167" s="30" t="str">
        <f ca="1">IFERROR(__xludf.DUMMYFUNCTION("""COMPUTED_VALUE"""),"si")</f>
        <v>si</v>
      </c>
      <c r="F1167" s="29"/>
      <c r="G1167" s="29"/>
      <c r="H1167" s="30" t="str">
        <f ca="1">IFERROR(__xludf.DUMMYFUNCTION("""COMPUTED_VALUE"""),"activo")</f>
        <v>activo</v>
      </c>
      <c r="I1167" s="29"/>
      <c r="J1167" s="29"/>
      <c r="K1167" s="29"/>
      <c r="L1167" s="30" t="str">
        <f ca="1">IFERROR(__xludf.DUMMYFUNCTION("""COMPUTED_VALUE"""),"No")</f>
        <v>No</v>
      </c>
      <c r="M1167" s="30" t="str">
        <f ca="1">IFERROR(__xludf.DUMMYFUNCTION("""COMPUTED_VALUE"""),"38035080000")</f>
        <v>38035080000</v>
      </c>
      <c r="N1167" s="30" t="str">
        <f ca="1">IFERROR(__xludf.DUMMYFUNCTION("""COMPUTED_VALUE"""),"LIBERTADOR GENERAL SAN MARTIN")</f>
        <v>LIBERTADOR GENERAL SAN MARTIN</v>
      </c>
      <c r="O1167" s="30" t="str">
        <f ca="1">IFERROR(__xludf.DUMMYFUNCTION("""COMPUTED_VALUE"""),"3835")</f>
        <v>3835</v>
      </c>
      <c r="P1167" s="30" t="str">
        <f ca="1">IFERROR(__xludf.DUMMYFUNCTION("""COMPUTED_VALUE"""),"LEDESMA")</f>
        <v>LEDESMA</v>
      </c>
      <c r="Q1167" s="30" t="str">
        <f ca="1">IFERROR(__xludf.DUMMYFUNCTION("""COMPUTED_VALUE"""),"-23.8141738")</f>
        <v>-23.8141738</v>
      </c>
      <c r="R1167" s="30" t="str">
        <f ca="1">IFERROR(__xludf.DUMMYFUNCTION("""COMPUTED_VALUE"""),"-64.7938048")</f>
        <v>-64.7938048</v>
      </c>
      <c r="S1167" s="30" t="str">
        <f ca="1">IFERROR(__xludf.DUMMYFUNCTION("""COMPUTED_VALUE"""),"Provincial")</f>
        <v>Provincial</v>
      </c>
      <c r="T1167" s="30" t="str">
        <f ca="1">IFERROR(__xludf.DUMMYFUNCTION("""COMPUTED_VALUE"""),"-")</f>
        <v>-</v>
      </c>
    </row>
    <row r="1168" spans="1:20" ht="15.75" customHeight="1" x14ac:dyDescent="0.25">
      <c r="A1168" s="30" t="str">
        <f ca="1">IFERROR(__xludf.DUMMYFUNCTION("""COMPUTED_VALUE"""),"50380352150120")</f>
        <v>50380352150120</v>
      </c>
      <c r="B1168" s="30" t="str">
        <f ca="1">IFERROR(__xludf.DUMMYFUNCTION("""COMPUTED_VALUE"""),"CAPS DR. LUIS AREDEZ (11)")</f>
        <v>CAPS DR. LUIS AREDEZ (11)</v>
      </c>
      <c r="C1168" s="30" t="str">
        <f ca="1">IFERROR(__xludf.DUMMYFUNCTION("""COMPUTED_VALUE"""),"Jujuy")</f>
        <v>Jujuy</v>
      </c>
      <c r="D1168" s="30" t="str">
        <f ca="1">IFERROR(__xludf.DUMMYFUNCTION("""COMPUTED_VALUE"""),"38")</f>
        <v>38</v>
      </c>
      <c r="E1168" s="30" t="str">
        <f ca="1">IFERROR(__xludf.DUMMYFUNCTION("""COMPUTED_VALUE"""),"si")</f>
        <v>si</v>
      </c>
      <c r="F1168" s="29"/>
      <c r="G1168" s="29"/>
      <c r="H1168" s="30" t="str">
        <f ca="1">IFERROR(__xludf.DUMMYFUNCTION("""COMPUTED_VALUE"""),"activo")</f>
        <v>activo</v>
      </c>
      <c r="I1168" s="29"/>
      <c r="J1168" s="29"/>
      <c r="K1168" s="29"/>
      <c r="L1168" s="30" t="str">
        <f ca="1">IFERROR(__xludf.DUMMYFUNCTION("""COMPUTED_VALUE"""),"No")</f>
        <v>No</v>
      </c>
      <c r="M1168" s="30" t="str">
        <f ca="1">IFERROR(__xludf.DUMMYFUNCTION("""COMPUTED_VALUE"""),"38035080000")</f>
        <v>38035080000</v>
      </c>
      <c r="N1168" s="30" t="str">
        <f ca="1">IFERROR(__xludf.DUMMYFUNCTION("""COMPUTED_VALUE"""),"LIBERTADOR GENERAL SAN MARTIN")</f>
        <v>LIBERTADOR GENERAL SAN MARTIN</v>
      </c>
      <c r="O1168" s="30" t="str">
        <f ca="1">IFERROR(__xludf.DUMMYFUNCTION("""COMPUTED_VALUE"""),"3835")</f>
        <v>3835</v>
      </c>
      <c r="P1168" s="30" t="str">
        <f ca="1">IFERROR(__xludf.DUMMYFUNCTION("""COMPUTED_VALUE"""),"LEDESMA")</f>
        <v>LEDESMA</v>
      </c>
      <c r="Q1168" s="30" t="str">
        <f ca="1">IFERROR(__xludf.DUMMYFUNCTION("""COMPUTED_VALUE"""),"-23.796056")</f>
        <v>-23.796056</v>
      </c>
      <c r="R1168" s="30" t="str">
        <f ca="1">IFERROR(__xludf.DUMMYFUNCTION("""COMPUTED_VALUE"""),"-64.793348")</f>
        <v>-64.793348</v>
      </c>
      <c r="S1168" s="30" t="str">
        <f ca="1">IFERROR(__xludf.DUMMYFUNCTION("""COMPUTED_VALUE"""),"Provincial")</f>
        <v>Provincial</v>
      </c>
      <c r="T1168" s="30" t="str">
        <f ca="1">IFERROR(__xludf.DUMMYFUNCTION("""COMPUTED_VALUE"""),"-")</f>
        <v>-</v>
      </c>
    </row>
    <row r="1169" spans="1:20" ht="15.75" customHeight="1" x14ac:dyDescent="0.25">
      <c r="A1169" s="30" t="str">
        <f ca="1">IFERROR(__xludf.DUMMYFUNCTION("""COMPUTED_VALUE"""),"50380352150221")</f>
        <v>50380352150221</v>
      </c>
      <c r="B1169" s="30" t="str">
        <f ca="1">IFERROR(__xludf.DUMMYFUNCTION("""COMPUTED_VALUE"""),"CAPS RAMON CARRILLO (11)")</f>
        <v>CAPS RAMON CARRILLO (11)</v>
      </c>
      <c r="C1169" s="30" t="str">
        <f ca="1">IFERROR(__xludf.DUMMYFUNCTION("""COMPUTED_VALUE"""),"Jujuy")</f>
        <v>Jujuy</v>
      </c>
      <c r="D1169" s="30" t="str">
        <f ca="1">IFERROR(__xludf.DUMMYFUNCTION("""COMPUTED_VALUE"""),"38")</f>
        <v>38</v>
      </c>
      <c r="E1169" s="30" t="str">
        <f ca="1">IFERROR(__xludf.DUMMYFUNCTION("""COMPUTED_VALUE"""),"si")</f>
        <v>si</v>
      </c>
      <c r="F1169" s="29"/>
      <c r="G1169" s="29"/>
      <c r="H1169" s="30" t="str">
        <f ca="1">IFERROR(__xludf.DUMMYFUNCTION("""COMPUTED_VALUE"""),"activo")</f>
        <v>activo</v>
      </c>
      <c r="I1169" s="29"/>
      <c r="J1169" s="29"/>
      <c r="K1169" s="29"/>
      <c r="L1169" s="30" t="str">
        <f ca="1">IFERROR(__xludf.DUMMYFUNCTION("""COMPUTED_VALUE"""),"No")</f>
        <v>No</v>
      </c>
      <c r="M1169" s="30" t="str">
        <f ca="1">IFERROR(__xludf.DUMMYFUNCTION("""COMPUTED_VALUE"""),"38035080000")</f>
        <v>38035080000</v>
      </c>
      <c r="N1169" s="30" t="str">
        <f ca="1">IFERROR(__xludf.DUMMYFUNCTION("""COMPUTED_VALUE"""),"LIBERTADOR GENERAL SAN MARTIN")</f>
        <v>LIBERTADOR GENERAL SAN MARTIN</v>
      </c>
      <c r="O1169" s="30" t="str">
        <f ca="1">IFERROR(__xludf.DUMMYFUNCTION("""COMPUTED_VALUE"""),"3835")</f>
        <v>3835</v>
      </c>
      <c r="P1169" s="30" t="str">
        <f ca="1">IFERROR(__xludf.DUMMYFUNCTION("""COMPUTED_VALUE"""),"LEDESMA")</f>
        <v>LEDESMA</v>
      </c>
      <c r="Q1169" s="30" t="str">
        <f ca="1">IFERROR(__xludf.DUMMYFUNCTION("""COMPUTED_VALUE"""),"-23.80818299")</f>
        <v>-23.80818299</v>
      </c>
      <c r="R1169" s="30" t="str">
        <f ca="1">IFERROR(__xludf.DUMMYFUNCTION("""COMPUTED_VALUE"""),"-64.79388898")</f>
        <v>-64.79388898</v>
      </c>
      <c r="S1169" s="30" t="str">
        <f ca="1">IFERROR(__xludf.DUMMYFUNCTION("""COMPUTED_VALUE"""),"Provincial")</f>
        <v>Provincial</v>
      </c>
      <c r="T1169" s="30" t="str">
        <f ca="1">IFERROR(__xludf.DUMMYFUNCTION("""COMPUTED_VALUE"""),"-")</f>
        <v>-</v>
      </c>
    </row>
    <row r="1170" spans="1:20" ht="15.75" customHeight="1" x14ac:dyDescent="0.25">
      <c r="A1170" s="30" t="str">
        <f ca="1">IFERROR(__xludf.DUMMYFUNCTION("""COMPUTED_VALUE"""),"50380352150413")</f>
        <v>50380352150413</v>
      </c>
      <c r="B1170" s="30" t="str">
        <f ca="1">IFERROR(__xludf.DUMMYFUNCTION("""COMPUTED_VALUE"""),"CAPS SANTA ROSA (11)")</f>
        <v>CAPS SANTA ROSA (11)</v>
      </c>
      <c r="C1170" s="30" t="str">
        <f ca="1">IFERROR(__xludf.DUMMYFUNCTION("""COMPUTED_VALUE"""),"Jujuy")</f>
        <v>Jujuy</v>
      </c>
      <c r="D1170" s="30" t="str">
        <f ca="1">IFERROR(__xludf.DUMMYFUNCTION("""COMPUTED_VALUE"""),"38")</f>
        <v>38</v>
      </c>
      <c r="E1170" s="30" t="str">
        <f ca="1">IFERROR(__xludf.DUMMYFUNCTION("""COMPUTED_VALUE"""),"si")</f>
        <v>si</v>
      </c>
      <c r="F1170" s="29"/>
      <c r="G1170" s="29"/>
      <c r="H1170" s="30" t="str">
        <f ca="1">IFERROR(__xludf.DUMMYFUNCTION("""COMPUTED_VALUE"""),"activo")</f>
        <v>activo</v>
      </c>
      <c r="I1170" s="29"/>
      <c r="J1170" s="29"/>
      <c r="K1170" s="29"/>
      <c r="L1170" s="30" t="str">
        <f ca="1">IFERROR(__xludf.DUMMYFUNCTION("""COMPUTED_VALUE"""),"No")</f>
        <v>No</v>
      </c>
      <c r="M1170" s="30" t="str">
        <f ca="1">IFERROR(__xludf.DUMMYFUNCTION("""COMPUTED_VALUE"""),"38035080000")</f>
        <v>38035080000</v>
      </c>
      <c r="N1170" s="30" t="str">
        <f ca="1">IFERROR(__xludf.DUMMYFUNCTION("""COMPUTED_VALUE"""),"LIBERTADOR GENERAL SAN MARTIN")</f>
        <v>LIBERTADOR GENERAL SAN MARTIN</v>
      </c>
      <c r="O1170" s="30" t="str">
        <f ca="1">IFERROR(__xludf.DUMMYFUNCTION("""COMPUTED_VALUE"""),"3835")</f>
        <v>3835</v>
      </c>
      <c r="P1170" s="30" t="str">
        <f ca="1">IFERROR(__xludf.DUMMYFUNCTION("""COMPUTED_VALUE"""),"LEDESMA")</f>
        <v>LEDESMA</v>
      </c>
      <c r="Q1170" s="30" t="str">
        <f ca="1">IFERROR(__xludf.DUMMYFUNCTION("""COMPUTED_VALUE"""),"-23.81043999")</f>
        <v>-23.81043999</v>
      </c>
      <c r="R1170" s="30" t="str">
        <f ca="1">IFERROR(__xludf.DUMMYFUNCTION("""COMPUTED_VALUE"""),"-64.78426597")</f>
        <v>-64.78426597</v>
      </c>
      <c r="S1170" s="30" t="str">
        <f ca="1">IFERROR(__xludf.DUMMYFUNCTION("""COMPUTED_VALUE"""),"Provincial")</f>
        <v>Provincial</v>
      </c>
      <c r="T1170" s="30" t="str">
        <f ca="1">IFERROR(__xludf.DUMMYFUNCTION("""COMPUTED_VALUE"""),"-")</f>
        <v>-</v>
      </c>
    </row>
    <row r="1171" spans="1:20" ht="15.75" customHeight="1" x14ac:dyDescent="0.25">
      <c r="A1171" s="30" t="str">
        <f ca="1">IFERROR(__xludf.DUMMYFUNCTION("""COMPUTED_VALUE"""),"50380422150297")</f>
        <v>50380422150297</v>
      </c>
      <c r="B1171" s="30" t="str">
        <f ca="1">IFERROR(__xludf.DUMMYFUNCTION("""COMPUTED_VALUE"""),"CIC SAN JOSE (4)")</f>
        <v>CIC SAN JOSE (4)</v>
      </c>
      <c r="C1171" s="30" t="str">
        <f ca="1">IFERROR(__xludf.DUMMYFUNCTION("""COMPUTED_VALUE"""),"Jujuy")</f>
        <v>Jujuy</v>
      </c>
      <c r="D1171" s="30" t="str">
        <f ca="1">IFERROR(__xludf.DUMMYFUNCTION("""COMPUTED_VALUE"""),"38")</f>
        <v>38</v>
      </c>
      <c r="E1171" s="30" t="str">
        <f ca="1">IFERROR(__xludf.DUMMYFUNCTION("""COMPUTED_VALUE"""),"")</f>
        <v/>
      </c>
      <c r="F1171" s="29"/>
      <c r="G1171" s="29"/>
      <c r="H1171" s="30" t="str">
        <f ca="1">IFERROR(__xludf.DUMMYFUNCTION("""COMPUTED_VALUE"""),"activo")</f>
        <v>activo</v>
      </c>
      <c r="I1171" s="29"/>
      <c r="J1171" s="29"/>
      <c r="K1171" s="29"/>
      <c r="L1171" s="30" t="str">
        <f ca="1">IFERROR(__xludf.DUMMYFUNCTION("""COMPUTED_VALUE"""),"No")</f>
        <v>No</v>
      </c>
      <c r="M1171" s="30" t="str">
        <f ca="1">IFERROR(__xludf.DUMMYFUNCTION("""COMPUTED_VALUE"""),"38042040001")</f>
        <v>38042040001</v>
      </c>
      <c r="N1171" s="30" t="str">
        <f ca="1">IFERROR(__xludf.DUMMYFUNCTION("""COMPUTED_VALUE"""),"PALPALA")</f>
        <v>PALPALA</v>
      </c>
      <c r="O1171" s="30" t="str">
        <f ca="1">IFERROR(__xludf.DUMMYFUNCTION("""COMPUTED_VALUE"""),"3842")</f>
        <v>3842</v>
      </c>
      <c r="P1171" s="30" t="str">
        <f ca="1">IFERROR(__xludf.DUMMYFUNCTION("""COMPUTED_VALUE"""),"PALPALÁ")</f>
        <v>PALPALÁ</v>
      </c>
      <c r="Q1171" s="30" t="str">
        <f ca="1">IFERROR(__xludf.DUMMYFUNCTION("""COMPUTED_VALUE"""),"-24.262559")</f>
        <v>-24.262559</v>
      </c>
      <c r="R1171" s="30" t="str">
        <f ca="1">IFERROR(__xludf.DUMMYFUNCTION("""COMPUTED_VALUE"""),"-65.22720002")</f>
        <v>-65.22720002</v>
      </c>
      <c r="S1171" s="30" t="str">
        <f ca="1">IFERROR(__xludf.DUMMYFUNCTION("""COMPUTED_VALUE"""),"Provincial")</f>
        <v>Provincial</v>
      </c>
      <c r="T1171" s="30" t="str">
        <f ca="1">IFERROR(__xludf.DUMMYFUNCTION("""COMPUTED_VALUE"""),"-")</f>
        <v>-</v>
      </c>
    </row>
    <row r="1172" spans="1:20" ht="15.75" customHeight="1" x14ac:dyDescent="0.25">
      <c r="A1172" s="30" t="str">
        <f ca="1">IFERROR(__xludf.DUMMYFUNCTION("""COMPUTED_VALUE"""),"50380562150060")</f>
        <v>50380562150060</v>
      </c>
      <c r="B1172" s="30" t="str">
        <f ca="1">IFERROR(__xludf.DUMMYFUNCTION("""COMPUTED_VALUE"""),"CAPS SAN ANTONIO (5)")</f>
        <v>CAPS SAN ANTONIO (5)</v>
      </c>
      <c r="C1172" s="30" t="str">
        <f ca="1">IFERROR(__xludf.DUMMYFUNCTION("""COMPUTED_VALUE"""),"Jujuy")</f>
        <v>Jujuy</v>
      </c>
      <c r="D1172" s="30" t="str">
        <f ca="1">IFERROR(__xludf.DUMMYFUNCTION("""COMPUTED_VALUE"""),"38")</f>
        <v>38</v>
      </c>
      <c r="E1172" s="30" t="str">
        <f ca="1">IFERROR(__xludf.DUMMYFUNCTION("""COMPUTED_VALUE"""),"")</f>
        <v/>
      </c>
      <c r="F1172" s="29"/>
      <c r="G1172" s="29"/>
      <c r="H1172" s="30" t="str">
        <f ca="1">IFERROR(__xludf.DUMMYFUNCTION("""COMPUTED_VALUE"""),"activo")</f>
        <v>activo</v>
      </c>
      <c r="I1172" s="29"/>
      <c r="J1172" s="29"/>
      <c r="K1172" s="29"/>
      <c r="L1172" s="30" t="str">
        <f ca="1">IFERROR(__xludf.DUMMYFUNCTION("""COMPUTED_VALUE"""),"No")</f>
        <v>No</v>
      </c>
      <c r="M1172" s="30" t="str">
        <f ca="1">IFERROR(__xludf.DUMMYFUNCTION("""COMPUTED_VALUE"""),"38056030000")</f>
        <v>38056030000</v>
      </c>
      <c r="N1172" s="30" t="str">
        <f ca="1">IFERROR(__xludf.DUMMYFUNCTION("""COMPUTED_VALUE"""),"SAN ANTONIO")</f>
        <v>SAN ANTONIO</v>
      </c>
      <c r="O1172" s="30" t="str">
        <f ca="1">IFERROR(__xludf.DUMMYFUNCTION("""COMPUTED_VALUE"""),"3856")</f>
        <v>3856</v>
      </c>
      <c r="P1172" s="30" t="str">
        <f ca="1">IFERROR(__xludf.DUMMYFUNCTION("""COMPUTED_VALUE"""),"SAN ANTONIO")</f>
        <v>SAN ANTONIO</v>
      </c>
      <c r="Q1172" s="30" t="str">
        <f ca="1">IFERROR(__xludf.DUMMYFUNCTION("""COMPUTED_VALUE"""),"-24.3698626")</f>
        <v>-24.3698626</v>
      </c>
      <c r="R1172" s="30" t="str">
        <f ca="1">IFERROR(__xludf.DUMMYFUNCTION("""COMPUTED_VALUE"""),"-65.3319505")</f>
        <v>-65.3319505</v>
      </c>
      <c r="S1172" s="30" t="str">
        <f ca="1">IFERROR(__xludf.DUMMYFUNCTION("""COMPUTED_VALUE"""),"Provincial")</f>
        <v>Provincial</v>
      </c>
      <c r="T1172" s="30" t="str">
        <f ca="1">IFERROR(__xludf.DUMMYFUNCTION("""COMPUTED_VALUE"""),"-")</f>
        <v>-</v>
      </c>
    </row>
    <row r="1173" spans="1:20" ht="15.75" customHeight="1" x14ac:dyDescent="0.25">
      <c r="A1173" s="30" t="str">
        <f ca="1">IFERROR(__xludf.DUMMYFUNCTION("""COMPUTED_VALUE"""),"50380632150121")</f>
        <v>50380632150121</v>
      </c>
      <c r="B1173" s="30" t="str">
        <f ca="1">IFERROR(__xludf.DUMMYFUNCTION("""COMPUTED_VALUE"""),"CAPS EJERCITO DEL NORTE (7)")</f>
        <v>CAPS EJERCITO DEL NORTE (7)</v>
      </c>
      <c r="C1173" s="30" t="str">
        <f ca="1">IFERROR(__xludf.DUMMYFUNCTION("""COMPUTED_VALUE"""),"Jujuy")</f>
        <v>Jujuy</v>
      </c>
      <c r="D1173" s="30" t="str">
        <f ca="1">IFERROR(__xludf.DUMMYFUNCTION("""COMPUTED_VALUE"""),"38")</f>
        <v>38</v>
      </c>
      <c r="E1173" s="30" t="str">
        <f ca="1">IFERROR(__xludf.DUMMYFUNCTION("""COMPUTED_VALUE"""),"")</f>
        <v/>
      </c>
      <c r="F1173" s="29"/>
      <c r="G1173" s="29"/>
      <c r="H1173" s="30" t="str">
        <f ca="1">IFERROR(__xludf.DUMMYFUNCTION("""COMPUTED_VALUE"""),"activo")</f>
        <v>activo</v>
      </c>
      <c r="I1173" s="29"/>
      <c r="J1173" s="29"/>
      <c r="K1173" s="29"/>
      <c r="L1173" s="30" t="str">
        <f ca="1">IFERROR(__xludf.DUMMYFUNCTION("""COMPUTED_VALUE"""),"No")</f>
        <v>No</v>
      </c>
      <c r="M1173" s="30" t="str">
        <f ca="1">IFERROR(__xludf.DUMMYFUNCTION("""COMPUTED_VALUE"""),"38063180000")</f>
        <v>38063180000</v>
      </c>
      <c r="N1173" s="30" t="str">
        <f ca="1">IFERROR(__xludf.DUMMYFUNCTION("""COMPUTED_VALUE"""),"SAN PEDRO")</f>
        <v>SAN PEDRO</v>
      </c>
      <c r="O1173" s="30" t="str">
        <f ca="1">IFERROR(__xludf.DUMMYFUNCTION("""COMPUTED_VALUE"""),"3863")</f>
        <v>3863</v>
      </c>
      <c r="P1173" s="30" t="str">
        <f ca="1">IFERROR(__xludf.DUMMYFUNCTION("""COMPUTED_VALUE"""),"SAN PEDRO")</f>
        <v>SAN PEDRO</v>
      </c>
      <c r="Q1173" s="30" t="str">
        <f ca="1">IFERROR(__xludf.DUMMYFUNCTION("""COMPUTED_VALUE"""),"-24.2351658")</f>
        <v>-24.2351658</v>
      </c>
      <c r="R1173" s="30" t="str">
        <f ca="1">IFERROR(__xludf.DUMMYFUNCTION("""COMPUTED_VALUE"""),"-64.8838152")</f>
        <v>-64.8838152</v>
      </c>
      <c r="S1173" s="30" t="str">
        <f ca="1">IFERROR(__xludf.DUMMYFUNCTION("""COMPUTED_VALUE"""),"Provincial")</f>
        <v>Provincial</v>
      </c>
      <c r="T1173" s="30" t="str">
        <f ca="1">IFERROR(__xludf.DUMMYFUNCTION("""COMPUTED_VALUE"""),"-")</f>
        <v>-</v>
      </c>
    </row>
    <row r="1174" spans="1:20" ht="15.75" customHeight="1" x14ac:dyDescent="0.25">
      <c r="A1174" s="30" t="str">
        <f ca="1">IFERROR(__xludf.DUMMYFUNCTION("""COMPUTED_VALUE"""),"50380632150206")</f>
        <v>50380632150206</v>
      </c>
      <c r="B1174" s="30" t="str">
        <f ca="1">IFERROR(__xludf.DUMMYFUNCTION("""COMPUTED_VALUE"""),"CAPS PATRICIOS (7)")</f>
        <v>CAPS PATRICIOS (7)</v>
      </c>
      <c r="C1174" s="30" t="str">
        <f ca="1">IFERROR(__xludf.DUMMYFUNCTION("""COMPUTED_VALUE"""),"Jujuy")</f>
        <v>Jujuy</v>
      </c>
      <c r="D1174" s="30" t="str">
        <f ca="1">IFERROR(__xludf.DUMMYFUNCTION("""COMPUTED_VALUE"""),"38")</f>
        <v>38</v>
      </c>
      <c r="E1174" s="30" t="str">
        <f ca="1">IFERROR(__xludf.DUMMYFUNCTION("""COMPUTED_VALUE"""),"si")</f>
        <v>si</v>
      </c>
      <c r="F1174" s="29"/>
      <c r="G1174" s="29"/>
      <c r="H1174" s="30" t="str">
        <f ca="1">IFERROR(__xludf.DUMMYFUNCTION("""COMPUTED_VALUE"""),"activo")</f>
        <v>activo</v>
      </c>
      <c r="I1174" s="29"/>
      <c r="J1174" s="29"/>
      <c r="K1174" s="29"/>
      <c r="L1174" s="30" t="str">
        <f ca="1">IFERROR(__xludf.DUMMYFUNCTION("""COMPUTED_VALUE"""),"No")</f>
        <v>No</v>
      </c>
      <c r="M1174" s="30" t="str">
        <f ca="1">IFERROR(__xludf.DUMMYFUNCTION("""COMPUTED_VALUE"""),"38063180000")</f>
        <v>38063180000</v>
      </c>
      <c r="N1174" s="30" t="str">
        <f ca="1">IFERROR(__xludf.DUMMYFUNCTION("""COMPUTED_VALUE"""),"SAN PEDRO")</f>
        <v>SAN PEDRO</v>
      </c>
      <c r="O1174" s="30" t="str">
        <f ca="1">IFERROR(__xludf.DUMMYFUNCTION("""COMPUTED_VALUE"""),"3863")</f>
        <v>3863</v>
      </c>
      <c r="P1174" s="30" t="str">
        <f ca="1">IFERROR(__xludf.DUMMYFUNCTION("""COMPUTED_VALUE"""),"SAN PEDRO")</f>
        <v>SAN PEDRO</v>
      </c>
      <c r="Q1174" s="30" t="str">
        <f ca="1">IFERROR(__xludf.DUMMYFUNCTION("""COMPUTED_VALUE"""),"-24.2263916")</f>
        <v>-24.2263916</v>
      </c>
      <c r="R1174" s="30" t="str">
        <f ca="1">IFERROR(__xludf.DUMMYFUNCTION("""COMPUTED_VALUE"""),"-64.8580502")</f>
        <v>-64.8580502</v>
      </c>
      <c r="S1174" s="30" t="str">
        <f ca="1">IFERROR(__xludf.DUMMYFUNCTION("""COMPUTED_VALUE"""),"Provincial")</f>
        <v>Provincial</v>
      </c>
      <c r="T1174" s="30" t="str">
        <f ca="1">IFERROR(__xludf.DUMMYFUNCTION("""COMPUTED_VALUE"""),"-")</f>
        <v>-</v>
      </c>
    </row>
    <row r="1175" spans="1:20" ht="15.75" customHeight="1" x14ac:dyDescent="0.25">
      <c r="A1175" s="30" t="str">
        <f ca="1">IFERROR(__xludf.DUMMYFUNCTION("""COMPUTED_VALUE"""),"50380702150132")</f>
        <v>50380702150132</v>
      </c>
      <c r="B1175" s="30" t="str">
        <f ca="1">IFERROR(__xludf.DUMMYFUNCTION("""COMPUTED_VALUE"""),"CAPS EL PIQUETE (7)")</f>
        <v>CAPS EL PIQUETE (7)</v>
      </c>
      <c r="C1175" s="30" t="str">
        <f ca="1">IFERROR(__xludf.DUMMYFUNCTION("""COMPUTED_VALUE"""),"Jujuy")</f>
        <v>Jujuy</v>
      </c>
      <c r="D1175" s="30" t="str">
        <f ca="1">IFERROR(__xludf.DUMMYFUNCTION("""COMPUTED_VALUE"""),"38")</f>
        <v>38</v>
      </c>
      <c r="E1175" s="30" t="str">
        <f ca="1">IFERROR(__xludf.DUMMYFUNCTION("""COMPUTED_VALUE"""),"si")</f>
        <v>si</v>
      </c>
      <c r="F1175" s="29"/>
      <c r="G1175" s="29"/>
      <c r="H1175" s="30" t="str">
        <f ca="1">IFERROR(__xludf.DUMMYFUNCTION("""COMPUTED_VALUE"""),"inactivo")</f>
        <v>inactivo</v>
      </c>
      <c r="I1175" s="30" t="str">
        <f ca="1">IFERROR(__xludf.DUMMYFUNCTION("""COMPUTED_VALUE"""),"baja solicitada por la provincia mail 13/03/2020")</f>
        <v>baja solicitada por la provincia mail 13/03/2020</v>
      </c>
      <c r="J1175" s="29"/>
      <c r="K1175" s="29"/>
      <c r="L1175" s="30" t="str">
        <f ca="1">IFERROR(__xludf.DUMMYFUNCTION("""COMPUTED_VALUE"""),"No")</f>
        <v>No</v>
      </c>
      <c r="M1175" s="30" t="str">
        <f ca="1">IFERROR(__xludf.DUMMYFUNCTION("""COMPUTED_VALUE"""),"38070060000")</f>
        <v>38070060000</v>
      </c>
      <c r="N1175" s="30" t="str">
        <f ca="1">IFERROR(__xludf.DUMMYFUNCTION("""COMPUTED_VALUE"""),"SANTA CLARA")</f>
        <v>SANTA CLARA</v>
      </c>
      <c r="O1175" s="30" t="str">
        <f ca="1">IFERROR(__xludf.DUMMYFUNCTION("""COMPUTED_VALUE"""),"3870")</f>
        <v>3870</v>
      </c>
      <c r="P1175" s="30" t="str">
        <f ca="1">IFERROR(__xludf.DUMMYFUNCTION("""COMPUTED_VALUE"""),"SANTA BÁRBARA")</f>
        <v>SANTA BÁRBARA</v>
      </c>
      <c r="Q1175" s="30" t="str">
        <f ca="1">IFERROR(__xludf.DUMMYFUNCTION("""COMPUTED_VALUE"""),"-24.230604")</f>
        <v>-24.230604</v>
      </c>
      <c r="R1175" s="30" t="str">
        <f ca="1">IFERROR(__xludf.DUMMYFUNCTION("""COMPUTED_VALUE"""),"-64.73071299")</f>
        <v>-64.73071299</v>
      </c>
      <c r="S1175" s="30" t="str">
        <f ca="1">IFERROR(__xludf.DUMMYFUNCTION("""COMPUTED_VALUE"""),"Provincial")</f>
        <v>Provincial</v>
      </c>
      <c r="T1175" s="30" t="str">
        <f ca="1">IFERROR(__xludf.DUMMYFUNCTION("""COMPUTED_VALUE"""),"-")</f>
        <v>-</v>
      </c>
    </row>
    <row r="1176" spans="1:20" ht="15.75" customHeight="1" x14ac:dyDescent="0.25">
      <c r="A1176" s="30" t="str">
        <f ca="1">IFERROR(__xludf.DUMMYFUNCTION("""COMPUTED_VALUE"""),"50380422150486")</f>
        <v>50380422150486</v>
      </c>
      <c r="B1176" s="30" t="str">
        <f ca="1">IFERROR(__xludf.DUMMYFUNCTION("""COMPUTED_VALUE"""),"CAPS SANTA BARBARA (4)")</f>
        <v>CAPS SANTA BARBARA (4)</v>
      </c>
      <c r="C1176" s="30" t="str">
        <f ca="1">IFERROR(__xludf.DUMMYFUNCTION("""COMPUTED_VALUE"""),"Jujuy")</f>
        <v>Jujuy</v>
      </c>
      <c r="D1176" s="30" t="str">
        <f ca="1">IFERROR(__xludf.DUMMYFUNCTION("""COMPUTED_VALUE"""),"38")</f>
        <v>38</v>
      </c>
      <c r="E1176" s="30" t="str">
        <f ca="1">IFERROR(__xludf.DUMMYFUNCTION("""COMPUTED_VALUE"""),"")</f>
        <v/>
      </c>
      <c r="F1176" s="29"/>
      <c r="G1176" s="29"/>
      <c r="H1176" s="30" t="str">
        <f ca="1">IFERROR(__xludf.DUMMYFUNCTION("""COMPUTED_VALUE"""),"activo")</f>
        <v>activo</v>
      </c>
      <c r="I1176" s="30" t="str">
        <f ca="1">IFERROR(__xludf.DUMMYFUNCTION("""COMPUTED_VALUE"""),"alta solicitada por la provincia mail 13/03/2020")</f>
        <v>alta solicitada por la provincia mail 13/03/2020</v>
      </c>
      <c r="J1176" s="29"/>
      <c r="K1176" s="29"/>
      <c r="L1176" s="30" t="str">
        <f ca="1">IFERROR(__xludf.DUMMYFUNCTION("""COMPUTED_VALUE"""),"No")</f>
        <v>No</v>
      </c>
      <c r="M1176" s="30" t="str">
        <f ca="1">IFERROR(__xludf.DUMMYFUNCTION("""COMPUTED_VALUE"""),"38042040001")</f>
        <v>38042040001</v>
      </c>
      <c r="N1176" s="30" t="str">
        <f ca="1">IFERROR(__xludf.DUMMYFUNCTION("""COMPUTED_VALUE"""),"PALPALA")</f>
        <v>PALPALA</v>
      </c>
      <c r="O1176" s="30" t="str">
        <f ca="1">IFERROR(__xludf.DUMMYFUNCTION("""COMPUTED_VALUE"""),"3842")</f>
        <v>3842</v>
      </c>
      <c r="P1176" s="30" t="str">
        <f ca="1">IFERROR(__xludf.DUMMYFUNCTION("""COMPUTED_VALUE"""),"PALPALÁ")</f>
        <v>PALPALÁ</v>
      </c>
      <c r="Q1176" s="30" t="str">
        <f ca="1">IFERROR(__xludf.DUMMYFUNCTION("""COMPUTED_VALUE"""),"-24.263867")</f>
        <v>-24.263867</v>
      </c>
      <c r="R1176" s="30" t="str">
        <f ca="1">IFERROR(__xludf.DUMMYFUNCTION("""COMPUTED_VALUE"""),"-65.2145")</f>
        <v>-65.2145</v>
      </c>
      <c r="S1176" s="30" t="str">
        <f ca="1">IFERROR(__xludf.DUMMYFUNCTION("""COMPUTED_VALUE"""),"Provincial")</f>
        <v>Provincial</v>
      </c>
      <c r="T1176" s="30" t="str">
        <f ca="1">IFERROR(__xludf.DUMMYFUNCTION("""COMPUTED_VALUE"""),"-")</f>
        <v>-</v>
      </c>
    </row>
    <row r="1177" spans="1:20" ht="15.75" customHeight="1" x14ac:dyDescent="0.25">
      <c r="A1177" s="30" t="str">
        <f ca="1">IFERROR(__xludf.DUMMYFUNCTION("""COMPUTED_VALUE"""),"50380702150246")</f>
        <v>50380702150246</v>
      </c>
      <c r="B1177" s="30" t="str">
        <f ca="1">IFERROR(__xludf.DUMMYFUNCTION("""COMPUTED_VALUE"""),"CAPS SANTA CLARA (7)")</f>
        <v>CAPS SANTA CLARA (7)</v>
      </c>
      <c r="C1177" s="30" t="str">
        <f ca="1">IFERROR(__xludf.DUMMYFUNCTION("""COMPUTED_VALUE"""),"Jujuy")</f>
        <v>Jujuy</v>
      </c>
      <c r="D1177" s="30" t="str">
        <f ca="1">IFERROR(__xludf.DUMMYFUNCTION("""COMPUTED_VALUE"""),"38")</f>
        <v>38</v>
      </c>
      <c r="E1177" s="30" t="str">
        <f ca="1">IFERROR(__xludf.DUMMYFUNCTION("""COMPUTED_VALUE"""),"si")</f>
        <v>si</v>
      </c>
      <c r="F1177" s="29"/>
      <c r="G1177" s="29"/>
      <c r="H1177" s="30" t="str">
        <f ca="1">IFERROR(__xludf.DUMMYFUNCTION("""COMPUTED_VALUE"""),"activo")</f>
        <v>activo</v>
      </c>
      <c r="I1177" s="29"/>
      <c r="J1177" s="29"/>
      <c r="K1177" s="29"/>
      <c r="L1177" s="30" t="str">
        <f ca="1">IFERROR(__xludf.DUMMYFUNCTION("""COMPUTED_VALUE"""),"No")</f>
        <v>No</v>
      </c>
      <c r="M1177" s="30" t="str">
        <f ca="1">IFERROR(__xludf.DUMMYFUNCTION("""COMPUTED_VALUE"""),"38070060000")</f>
        <v>38070060000</v>
      </c>
      <c r="N1177" s="30" t="str">
        <f ca="1">IFERROR(__xludf.DUMMYFUNCTION("""COMPUTED_VALUE"""),"SANTA CLARA")</f>
        <v>SANTA CLARA</v>
      </c>
      <c r="O1177" s="30" t="str">
        <f ca="1">IFERROR(__xludf.DUMMYFUNCTION("""COMPUTED_VALUE"""),"3870")</f>
        <v>3870</v>
      </c>
      <c r="P1177" s="30" t="str">
        <f ca="1">IFERROR(__xludf.DUMMYFUNCTION("""COMPUTED_VALUE"""),"SANTA BÁRBARA")</f>
        <v>SANTA BÁRBARA</v>
      </c>
      <c r="Q1177" s="30" t="str">
        <f ca="1">IFERROR(__xludf.DUMMYFUNCTION("""COMPUTED_VALUE"""),"-24.30674039")</f>
        <v>-24.30674039</v>
      </c>
      <c r="R1177" s="30" t="str">
        <f ca="1">IFERROR(__xludf.DUMMYFUNCTION("""COMPUTED_VALUE"""),"-64.65797424")</f>
        <v>-64.65797424</v>
      </c>
      <c r="S1177" s="30" t="str">
        <f ca="1">IFERROR(__xludf.DUMMYFUNCTION("""COMPUTED_VALUE"""),"Provincial")</f>
        <v>Provincial</v>
      </c>
      <c r="T1177" s="30" t="str">
        <f ca="1">IFERROR(__xludf.DUMMYFUNCTION("""COMPUTED_VALUE"""),"-")</f>
        <v>-</v>
      </c>
    </row>
    <row r="1178" spans="1:20" ht="15.75" customHeight="1" x14ac:dyDescent="0.25">
      <c r="A1178" s="30" t="str">
        <f ca="1">IFERROR(__xludf.DUMMYFUNCTION("""COMPUTED_VALUE"""),"50380982150270")</f>
        <v>50380982150270</v>
      </c>
      <c r="B1178" s="30" t="str">
        <f ca="1">IFERROR(__xludf.DUMMYFUNCTION("""COMPUTED_VALUE"""),"CAPS VOLCAN (16)")</f>
        <v>CAPS VOLCAN (16)</v>
      </c>
      <c r="C1178" s="30" t="str">
        <f ca="1">IFERROR(__xludf.DUMMYFUNCTION("""COMPUTED_VALUE"""),"Jujuy")</f>
        <v>Jujuy</v>
      </c>
      <c r="D1178" s="30" t="str">
        <f ca="1">IFERROR(__xludf.DUMMYFUNCTION("""COMPUTED_VALUE"""),"38")</f>
        <v>38</v>
      </c>
      <c r="E1178" s="30" t="str">
        <f ca="1">IFERROR(__xludf.DUMMYFUNCTION("""COMPUTED_VALUE"""),"")</f>
        <v/>
      </c>
      <c r="F1178" s="29"/>
      <c r="G1178" s="30" t="str">
        <f ca="1">IFERROR(__xludf.DUMMYFUNCTION("""COMPUTED_VALUE"""),"50380212150276")</f>
        <v>50380212150276</v>
      </c>
      <c r="H1178" s="30" t="str">
        <f ca="1">IFERROR(__xludf.DUMMYFUNCTION("""COMPUTED_VALUE"""),"inactivo")</f>
        <v>inactivo</v>
      </c>
      <c r="I1178" s="29"/>
      <c r="J1178" s="29"/>
      <c r="K1178" s="29"/>
      <c r="L1178" s="30" t="str">
        <f ca="1">IFERROR(__xludf.DUMMYFUNCTION("""COMPUTED_VALUE"""),"No")</f>
        <v>No</v>
      </c>
      <c r="M1178" s="30" t="str">
        <f ca="1">IFERROR(__xludf.DUMMYFUNCTION("""COMPUTED_VALUE"""),"38098050000")</f>
        <v>38098050000</v>
      </c>
      <c r="N1178" s="30" t="str">
        <f ca="1">IFERROR(__xludf.DUMMYFUNCTION("""COMPUTED_VALUE"""),"VOLCAN")</f>
        <v>VOLCAN</v>
      </c>
      <c r="O1178" s="30" t="str">
        <f ca="1">IFERROR(__xludf.DUMMYFUNCTION("""COMPUTED_VALUE"""),"3898")</f>
        <v>3898</v>
      </c>
      <c r="P1178" s="30" t="str">
        <f ca="1">IFERROR(__xludf.DUMMYFUNCTION("""COMPUTED_VALUE"""),"TUMBAYA")</f>
        <v>TUMBAYA</v>
      </c>
      <c r="Q1178" s="30" t="str">
        <f ca="1">IFERROR(__xludf.DUMMYFUNCTION("""COMPUTED_VALUE"""),"-23.91428")</f>
        <v>-23.91428</v>
      </c>
      <c r="R1178" s="30" t="str">
        <f ca="1">IFERROR(__xludf.DUMMYFUNCTION("""COMPUTED_VALUE"""),"-65.465681")</f>
        <v>-65.465681</v>
      </c>
      <c r="S1178" s="30" t="str">
        <f ca="1">IFERROR(__xludf.DUMMYFUNCTION("""COMPUTED_VALUE"""),"Provincial")</f>
        <v>Provincial</v>
      </c>
      <c r="T1178" s="30" t="str">
        <f ca="1">IFERROR(__xludf.DUMMYFUNCTION("""COMPUTED_VALUE"""),"-")</f>
        <v>-</v>
      </c>
    </row>
    <row r="1179" spans="1:20" ht="15.75" customHeight="1" x14ac:dyDescent="0.25">
      <c r="A1179" s="30" t="str">
        <f ca="1">IFERROR(__xludf.DUMMYFUNCTION("""COMPUTED_VALUE"""),"50380212150276")</f>
        <v>50380212150276</v>
      </c>
      <c r="B1179" s="30" t="str">
        <f ca="1">IFERROR(__xludf.DUMMYFUNCTION("""COMPUTED_VALUE"""),"CAPS DRA. VICTORIA CRUZ (EX 18 HECTAREAS) (2)")</f>
        <v>CAPS DRA. VICTORIA CRUZ (EX 18 HECTAREAS) (2)</v>
      </c>
      <c r="C1179" s="30" t="str">
        <f ca="1">IFERROR(__xludf.DUMMYFUNCTION("""COMPUTED_VALUE"""),"Jujuy")</f>
        <v>Jujuy</v>
      </c>
      <c r="D1179" s="30" t="str">
        <f ca="1">IFERROR(__xludf.DUMMYFUNCTION("""COMPUTED_VALUE"""),"38")</f>
        <v>38</v>
      </c>
      <c r="E1179" s="30" t="str">
        <f ca="1">IFERROR(__xludf.DUMMYFUNCTION("""COMPUTED_VALUE"""),"")</f>
        <v/>
      </c>
      <c r="F1179" s="30" t="str">
        <f ca="1">IFERROR(__xludf.DUMMYFUNCTION("""COMPUTED_VALUE"""),"50380982150270")</f>
        <v>50380982150270</v>
      </c>
      <c r="G1179" s="29"/>
      <c r="H1179" s="30" t="str">
        <f ca="1">IFERROR(__xludf.DUMMYFUNCTION("""COMPUTED_VALUE"""),"activo")</f>
        <v>activo</v>
      </c>
      <c r="I1179" s="29"/>
      <c r="J1179" s="29"/>
      <c r="K1179" s="29"/>
      <c r="L1179" s="30" t="str">
        <f ca="1">IFERROR(__xludf.DUMMYFUNCTION("""COMPUTED_VALUE"""),"No")</f>
        <v>No</v>
      </c>
      <c r="M1179" s="30" t="str">
        <f ca="1">IFERROR(__xludf.DUMMYFUNCTION("""COMPUTED_VALUE"""),"38021060000")</f>
        <v>38021060000</v>
      </c>
      <c r="N1179" s="30" t="str">
        <f ca="1">IFERROR(__xludf.DUMMYFUNCTION("""COMPUTED_VALUE"""),"SAN SALVADOR DE JUJUY")</f>
        <v>SAN SALVADOR DE JUJUY</v>
      </c>
      <c r="O1179" s="30" t="str">
        <f ca="1">IFERROR(__xludf.DUMMYFUNCTION("""COMPUTED_VALUE"""),"3821")</f>
        <v>3821</v>
      </c>
      <c r="P1179" s="30" t="str">
        <f ca="1">IFERROR(__xludf.DUMMYFUNCTION("""COMPUTED_VALUE"""),"DR. MANUEL BELGRANO")</f>
        <v>DR. MANUEL BELGRANO</v>
      </c>
      <c r="Q1179" s="30" t="str">
        <f ca="1">IFERROR(__xludf.DUMMYFUNCTION("""COMPUTED_VALUE"""),"-24.266498")</f>
        <v>-24.266498</v>
      </c>
      <c r="R1179" s="30" t="str">
        <f ca="1">IFERROR(__xludf.DUMMYFUNCTION("""COMPUTED_VALUE"""),"-65.237907")</f>
        <v>-65.237907</v>
      </c>
      <c r="S1179" s="30" t="str">
        <f ca="1">IFERROR(__xludf.DUMMYFUNCTION("""COMPUTED_VALUE"""),"Provincial")</f>
        <v>Provincial</v>
      </c>
      <c r="T1179" s="30" t="str">
        <f ca="1">IFERROR(__xludf.DUMMYFUNCTION("""COMPUTED_VALUE"""),"-")</f>
        <v>-</v>
      </c>
    </row>
    <row r="1180" spans="1:20" ht="15.75" customHeight="1" x14ac:dyDescent="0.25">
      <c r="A1180" s="30" t="str">
        <f ca="1">IFERROR(__xludf.DUMMYFUNCTION("""COMPUTED_VALUE"""),"50380142150228")</f>
        <v>50380142150228</v>
      </c>
      <c r="B1180" s="30" t="str">
        <f ca="1">IFERROR(__xludf.DUMMYFUNCTION("""COMPUTED_VALUE"""),"CAPS SAGRADO CORAZON DE JESUS (6)")</f>
        <v>CAPS SAGRADO CORAZON DE JESUS (6)</v>
      </c>
      <c r="C1180" s="30" t="str">
        <f ca="1">IFERROR(__xludf.DUMMYFUNCTION("""COMPUTED_VALUE"""),"Jujuy")</f>
        <v>Jujuy</v>
      </c>
      <c r="D1180" s="30" t="str">
        <f ca="1">IFERROR(__xludf.DUMMYFUNCTION("""COMPUTED_VALUE"""),"38")</f>
        <v>38</v>
      </c>
      <c r="E1180" s="30" t="str">
        <f ca="1">IFERROR(__xludf.DUMMYFUNCTION("""COMPUTED_VALUE"""),"")</f>
        <v/>
      </c>
      <c r="F1180" s="29"/>
      <c r="G1180" s="29"/>
      <c r="H1180" s="30" t="str">
        <f ca="1">IFERROR(__xludf.DUMMYFUNCTION("""COMPUTED_VALUE"""),"activo")</f>
        <v>activo</v>
      </c>
      <c r="I1180" s="29"/>
      <c r="J1180" s="29"/>
      <c r="K1180" s="29"/>
      <c r="L1180" s="30" t="str">
        <f ca="1">IFERROR(__xludf.DUMMYFUNCTION("""COMPUTED_VALUE"""),"No")</f>
        <v>No</v>
      </c>
      <c r="M1180" s="30" t="str">
        <f ca="1">IFERROR(__xludf.DUMMYFUNCTION("""COMPUTED_VALUE"""),"38014090000")</f>
        <v>38014090000</v>
      </c>
      <c r="N1180" s="30" t="str">
        <f ca="1">IFERROR(__xludf.DUMMYFUNCTION("""COMPUTED_VALUE"""),"PERICO")</f>
        <v>PERICO</v>
      </c>
      <c r="O1180" s="30" t="str">
        <f ca="1">IFERROR(__xludf.DUMMYFUNCTION("""COMPUTED_VALUE"""),"3814")</f>
        <v>3814</v>
      </c>
      <c r="P1180" s="30" t="str">
        <f ca="1">IFERROR(__xludf.DUMMYFUNCTION("""COMPUTED_VALUE"""),"EL CARMEN")</f>
        <v>EL CARMEN</v>
      </c>
      <c r="Q1180" s="30" t="str">
        <f ca="1">IFERROR(__xludf.DUMMYFUNCTION("""COMPUTED_VALUE"""),"-24.386968")</f>
        <v>-24.386968</v>
      </c>
      <c r="R1180" s="30" t="str">
        <f ca="1">IFERROR(__xludf.DUMMYFUNCTION("""COMPUTED_VALUE"""),"-65.111031")</f>
        <v>-65.111031</v>
      </c>
      <c r="S1180" s="30" t="str">
        <f ca="1">IFERROR(__xludf.DUMMYFUNCTION("""COMPUTED_VALUE"""),"Provincial")</f>
        <v>Provincial</v>
      </c>
      <c r="T1180" s="30" t="str">
        <f ca="1">IFERROR(__xludf.DUMMYFUNCTION("""COMPUTED_VALUE"""),"-")</f>
        <v>-</v>
      </c>
    </row>
    <row r="1181" spans="1:20" ht="15.75" customHeight="1" x14ac:dyDescent="0.25">
      <c r="A1181" s="30" t="str">
        <f ca="1">IFERROR(__xludf.DUMMYFUNCTION("""COMPUTED_VALUE"""),"50380632150162")</f>
        <v>50380632150162</v>
      </c>
      <c r="B1181" s="30" t="str">
        <f ca="1">IFERROR(__xludf.DUMMYFUNCTION("""COMPUTED_VALUE"""),"CAPS LA MERCED (7)")</f>
        <v>CAPS LA MERCED (7)</v>
      </c>
      <c r="C1181" s="30" t="str">
        <f ca="1">IFERROR(__xludf.DUMMYFUNCTION("""COMPUTED_VALUE"""),"Jujuy")</f>
        <v>Jujuy</v>
      </c>
      <c r="D1181" s="30" t="str">
        <f ca="1">IFERROR(__xludf.DUMMYFUNCTION("""COMPUTED_VALUE"""),"38")</f>
        <v>38</v>
      </c>
      <c r="E1181" s="30" t="str">
        <f ca="1">IFERROR(__xludf.DUMMYFUNCTION("""COMPUTED_VALUE"""),"si")</f>
        <v>si</v>
      </c>
      <c r="F1181" s="29"/>
      <c r="G1181" s="29"/>
      <c r="H1181" s="30" t="str">
        <f ca="1">IFERROR(__xludf.DUMMYFUNCTION("""COMPUTED_VALUE"""),"activo")</f>
        <v>activo</v>
      </c>
      <c r="I1181" s="29"/>
      <c r="J1181" s="29"/>
      <c r="K1181" s="29"/>
      <c r="L1181" s="30" t="str">
        <f ca="1">IFERROR(__xludf.DUMMYFUNCTION("""COMPUTED_VALUE"""),"No")</f>
        <v>No</v>
      </c>
      <c r="M1181" s="30" t="str">
        <f ca="1">IFERROR(__xludf.DUMMYFUNCTION("""COMPUTED_VALUE"""),"38063180000")</f>
        <v>38063180000</v>
      </c>
      <c r="N1181" s="30" t="str">
        <f ca="1">IFERROR(__xludf.DUMMYFUNCTION("""COMPUTED_VALUE"""),"SAN PEDRO")</f>
        <v>SAN PEDRO</v>
      </c>
      <c r="O1181" s="30" t="str">
        <f ca="1">IFERROR(__xludf.DUMMYFUNCTION("""COMPUTED_VALUE"""),"3863")</f>
        <v>3863</v>
      </c>
      <c r="P1181" s="30" t="str">
        <f ca="1">IFERROR(__xludf.DUMMYFUNCTION("""COMPUTED_VALUE"""),"SAN PEDRO")</f>
        <v>SAN PEDRO</v>
      </c>
      <c r="Q1181" s="30" t="str">
        <f ca="1">IFERROR(__xludf.DUMMYFUNCTION("""COMPUTED_VALUE"""),"-24.2373319")</f>
        <v>-24.2373319</v>
      </c>
      <c r="R1181" s="30" t="str">
        <f ca="1">IFERROR(__xludf.DUMMYFUNCTION("""COMPUTED_VALUE"""),"-64.87771")</f>
        <v>-64.87771</v>
      </c>
      <c r="S1181" s="30" t="str">
        <f ca="1">IFERROR(__xludf.DUMMYFUNCTION("""COMPUTED_VALUE"""),"Provincial")</f>
        <v>Provincial</v>
      </c>
      <c r="T1181" s="30" t="str">
        <f ca="1">IFERROR(__xludf.DUMMYFUNCTION("""COMPUTED_VALUE"""),"-")</f>
        <v>-</v>
      </c>
    </row>
    <row r="1182" spans="1:20" ht="15.75" customHeight="1" x14ac:dyDescent="0.25">
      <c r="A1182" s="30" t="str">
        <f ca="1">IFERROR(__xludf.DUMMYFUNCTION("""COMPUTED_VALUE"""),"50380352150087")</f>
        <v>50380352150087</v>
      </c>
      <c r="B1182" s="30" t="str">
        <f ca="1">IFERROR(__xludf.DUMMYFUNCTION("""COMPUTED_VALUE"""),"CAPS CARLOS ALVARADO (11)")</f>
        <v>CAPS CARLOS ALVARADO (11)</v>
      </c>
      <c r="C1182" s="30" t="str">
        <f ca="1">IFERROR(__xludf.DUMMYFUNCTION("""COMPUTED_VALUE"""),"Jujuy")</f>
        <v>Jujuy</v>
      </c>
      <c r="D1182" s="30" t="str">
        <f ca="1">IFERROR(__xludf.DUMMYFUNCTION("""COMPUTED_VALUE"""),"38")</f>
        <v>38</v>
      </c>
      <c r="E1182" s="30" t="str">
        <f ca="1">IFERROR(__xludf.DUMMYFUNCTION("""COMPUTED_VALUE"""),"si")</f>
        <v>si</v>
      </c>
      <c r="F1182" s="29"/>
      <c r="G1182" s="29"/>
      <c r="H1182" s="30" t="str">
        <f ca="1">IFERROR(__xludf.DUMMYFUNCTION("""COMPUTED_VALUE"""),"activo")</f>
        <v>activo</v>
      </c>
      <c r="I1182" s="29"/>
      <c r="J1182" s="29"/>
      <c r="K1182" s="29"/>
      <c r="L1182" s="30" t="str">
        <f ca="1">IFERROR(__xludf.DUMMYFUNCTION("""COMPUTED_VALUE"""),"No")</f>
        <v>No</v>
      </c>
      <c r="M1182" s="30" t="str">
        <f ca="1">IFERROR(__xludf.DUMMYFUNCTION("""COMPUTED_VALUE"""),"38035080000")</f>
        <v>38035080000</v>
      </c>
      <c r="N1182" s="30" t="str">
        <f ca="1">IFERROR(__xludf.DUMMYFUNCTION("""COMPUTED_VALUE"""),"LIBERTADOR GENERAL SAN MARTIN")</f>
        <v>LIBERTADOR GENERAL SAN MARTIN</v>
      </c>
      <c r="O1182" s="30" t="str">
        <f ca="1">IFERROR(__xludf.DUMMYFUNCTION("""COMPUTED_VALUE"""),"3835")</f>
        <v>3835</v>
      </c>
      <c r="P1182" s="30" t="str">
        <f ca="1">IFERROR(__xludf.DUMMYFUNCTION("""COMPUTED_VALUE"""),"LEDESMA")</f>
        <v>LEDESMA</v>
      </c>
      <c r="Q1182" s="30" t="str">
        <f ca="1">IFERROR(__xludf.DUMMYFUNCTION("""COMPUTED_VALUE"""),"-23.79825417")</f>
        <v>-23.79825417</v>
      </c>
      <c r="R1182" s="30" t="str">
        <f ca="1">IFERROR(__xludf.DUMMYFUNCTION("""COMPUTED_VALUE"""),"-64.78092476")</f>
        <v>-64.78092476</v>
      </c>
      <c r="S1182" s="30" t="str">
        <f ca="1">IFERROR(__xludf.DUMMYFUNCTION("""COMPUTED_VALUE"""),"Provincial")</f>
        <v>Provincial</v>
      </c>
      <c r="T1182" s="30" t="str">
        <f ca="1">IFERROR(__xludf.DUMMYFUNCTION("""COMPUTED_VALUE"""),"-")</f>
        <v>-</v>
      </c>
    </row>
    <row r="1183" spans="1:20" ht="15.75" customHeight="1" x14ac:dyDescent="0.25">
      <c r="A1183" s="30" t="str">
        <f ca="1">IFERROR(__xludf.DUMMYFUNCTION("""COMPUTED_VALUE"""),"CI50380999999992")</f>
        <v>CI50380999999992</v>
      </c>
      <c r="B1183" s="30" t="str">
        <f ca="1">IFERROR(__xludf.DUMMYFUNCTION("""COMPUTED_VALUE"""),"Caps La Loma")</f>
        <v>Caps La Loma</v>
      </c>
      <c r="C1183" s="30" t="str">
        <f ca="1">IFERROR(__xludf.DUMMYFUNCTION("""COMPUTED_VALUE"""),"Jujuy")</f>
        <v>Jujuy</v>
      </c>
      <c r="D1183" s="30" t="str">
        <f ca="1">IFERROR(__xludf.DUMMYFUNCTION("""COMPUTED_VALUE"""),"38")</f>
        <v>38</v>
      </c>
      <c r="E1183" s="30" t="str">
        <f ca="1">IFERROR(__xludf.DUMMYFUNCTION("""COMPUTED_VALUE"""),"")</f>
        <v/>
      </c>
      <c r="F1183" s="29"/>
      <c r="G1183" s="29"/>
      <c r="H1183" s="30" t="str">
        <f ca="1">IFERROR(__xludf.DUMMYFUNCTION("""COMPUTED_VALUE"""),"inactivo")</f>
        <v>inactivo</v>
      </c>
      <c r="I1183" s="30" t="str">
        <f ca="1">IFERROR(__xludf.DUMMYFUNCTION("""COMPUTED_VALUE"""),"luego de la 2da DDJJ 2018, este caps cambio de refes y nombre, ahora es el 50380212150160 CAPS DR. RENE FAVAROLO (2) (EX LA LOMA). Por tal motivo ""la Loma"" queda inactivo, y sus cumplimientos en los IVT 1 2 y 3 de la 2da DDJJ 2018 se trasladaron al CAPS"&amp;" Rene Favarolo, para mantener la continuidad.")</f>
        <v>luego de la 2da DDJJ 2018, este caps cambio de refes y nombre, ahora es el 50380212150160 CAPS DR. RENE FAVAROLO (2) (EX LA LOMA). Por tal motivo "la Loma" queda inactivo, y sus cumplimientos en los IVT 1 2 y 3 de la 2da DDJJ 2018 se trasladaron al CAPS Rene Favarolo, para mantener la continuidad.</v>
      </c>
      <c r="J1183" s="29"/>
      <c r="K1183" s="29"/>
      <c r="L1183" s="30" t="str">
        <f ca="1">IFERROR(__xludf.DUMMYFUNCTION("""COMPUTED_VALUE"""),"No")</f>
        <v>No</v>
      </c>
      <c r="M1183" s="30" t="str">
        <f ca="1">IFERROR(__xludf.DUMMYFUNCTION("""COMPUTED_VALUE"""),"#N/A")</f>
        <v>#N/A</v>
      </c>
      <c r="N1183" s="30" t="str">
        <f ca="1">IFERROR(__xludf.DUMMYFUNCTION("""COMPUTED_VALUE"""),"#N/A")</f>
        <v>#N/A</v>
      </c>
      <c r="O1183" s="30" t="str">
        <f ca="1">IFERROR(__xludf.DUMMYFUNCTION("""COMPUTED_VALUE"""),"#N/A")</f>
        <v>#N/A</v>
      </c>
      <c r="P1183" s="30" t="str">
        <f ca="1">IFERROR(__xludf.DUMMYFUNCTION("""COMPUTED_VALUE"""),"Dr. Manuel Belgrano")</f>
        <v>Dr. Manuel Belgrano</v>
      </c>
      <c r="Q1183" s="30" t="str">
        <f ca="1">IFERROR(__xludf.DUMMYFUNCTION("""COMPUTED_VALUE"""),"#N/A")</f>
        <v>#N/A</v>
      </c>
      <c r="R1183" s="30" t="str">
        <f ca="1">IFERROR(__xludf.DUMMYFUNCTION("""COMPUTED_VALUE"""),"#N/A")</f>
        <v>#N/A</v>
      </c>
      <c r="S1183" s="30" t="str">
        <f ca="1">IFERROR(__xludf.DUMMYFUNCTION("""COMPUTED_VALUE"""),"#N/A")</f>
        <v>#N/A</v>
      </c>
      <c r="T1183" s="29"/>
    </row>
    <row r="1184" spans="1:20" ht="15.75" customHeight="1" x14ac:dyDescent="0.25">
      <c r="A1184" s="30" t="str">
        <f ca="1">IFERROR(__xludf.DUMMYFUNCTION("""COMPUTED_VALUE"""),"10421332153043")</f>
        <v>10421332153043</v>
      </c>
      <c r="B1184" s="30" t="str">
        <f ca="1">IFERROR(__xludf.DUMMYFUNCTION("""COMPUTED_VALUE"""),"ESTABLECIMIENTO ASISTENCIAL VIRGILIO TEDIN URIBURU")</f>
        <v>ESTABLECIMIENTO ASISTENCIAL VIRGILIO TEDIN URIBURU</v>
      </c>
      <c r="C1184" s="30" t="str">
        <f ca="1">IFERROR(__xludf.DUMMYFUNCTION("""COMPUTED_VALUE"""),"La Pampa")</f>
        <v>La Pampa</v>
      </c>
      <c r="D1184" s="30" t="str">
        <f ca="1">IFERROR(__xludf.DUMMYFUNCTION("""COMPUTED_VALUE"""),"42")</f>
        <v>42</v>
      </c>
      <c r="E1184" s="30" t="str">
        <f ca="1">IFERROR(__xludf.DUMMYFUNCTION("""COMPUTED_VALUE"""),"")</f>
        <v/>
      </c>
      <c r="F1184" s="29"/>
      <c r="G1184" s="29"/>
      <c r="H1184" s="30" t="str">
        <f ca="1">IFERROR(__xludf.DUMMYFUNCTION("""COMPUTED_VALUE"""),"activo")</f>
        <v>activo</v>
      </c>
      <c r="I1184" s="29"/>
      <c r="J1184" s="29"/>
      <c r="K1184" s="29"/>
      <c r="L1184" s="30" t="str">
        <f ca="1">IFERROR(__xludf.DUMMYFUNCTION("""COMPUTED_VALUE"""),"No")</f>
        <v>No</v>
      </c>
      <c r="M1184" s="30" t="str">
        <f ca="1">IFERROR(__xludf.DUMMYFUNCTION("""COMPUTED_VALUE"""),"42133080000")</f>
        <v>42133080000</v>
      </c>
      <c r="N1184" s="30" t="str">
        <f ca="1">IFERROR(__xludf.DUMMYFUNCTION("""COMPUTED_VALUE"""),"REALICO")</f>
        <v>REALICO</v>
      </c>
      <c r="O1184" s="30" t="str">
        <f ca="1">IFERROR(__xludf.DUMMYFUNCTION("""COMPUTED_VALUE"""),"42133")</f>
        <v>42133</v>
      </c>
      <c r="P1184" s="30" t="str">
        <f ca="1">IFERROR(__xludf.DUMMYFUNCTION("""COMPUTED_VALUE"""),"REALICÓ")</f>
        <v>REALICÓ</v>
      </c>
      <c r="Q1184" s="30" t="str">
        <f ca="1">IFERROR(__xludf.DUMMYFUNCTION("""COMPUTED_VALUE"""),"-35.04059")</f>
        <v>-35.04059</v>
      </c>
      <c r="R1184" s="30" t="str">
        <f ca="1">IFERROR(__xludf.DUMMYFUNCTION("""COMPUTED_VALUE"""),"-64.24655")</f>
        <v>-64.24655</v>
      </c>
      <c r="S1184" s="30" t="str">
        <f ca="1">IFERROR(__xludf.DUMMYFUNCTION("""COMPUTED_VALUE"""),"Provincial")</f>
        <v>Provincial</v>
      </c>
      <c r="T1184" s="30" t="str">
        <f ca="1">IFERROR(__xludf.DUMMYFUNCTION("""COMPUTED_VALUE"""),"-")</f>
        <v>-</v>
      </c>
    </row>
    <row r="1185" spans="1:20" ht="15.75" customHeight="1" x14ac:dyDescent="0.25">
      <c r="A1185" s="30" t="str">
        <f ca="1">IFERROR(__xludf.DUMMYFUNCTION("""COMPUTED_VALUE"""),"10420282153010")</f>
        <v>10420282153010</v>
      </c>
      <c r="B1185" s="30" t="str">
        <f ca="1">IFERROR(__xludf.DUMMYFUNCTION("""COMPUTED_VALUE"""),"ESTABLECIMIENTO ASISTENCIAL AMADA GATICA")</f>
        <v>ESTABLECIMIENTO ASISTENCIAL AMADA GATICA</v>
      </c>
      <c r="C1185" s="30" t="str">
        <f ca="1">IFERROR(__xludf.DUMMYFUNCTION("""COMPUTED_VALUE"""),"La Pampa")</f>
        <v>La Pampa</v>
      </c>
      <c r="D1185" s="30" t="str">
        <f ca="1">IFERROR(__xludf.DUMMYFUNCTION("""COMPUTED_VALUE"""),"42")</f>
        <v>42</v>
      </c>
      <c r="E1185" s="30" t="str">
        <f ca="1">IFERROR(__xludf.DUMMYFUNCTION("""COMPUTED_VALUE"""),"")</f>
        <v/>
      </c>
      <c r="F1185" s="29"/>
      <c r="G1185" s="29"/>
      <c r="H1185" s="30" t="str">
        <f ca="1">IFERROR(__xludf.DUMMYFUNCTION("""COMPUTED_VALUE"""),"activo")</f>
        <v>activo</v>
      </c>
      <c r="I1185" s="29"/>
      <c r="J1185" s="29"/>
      <c r="K1185" s="29"/>
      <c r="L1185" s="30" t="str">
        <f ca="1">IFERROR(__xludf.DUMMYFUNCTION("""COMPUTED_VALUE"""),"No")</f>
        <v>No</v>
      </c>
      <c r="M1185" s="30" t="str">
        <f ca="1">IFERROR(__xludf.DUMMYFUNCTION("""COMPUTED_VALUE"""),"42028010000")</f>
        <v>42028010000</v>
      </c>
      <c r="N1185" s="30" t="str">
        <f ca="1">IFERROR(__xludf.DUMMYFUNCTION("""COMPUTED_VALUE"""),"CATRILO")</f>
        <v>CATRILO</v>
      </c>
      <c r="O1185" s="30" t="str">
        <f ca="1">IFERROR(__xludf.DUMMYFUNCTION("""COMPUTED_VALUE"""),"4228")</f>
        <v>4228</v>
      </c>
      <c r="P1185" s="30" t="str">
        <f ca="1">IFERROR(__xludf.DUMMYFUNCTION("""COMPUTED_VALUE"""),"CATRILÓ")</f>
        <v>CATRILÓ</v>
      </c>
      <c r="Q1185" s="30" t="str">
        <f ca="1">IFERROR(__xludf.DUMMYFUNCTION("""COMPUTED_VALUE"""),"-36.40525756")</f>
        <v>-36.40525756</v>
      </c>
      <c r="R1185" s="30" t="str">
        <f ca="1">IFERROR(__xludf.DUMMYFUNCTION("""COMPUTED_VALUE"""),"-63.41995239")</f>
        <v>-63.41995239</v>
      </c>
      <c r="S1185" s="30" t="str">
        <f ca="1">IFERROR(__xludf.DUMMYFUNCTION("""COMPUTED_VALUE"""),"Provincial")</f>
        <v>Provincial</v>
      </c>
      <c r="T1185" s="30" t="str">
        <f ca="1">IFERROR(__xludf.DUMMYFUNCTION("""COMPUTED_VALUE"""),"-")</f>
        <v>-</v>
      </c>
    </row>
    <row r="1186" spans="1:20" ht="15.75" customHeight="1" x14ac:dyDescent="0.25">
      <c r="A1186" s="30" t="str">
        <f ca="1">IFERROR(__xludf.DUMMYFUNCTION("""COMPUTED_VALUE"""),"10421192153013")</f>
        <v>10421192153013</v>
      </c>
      <c r="B1186" s="30" t="str">
        <f ca="1">IFERROR(__xludf.DUMMYFUNCTION("""COMPUTED_VALUE"""),"ESTABLECIMIENTO ASISTENCIAL ATILIO A. CALANDRI")</f>
        <v>ESTABLECIMIENTO ASISTENCIAL ATILIO A. CALANDRI</v>
      </c>
      <c r="C1186" s="30" t="str">
        <f ca="1">IFERROR(__xludf.DUMMYFUNCTION("""COMPUTED_VALUE"""),"La Pampa")</f>
        <v>La Pampa</v>
      </c>
      <c r="D1186" s="30" t="str">
        <f ca="1">IFERROR(__xludf.DUMMYFUNCTION("""COMPUTED_VALUE"""),"42")</f>
        <v>42</v>
      </c>
      <c r="E1186" s="30" t="str">
        <f ca="1">IFERROR(__xludf.DUMMYFUNCTION("""COMPUTED_VALUE"""),"si")</f>
        <v>si</v>
      </c>
      <c r="F1186" s="29"/>
      <c r="G1186" s="29"/>
      <c r="H1186" s="30" t="str">
        <f ca="1">IFERROR(__xludf.DUMMYFUNCTION("""COMPUTED_VALUE"""),"activo")</f>
        <v>activo</v>
      </c>
      <c r="I1186" s="29"/>
      <c r="J1186" s="29"/>
      <c r="K1186" s="29"/>
      <c r="L1186" s="30" t="str">
        <f ca="1">IFERROR(__xludf.DUMMYFUNCTION("""COMPUTED_VALUE"""),"No")</f>
        <v>No</v>
      </c>
      <c r="M1186" s="30" t="str">
        <f ca="1">IFERROR(__xludf.DUMMYFUNCTION("""COMPUTED_VALUE"""),"42119040000")</f>
        <v>42119040000</v>
      </c>
      <c r="N1186" s="30" t="str">
        <f ca="1">IFERROR(__xludf.DUMMYFUNCTION("""COMPUTED_VALUE"""),"QUEMU QUEMU")</f>
        <v>QUEMU QUEMU</v>
      </c>
      <c r="O1186" s="30" t="str">
        <f ca="1">IFERROR(__xludf.DUMMYFUNCTION("""COMPUTED_VALUE"""),"42119")</f>
        <v>42119</v>
      </c>
      <c r="P1186" s="30" t="str">
        <f ca="1">IFERROR(__xludf.DUMMYFUNCTION("""COMPUTED_VALUE"""),"QUEMÚ QUEMÚ")</f>
        <v>QUEMÚ QUEMÚ</v>
      </c>
      <c r="Q1186" s="30" t="str">
        <f ca="1">IFERROR(__xludf.DUMMYFUNCTION("""COMPUTED_VALUE"""),"-36.02022525")</f>
        <v>-36.02022525</v>
      </c>
      <c r="R1186" s="30" t="str">
        <f ca="1">IFERROR(__xludf.DUMMYFUNCTION("""COMPUTED_VALUE"""),"-63.55316162")</f>
        <v>-63.55316162</v>
      </c>
      <c r="S1186" s="30" t="str">
        <f ca="1">IFERROR(__xludf.DUMMYFUNCTION("""COMPUTED_VALUE"""),"Provincial")</f>
        <v>Provincial</v>
      </c>
      <c r="T1186" s="30" t="str">
        <f ca="1">IFERROR(__xludf.DUMMYFUNCTION("""COMPUTED_VALUE"""),"-")</f>
        <v>-</v>
      </c>
    </row>
    <row r="1187" spans="1:20" ht="15.75" customHeight="1" x14ac:dyDescent="0.25">
      <c r="A1187" s="30" t="str">
        <f ca="1">IFERROR(__xludf.DUMMYFUNCTION("""COMPUTED_VALUE"""),"10420982153038")</f>
        <v>10420982153038</v>
      </c>
      <c r="B1187" s="30" t="str">
        <f ca="1">IFERROR(__xludf.DUMMYFUNCTION("""COMPUTED_VALUE"""),"ESTABLECIMIENTO ASISTENCIAL LUISA PEDEMONTE DE PISTARINI")</f>
        <v>ESTABLECIMIENTO ASISTENCIAL LUISA PEDEMONTE DE PISTARINI</v>
      </c>
      <c r="C1187" s="30" t="str">
        <f ca="1">IFERROR(__xludf.DUMMYFUNCTION("""COMPUTED_VALUE"""),"La Pampa")</f>
        <v>La Pampa</v>
      </c>
      <c r="D1187" s="30" t="str">
        <f ca="1">IFERROR(__xludf.DUMMYFUNCTION("""COMPUTED_VALUE"""),"42")</f>
        <v>42</v>
      </c>
      <c r="E1187" s="30" t="str">
        <f ca="1">IFERROR(__xludf.DUMMYFUNCTION("""COMPUTED_VALUE"""),"si")</f>
        <v>si</v>
      </c>
      <c r="F1187" s="29"/>
      <c r="G1187" s="29"/>
      <c r="H1187" s="30" t="str">
        <f ca="1">IFERROR(__xludf.DUMMYFUNCTION("""COMPUTED_VALUE"""),"activo")</f>
        <v>activo</v>
      </c>
      <c r="I1187" s="29"/>
      <c r="J1187" s="29"/>
      <c r="K1187" s="29"/>
      <c r="L1187" s="30" t="str">
        <f ca="1">IFERROR(__xludf.DUMMYFUNCTION("""COMPUTED_VALUE"""),"No")</f>
        <v>No</v>
      </c>
      <c r="M1187" s="30" t="str">
        <f ca="1">IFERROR(__xludf.DUMMYFUNCTION("""COMPUTED_VALUE"""),"42098050000")</f>
        <v>42098050000</v>
      </c>
      <c r="N1187" s="30" t="str">
        <f ca="1">IFERROR(__xludf.DUMMYFUNCTION("""COMPUTED_VALUE"""),"VICTORICA")</f>
        <v>VICTORICA</v>
      </c>
      <c r="O1187" s="30" t="str">
        <f ca="1">IFERROR(__xludf.DUMMYFUNCTION("""COMPUTED_VALUE"""),"4298")</f>
        <v>4298</v>
      </c>
      <c r="P1187" s="30" t="str">
        <f ca="1">IFERROR(__xludf.DUMMYFUNCTION("""COMPUTED_VALUE"""),"LOVENTUÉ")</f>
        <v>LOVENTUÉ</v>
      </c>
      <c r="Q1187" s="30" t="str">
        <f ca="1">IFERROR(__xludf.DUMMYFUNCTION("""COMPUTED_VALUE"""),"-36.22104")</f>
        <v>-36.22104</v>
      </c>
      <c r="R1187" s="30" t="str">
        <f ca="1">IFERROR(__xludf.DUMMYFUNCTION("""COMPUTED_VALUE"""),"-65.4315")</f>
        <v>-65.4315</v>
      </c>
      <c r="S1187" s="30" t="str">
        <f ca="1">IFERROR(__xludf.DUMMYFUNCTION("""COMPUTED_VALUE"""),"Provincial")</f>
        <v>Provincial</v>
      </c>
      <c r="T1187" s="30" t="str">
        <f ca="1">IFERROR(__xludf.DUMMYFUNCTION("""COMPUTED_VALUE"""),"-")</f>
        <v>-</v>
      </c>
    </row>
    <row r="1188" spans="1:20" ht="15.75" customHeight="1" x14ac:dyDescent="0.25">
      <c r="A1188" s="30" t="str">
        <f ca="1">IFERROR(__xludf.DUMMYFUNCTION("""COMPUTED_VALUE"""),"10421262153021")</f>
        <v>10421262153021</v>
      </c>
      <c r="B1188" s="30" t="str">
        <f ca="1">IFERROR(__xludf.DUMMYFUNCTION("""COMPUTED_VALUE"""),"ESTABLECIMIENTO ASISTENCIAL DR. JOSE PADROS")</f>
        <v>ESTABLECIMIENTO ASISTENCIAL DR. JOSE PADROS</v>
      </c>
      <c r="C1188" s="30" t="str">
        <f ca="1">IFERROR(__xludf.DUMMYFUNCTION("""COMPUTED_VALUE"""),"La Pampa")</f>
        <v>La Pampa</v>
      </c>
      <c r="D1188" s="30" t="str">
        <f ca="1">IFERROR(__xludf.DUMMYFUNCTION("""COMPUTED_VALUE"""),"42")</f>
        <v>42</v>
      </c>
      <c r="E1188" s="30" t="str">
        <f ca="1">IFERROR(__xludf.DUMMYFUNCTION("""COMPUTED_VALUE"""),"si")</f>
        <v>si</v>
      </c>
      <c r="F1188" s="29"/>
      <c r="G1188" s="29"/>
      <c r="H1188" s="30" t="str">
        <f ca="1">IFERROR(__xludf.DUMMYFUNCTION("""COMPUTED_VALUE"""),"activo")</f>
        <v>activo</v>
      </c>
      <c r="I1188" s="29"/>
      <c r="J1188" s="29"/>
      <c r="K1188" s="29"/>
      <c r="L1188" s="30" t="str">
        <f ca="1">IFERROR(__xludf.DUMMYFUNCTION("""COMPUTED_VALUE"""),"No")</f>
        <v>No</v>
      </c>
      <c r="M1188" s="30" t="str">
        <f ca="1">IFERROR(__xludf.DUMMYFUNCTION("""COMPUTED_VALUE"""),"42126070000")</f>
        <v>42126070000</v>
      </c>
      <c r="N1188" s="30" t="str">
        <f ca="1">IFERROR(__xludf.DUMMYFUNCTION("""COMPUTED_VALUE"""),"RANCUL")</f>
        <v>RANCUL</v>
      </c>
      <c r="O1188" s="30" t="str">
        <f ca="1">IFERROR(__xludf.DUMMYFUNCTION("""COMPUTED_VALUE"""),"42126")</f>
        <v>42126</v>
      </c>
      <c r="P1188" s="30" t="str">
        <f ca="1">IFERROR(__xludf.DUMMYFUNCTION("""COMPUTED_VALUE"""),"RANCUL")</f>
        <v>RANCUL</v>
      </c>
      <c r="Q1188" s="30" t="str">
        <f ca="1">IFERROR(__xludf.DUMMYFUNCTION("""COMPUTED_VALUE"""),"-35.05728")</f>
        <v>-35.05728</v>
      </c>
      <c r="R1188" s="30" t="str">
        <f ca="1">IFERROR(__xludf.DUMMYFUNCTION("""COMPUTED_VALUE"""),"-64.5238")</f>
        <v>-64.5238</v>
      </c>
      <c r="S1188" s="30" t="str">
        <f ca="1">IFERROR(__xludf.DUMMYFUNCTION("""COMPUTED_VALUE"""),"Provincial")</f>
        <v>Provincial</v>
      </c>
      <c r="T1188" s="30" t="str">
        <f ca="1">IFERROR(__xludf.DUMMYFUNCTION("""COMPUTED_VALUE"""),"-")</f>
        <v>-</v>
      </c>
    </row>
    <row r="1189" spans="1:20" ht="15.75" customHeight="1" x14ac:dyDescent="0.25">
      <c r="A1189" s="30" t="str">
        <f ca="1">IFERROR(__xludf.DUMMYFUNCTION("""COMPUTED_VALUE"""),"50420212153130")</f>
        <v>50420212153130</v>
      </c>
      <c r="B1189" s="30" t="str">
        <f ca="1">IFERROR(__xludf.DUMMYFUNCTION("""COMPUTED_VALUE"""),"ZONA NORTE")</f>
        <v>ZONA NORTE</v>
      </c>
      <c r="C1189" s="30" t="str">
        <f ca="1">IFERROR(__xludf.DUMMYFUNCTION("""COMPUTED_VALUE"""),"La Pampa")</f>
        <v>La Pampa</v>
      </c>
      <c r="D1189" s="30" t="str">
        <f ca="1">IFERROR(__xludf.DUMMYFUNCTION("""COMPUTED_VALUE"""),"42")</f>
        <v>42</v>
      </c>
      <c r="E1189" s="30" t="str">
        <f ca="1">IFERROR(__xludf.DUMMYFUNCTION("""COMPUTED_VALUE"""),"")</f>
        <v/>
      </c>
      <c r="F1189" s="29"/>
      <c r="G1189" s="29"/>
      <c r="H1189" s="30" t="str">
        <f ca="1">IFERROR(__xludf.DUMMYFUNCTION("""COMPUTED_VALUE"""),"inactivo")</f>
        <v>inactivo</v>
      </c>
      <c r="I1189" s="29"/>
      <c r="J1189" s="29"/>
      <c r="K1189" s="29"/>
      <c r="L1189" s="30" t="str">
        <f ca="1">IFERROR(__xludf.DUMMYFUNCTION("""COMPUTED_VALUE"""),"No")</f>
        <v>No</v>
      </c>
      <c r="M1189" s="30" t="str">
        <f ca="1">IFERROR(__xludf.DUMMYFUNCTION("""COMPUTED_VALUE"""),"42021020000")</f>
        <v>42021020000</v>
      </c>
      <c r="N1189" s="30" t="str">
        <f ca="1">IFERROR(__xludf.DUMMYFUNCTION("""COMPUTED_VALUE"""),"SANTA ROSA")</f>
        <v>SANTA ROSA</v>
      </c>
      <c r="O1189" s="30" t="str">
        <f ca="1">IFERROR(__xludf.DUMMYFUNCTION("""COMPUTED_VALUE"""),"4221")</f>
        <v>4221</v>
      </c>
      <c r="P1189" s="30" t="str">
        <f ca="1">IFERROR(__xludf.DUMMYFUNCTION("""COMPUTED_VALUE"""),"CAPITAL")</f>
        <v>CAPITAL</v>
      </c>
      <c r="Q1189" s="30" t="str">
        <f ca="1">IFERROR(__xludf.DUMMYFUNCTION("""COMPUTED_VALUE"""),"-36.628769")</f>
        <v>-36.628769</v>
      </c>
      <c r="R1189" s="30" t="str">
        <f ca="1">IFERROR(__xludf.DUMMYFUNCTION("""COMPUTED_VALUE"""),"-64.287773")</f>
        <v>-64.287773</v>
      </c>
      <c r="S1189" s="30" t="str">
        <f ca="1">IFERROR(__xludf.DUMMYFUNCTION("""COMPUTED_VALUE"""),"Provincial")</f>
        <v>Provincial</v>
      </c>
      <c r="T1189" s="30" t="str">
        <f ca="1">IFERROR(__xludf.DUMMYFUNCTION("""COMPUTED_VALUE"""),"-")</f>
        <v>-</v>
      </c>
    </row>
    <row r="1190" spans="1:20" ht="15.75" customHeight="1" x14ac:dyDescent="0.25">
      <c r="A1190" s="30" t="str">
        <f ca="1">IFERROR(__xludf.DUMMYFUNCTION("""COMPUTED_VALUE"""),"10420072153014")</f>
        <v>10420072153014</v>
      </c>
      <c r="B1190" s="30" t="str">
        <f ca="1">IFERROR(__xludf.DUMMYFUNCTION("""COMPUTED_VALUE"""),"ESTABLECIMIENTO ASISTENCIAL DR. ANTONIO OLAIZ")</f>
        <v>ESTABLECIMIENTO ASISTENCIAL DR. ANTONIO OLAIZ</v>
      </c>
      <c r="C1190" s="30" t="str">
        <f ca="1">IFERROR(__xludf.DUMMYFUNCTION("""COMPUTED_VALUE"""),"La Pampa")</f>
        <v>La Pampa</v>
      </c>
      <c r="D1190" s="30" t="str">
        <f ca="1">IFERROR(__xludf.DUMMYFUNCTION("""COMPUTED_VALUE"""),"42")</f>
        <v>42</v>
      </c>
      <c r="E1190" s="30" t="str">
        <f ca="1">IFERROR(__xludf.DUMMYFUNCTION("""COMPUTED_VALUE"""),"")</f>
        <v/>
      </c>
      <c r="F1190" s="29"/>
      <c r="G1190" s="29"/>
      <c r="H1190" s="30" t="str">
        <f ca="1">IFERROR(__xludf.DUMMYFUNCTION("""COMPUTED_VALUE"""),"inactivo")</f>
        <v>inactivo</v>
      </c>
      <c r="I1190" s="29"/>
      <c r="J1190" s="29"/>
      <c r="K1190" s="29"/>
      <c r="L1190" s="30" t="str">
        <f ca="1">IFERROR(__xludf.DUMMYFUNCTION("""COMPUTED_VALUE"""),"No")</f>
        <v>No</v>
      </c>
      <c r="M1190" s="30" t="str">
        <f ca="1">IFERROR(__xludf.DUMMYFUNCTION("""COMPUTED_VALUE"""),"42007030000")</f>
        <v>42007030000</v>
      </c>
      <c r="N1190" s="30" t="str">
        <f ca="1">IFERROR(__xludf.DUMMYFUNCTION("""COMPUTED_VALUE"""),"MIGUEL RIGLOS")</f>
        <v>MIGUEL RIGLOS</v>
      </c>
      <c r="O1190" s="30" t="str">
        <f ca="1">IFERROR(__xludf.DUMMYFUNCTION("""COMPUTED_VALUE"""),"427")</f>
        <v>427</v>
      </c>
      <c r="P1190" s="30" t="str">
        <f ca="1">IFERROR(__xludf.DUMMYFUNCTION("""COMPUTED_VALUE"""),"ATREUCÓ")</f>
        <v>ATREUCÓ</v>
      </c>
      <c r="Q1190" s="30" t="str">
        <f ca="1">IFERROR(__xludf.DUMMYFUNCTION("""COMPUTED_VALUE"""),"-36.06020141")</f>
        <v>-36.06020141</v>
      </c>
      <c r="R1190" s="30" t="str">
        <f ca="1">IFERROR(__xludf.DUMMYFUNCTION("""COMPUTED_VALUE"""),"-63.93218994")</f>
        <v>-63.93218994</v>
      </c>
      <c r="S1190" s="30" t="str">
        <f ca="1">IFERROR(__xludf.DUMMYFUNCTION("""COMPUTED_VALUE"""),"Provincial")</f>
        <v>Provincial</v>
      </c>
      <c r="T1190" s="30" t="str">
        <f ca="1">IFERROR(__xludf.DUMMYFUNCTION("""COMPUTED_VALUE"""),"-")</f>
        <v>-</v>
      </c>
    </row>
    <row r="1191" spans="1:20" ht="15.75" customHeight="1" x14ac:dyDescent="0.25">
      <c r="A1191" s="30" t="str">
        <f ca="1">IFERROR(__xludf.DUMMYFUNCTION("""COMPUTED_VALUE"""),"10421192153044")</f>
        <v>10421192153044</v>
      </c>
      <c r="B1191" s="30" t="str">
        <f ca="1">IFERROR(__xludf.DUMMYFUNCTION("""COMPUTED_VALUE"""),"ESTABLECIMIENTO ASISTENCIAL WILFRID BARON")</f>
        <v>ESTABLECIMIENTO ASISTENCIAL WILFRID BARON</v>
      </c>
      <c r="C1191" s="30" t="str">
        <f ca="1">IFERROR(__xludf.DUMMYFUNCTION("""COMPUTED_VALUE"""),"La Pampa")</f>
        <v>La Pampa</v>
      </c>
      <c r="D1191" s="30" t="str">
        <f ca="1">IFERROR(__xludf.DUMMYFUNCTION("""COMPUTED_VALUE"""),"42")</f>
        <v>42</v>
      </c>
      <c r="E1191" s="30" t="str">
        <f ca="1">IFERROR(__xludf.DUMMYFUNCTION("""COMPUTED_VALUE"""),"si")</f>
        <v>si</v>
      </c>
      <c r="F1191" s="29"/>
      <c r="G1191" s="29"/>
      <c r="H1191" s="30" t="str">
        <f ca="1">IFERROR(__xludf.DUMMYFUNCTION("""COMPUTED_VALUE"""),"activo")</f>
        <v>activo</v>
      </c>
      <c r="I1191" s="29"/>
      <c r="J1191" s="29"/>
      <c r="K1191" s="29"/>
      <c r="L1191" s="30" t="str">
        <f ca="1">IFERROR(__xludf.DUMMYFUNCTION("""COMPUTED_VALUE"""),"No")</f>
        <v>No</v>
      </c>
      <c r="M1191" s="30" t="str">
        <f ca="1">IFERROR(__xludf.DUMMYFUNCTION("""COMPUTED_VALUE"""),"42119010000")</f>
        <v>42119010000</v>
      </c>
      <c r="N1191" s="30" t="str">
        <f ca="1">IFERROR(__xludf.DUMMYFUNCTION("""COMPUTED_VALUE"""),"COLONIA BARON")</f>
        <v>COLONIA BARON</v>
      </c>
      <c r="O1191" s="30" t="str">
        <f ca="1">IFERROR(__xludf.DUMMYFUNCTION("""COMPUTED_VALUE"""),"42119")</f>
        <v>42119</v>
      </c>
      <c r="P1191" s="30" t="str">
        <f ca="1">IFERROR(__xludf.DUMMYFUNCTION("""COMPUTED_VALUE"""),"QUEMÚ QUEMÚ")</f>
        <v>QUEMÚ QUEMÚ</v>
      </c>
      <c r="Q1191" s="30" t="str">
        <f ca="1">IFERROR(__xludf.DUMMYFUNCTION("""COMPUTED_VALUE"""),"-36.1532593")</f>
        <v>-36.1532593</v>
      </c>
      <c r="R1191" s="30" t="str">
        <f ca="1">IFERROR(__xludf.DUMMYFUNCTION("""COMPUTED_VALUE"""),"-63.8525391")</f>
        <v>-63.8525391</v>
      </c>
      <c r="S1191" s="30" t="str">
        <f ca="1">IFERROR(__xludf.DUMMYFUNCTION("""COMPUTED_VALUE"""),"Provincial")</f>
        <v>Provincial</v>
      </c>
      <c r="T1191" s="30" t="str">
        <f ca="1">IFERROR(__xludf.DUMMYFUNCTION("""COMPUTED_VALUE"""),"-")</f>
        <v>-</v>
      </c>
    </row>
    <row r="1192" spans="1:20" ht="15.75" customHeight="1" x14ac:dyDescent="0.25">
      <c r="A1192" s="30" t="str">
        <f ca="1">IFERROR(__xludf.DUMMYFUNCTION("""COMPUTED_VALUE"""),"50421052153091")</f>
        <v>50421052153091</v>
      </c>
      <c r="B1192" s="30" t="str">
        <f ca="1">IFERROR(__xludf.DUMMYFUNCTION("""COMPUTED_VALUE"""),"FRANK ALAN")</f>
        <v>FRANK ALAN</v>
      </c>
      <c r="C1192" s="30" t="str">
        <f ca="1">IFERROR(__xludf.DUMMYFUNCTION("""COMPUTED_VALUE"""),"La Pampa")</f>
        <v>La Pampa</v>
      </c>
      <c r="D1192" s="30" t="str">
        <f ca="1">IFERROR(__xludf.DUMMYFUNCTION("""COMPUTED_VALUE"""),"42")</f>
        <v>42</v>
      </c>
      <c r="E1192" s="30" t="str">
        <f ca="1">IFERROR(__xludf.DUMMYFUNCTION("""COMPUTED_VALUE"""),"")</f>
        <v/>
      </c>
      <c r="F1192" s="29"/>
      <c r="G1192" s="29"/>
      <c r="H1192" s="30" t="str">
        <f ca="1">IFERROR(__xludf.DUMMYFUNCTION("""COMPUTED_VALUE"""),"activo")</f>
        <v>activo</v>
      </c>
      <c r="I1192" s="29"/>
      <c r="J1192" s="29"/>
      <c r="K1192" s="29"/>
      <c r="L1192" s="30" t="str">
        <f ca="1">IFERROR(__xludf.DUMMYFUNCTION("""COMPUTED_VALUE"""),"No")</f>
        <v>No</v>
      </c>
      <c r="M1192" s="30" t="str">
        <f ca="1">IFERROR(__xludf.DUMMYFUNCTION("""COMPUTED_VALUE"""),"42105030000")</f>
        <v>42105030000</v>
      </c>
      <c r="N1192" s="30" t="str">
        <f ca="1">IFERROR(__xludf.DUMMYFUNCTION("""COMPUTED_VALUE"""),"GENERAL PICO")</f>
        <v>GENERAL PICO</v>
      </c>
      <c r="O1192" s="30" t="str">
        <f ca="1">IFERROR(__xludf.DUMMYFUNCTION("""COMPUTED_VALUE"""),"42105")</f>
        <v>42105</v>
      </c>
      <c r="P1192" s="30" t="str">
        <f ca="1">IFERROR(__xludf.DUMMYFUNCTION("""COMPUTED_VALUE"""),"MARACÓ")</f>
        <v>MARACÓ</v>
      </c>
      <c r="Q1192" s="30" t="str">
        <f ca="1">IFERROR(__xludf.DUMMYFUNCTION("""COMPUTED_VALUE"""),"-35.64842844")</f>
        <v>-35.64842844</v>
      </c>
      <c r="R1192" s="30" t="str">
        <f ca="1">IFERROR(__xludf.DUMMYFUNCTION("""COMPUTED_VALUE"""),"-63.75375223")</f>
        <v>-63.75375223</v>
      </c>
      <c r="S1192" s="30" t="str">
        <f ca="1">IFERROR(__xludf.DUMMYFUNCTION("""COMPUTED_VALUE"""),"Provincial")</f>
        <v>Provincial</v>
      </c>
      <c r="T1192" s="30" t="str">
        <f ca="1">IFERROR(__xludf.DUMMYFUNCTION("""COMPUTED_VALUE"""),"-")</f>
        <v>-</v>
      </c>
    </row>
    <row r="1193" spans="1:20" ht="15.75" customHeight="1" x14ac:dyDescent="0.25">
      <c r="A1193" s="30" t="str">
        <f ca="1">IFERROR(__xludf.DUMMYFUNCTION("""COMPUTED_VALUE"""),"10421262153026")</f>
        <v>10421262153026</v>
      </c>
      <c r="B1193" s="30" t="str">
        <f ca="1">IFERROR(__xludf.DUMMYFUNCTION("""COMPUTED_VALUE"""),"ESTABLECIMIENTO ASISTENCIAL DR. LUIS A. PETRELLI")</f>
        <v>ESTABLECIMIENTO ASISTENCIAL DR. LUIS A. PETRELLI</v>
      </c>
      <c r="C1193" s="30" t="str">
        <f ca="1">IFERROR(__xludf.DUMMYFUNCTION("""COMPUTED_VALUE"""),"La Pampa")</f>
        <v>La Pampa</v>
      </c>
      <c r="D1193" s="30" t="str">
        <f ca="1">IFERROR(__xludf.DUMMYFUNCTION("""COMPUTED_VALUE"""),"42")</f>
        <v>42</v>
      </c>
      <c r="E1193" s="30" t="str">
        <f ca="1">IFERROR(__xludf.DUMMYFUNCTION("""COMPUTED_VALUE"""),"")</f>
        <v/>
      </c>
      <c r="F1193" s="29"/>
      <c r="G1193" s="29"/>
      <c r="H1193" s="30" t="str">
        <f ca="1">IFERROR(__xludf.DUMMYFUNCTION("""COMPUTED_VALUE"""),"inactivo")</f>
        <v>inactivo</v>
      </c>
      <c r="I1193" s="29"/>
      <c r="J1193" s="29"/>
      <c r="K1193" s="29"/>
      <c r="L1193" s="30" t="str">
        <f ca="1">IFERROR(__xludf.DUMMYFUNCTION("""COMPUTED_VALUE"""),"No")</f>
        <v>No</v>
      </c>
      <c r="M1193" s="30" t="str">
        <f ca="1">IFERROR(__xludf.DUMMYFUNCTION("""COMPUTED_VALUE"""),"42126010000")</f>
        <v>42126010000</v>
      </c>
      <c r="N1193" s="30" t="str">
        <f ca="1">IFERROR(__xludf.DUMMYFUNCTION("""COMPUTED_VALUE"""),"CALEUFU")</f>
        <v>CALEUFU</v>
      </c>
      <c r="O1193" s="30" t="str">
        <f ca="1">IFERROR(__xludf.DUMMYFUNCTION("""COMPUTED_VALUE"""),"42126")</f>
        <v>42126</v>
      </c>
      <c r="P1193" s="30" t="str">
        <f ca="1">IFERROR(__xludf.DUMMYFUNCTION("""COMPUTED_VALUE"""),"RANCUL")</f>
        <v>RANCUL</v>
      </c>
      <c r="Q1193" s="30" t="str">
        <f ca="1">IFERROR(__xludf.DUMMYFUNCTION("""COMPUTED_VALUE"""),"-35.12664799")</f>
        <v>-35.12664799</v>
      </c>
      <c r="R1193" s="30" t="str">
        <f ca="1">IFERROR(__xludf.DUMMYFUNCTION("""COMPUTED_VALUE"""),"-64.52957153")</f>
        <v>-64.52957153</v>
      </c>
      <c r="S1193" s="30" t="str">
        <f ca="1">IFERROR(__xludf.DUMMYFUNCTION("""COMPUTED_VALUE"""),"Provincial")</f>
        <v>Provincial</v>
      </c>
      <c r="T1193" s="30" t="str">
        <f ca="1">IFERROR(__xludf.DUMMYFUNCTION("""COMPUTED_VALUE"""),"-")</f>
        <v>-</v>
      </c>
    </row>
    <row r="1194" spans="1:20" ht="15.75" customHeight="1" x14ac:dyDescent="0.25">
      <c r="A1194" s="30" t="str">
        <f ca="1">IFERROR(__xludf.DUMMYFUNCTION("""COMPUTED_VALUE"""),"50420212153128")</f>
        <v>50420212153128</v>
      </c>
      <c r="B1194" s="30" t="str">
        <f ca="1">IFERROR(__xludf.DUMMYFUNCTION("""COMPUTED_VALUE"""),"VILLA GERMINAL")</f>
        <v>VILLA GERMINAL</v>
      </c>
      <c r="C1194" s="30" t="str">
        <f ca="1">IFERROR(__xludf.DUMMYFUNCTION("""COMPUTED_VALUE"""),"La Pampa")</f>
        <v>La Pampa</v>
      </c>
      <c r="D1194" s="30" t="str">
        <f ca="1">IFERROR(__xludf.DUMMYFUNCTION("""COMPUTED_VALUE"""),"42")</f>
        <v>42</v>
      </c>
      <c r="E1194" s="30" t="str">
        <f ca="1">IFERROR(__xludf.DUMMYFUNCTION("""COMPUTED_VALUE"""),"")</f>
        <v/>
      </c>
      <c r="F1194" s="29"/>
      <c r="G1194" s="29"/>
      <c r="H1194" s="30" t="str">
        <f ca="1">IFERROR(__xludf.DUMMYFUNCTION("""COMPUTED_VALUE"""),"inactivo")</f>
        <v>inactivo</v>
      </c>
      <c r="I1194" s="29"/>
      <c r="J1194" s="29"/>
      <c r="K1194" s="29"/>
      <c r="L1194" s="30" t="str">
        <f ca="1">IFERROR(__xludf.DUMMYFUNCTION("""COMPUTED_VALUE"""),"No")</f>
        <v>No</v>
      </c>
      <c r="M1194" s="30" t="str">
        <f ca="1">IFERROR(__xludf.DUMMYFUNCTION("""COMPUTED_VALUE"""),"42021020000")</f>
        <v>42021020000</v>
      </c>
      <c r="N1194" s="30" t="str">
        <f ca="1">IFERROR(__xludf.DUMMYFUNCTION("""COMPUTED_VALUE"""),"SANTA ROSA")</f>
        <v>SANTA ROSA</v>
      </c>
      <c r="O1194" s="30" t="str">
        <f ca="1">IFERROR(__xludf.DUMMYFUNCTION("""COMPUTED_VALUE"""),"4221")</f>
        <v>4221</v>
      </c>
      <c r="P1194" s="30" t="str">
        <f ca="1">IFERROR(__xludf.DUMMYFUNCTION("""COMPUTED_VALUE"""),"CAPITAL")</f>
        <v>CAPITAL</v>
      </c>
      <c r="Q1194" s="30" t="str">
        <f ca="1">IFERROR(__xludf.DUMMYFUNCTION("""COMPUTED_VALUE"""),"-36.5938393")</f>
        <v>-36.5938393</v>
      </c>
      <c r="R1194" s="30" t="str">
        <f ca="1">IFERROR(__xludf.DUMMYFUNCTION("""COMPUTED_VALUE"""),"-64.296576")</f>
        <v>-64.296576</v>
      </c>
      <c r="S1194" s="30" t="str">
        <f ca="1">IFERROR(__xludf.DUMMYFUNCTION("""COMPUTED_VALUE"""),"Provincial")</f>
        <v>Provincial</v>
      </c>
      <c r="T1194" s="30" t="str">
        <f ca="1">IFERROR(__xludf.DUMMYFUNCTION("""COMPUTED_VALUE"""),"-")</f>
        <v>-</v>
      </c>
    </row>
    <row r="1195" spans="1:20" ht="15.75" customHeight="1" x14ac:dyDescent="0.25">
      <c r="A1195" s="30" t="str">
        <f ca="1">IFERROR(__xludf.DUMMYFUNCTION("""COMPUTED_VALUE"""),"50420212153088")</f>
        <v>50420212153088</v>
      </c>
      <c r="B1195" s="30" t="str">
        <f ca="1">IFERROR(__xludf.DUMMYFUNCTION("""COMPUTED_VALUE"""),"FONAVI 42 NELIDA MALDONADO")</f>
        <v>FONAVI 42 NELIDA MALDONADO</v>
      </c>
      <c r="C1195" s="30" t="str">
        <f ca="1">IFERROR(__xludf.DUMMYFUNCTION("""COMPUTED_VALUE"""),"La Pampa")</f>
        <v>La Pampa</v>
      </c>
      <c r="D1195" s="30" t="str">
        <f ca="1">IFERROR(__xludf.DUMMYFUNCTION("""COMPUTED_VALUE"""),"42")</f>
        <v>42</v>
      </c>
      <c r="E1195" s="30" t="str">
        <f ca="1">IFERROR(__xludf.DUMMYFUNCTION("""COMPUTED_VALUE"""),"")</f>
        <v/>
      </c>
      <c r="F1195" s="29"/>
      <c r="G1195" s="29"/>
      <c r="H1195" s="30" t="str">
        <f ca="1">IFERROR(__xludf.DUMMYFUNCTION("""COMPUTED_VALUE"""),"activo")</f>
        <v>activo</v>
      </c>
      <c r="I1195" s="29"/>
      <c r="J1195" s="29"/>
      <c r="K1195" s="29"/>
      <c r="L1195" s="30" t="str">
        <f ca="1">IFERROR(__xludf.DUMMYFUNCTION("""COMPUTED_VALUE"""),"No")</f>
        <v>No</v>
      </c>
      <c r="M1195" s="30" t="str">
        <f ca="1">IFERROR(__xludf.DUMMYFUNCTION("""COMPUTED_VALUE"""),"42021020000")</f>
        <v>42021020000</v>
      </c>
      <c r="N1195" s="30" t="str">
        <f ca="1">IFERROR(__xludf.DUMMYFUNCTION("""COMPUTED_VALUE"""),"SANTA ROSA")</f>
        <v>SANTA ROSA</v>
      </c>
      <c r="O1195" s="30" t="str">
        <f ca="1">IFERROR(__xludf.DUMMYFUNCTION("""COMPUTED_VALUE"""),"4221")</f>
        <v>4221</v>
      </c>
      <c r="P1195" s="30" t="str">
        <f ca="1">IFERROR(__xludf.DUMMYFUNCTION("""COMPUTED_VALUE"""),"CAPITAL")</f>
        <v>CAPITAL</v>
      </c>
      <c r="Q1195" s="30" t="str">
        <f ca="1">IFERROR(__xludf.DUMMYFUNCTION("""COMPUTED_VALUE"""),"-36.6420639")</f>
        <v>-36.6420639</v>
      </c>
      <c r="R1195" s="30" t="str">
        <f ca="1">IFERROR(__xludf.DUMMYFUNCTION("""COMPUTED_VALUE"""),"-64.29701757")</f>
        <v>-64.29701757</v>
      </c>
      <c r="S1195" s="30" t="str">
        <f ca="1">IFERROR(__xludf.DUMMYFUNCTION("""COMPUTED_VALUE"""),"Provincial")</f>
        <v>Provincial</v>
      </c>
      <c r="T1195" s="30" t="str">
        <f ca="1">IFERROR(__xludf.DUMMYFUNCTION("""COMPUTED_VALUE"""),"-")</f>
        <v>-</v>
      </c>
    </row>
    <row r="1196" spans="1:20" ht="15.75" customHeight="1" x14ac:dyDescent="0.25">
      <c r="A1196" s="30" t="str">
        <f ca="1">IFERROR(__xludf.DUMMYFUNCTION("""COMPUTED_VALUE"""),"50421052153107")</f>
        <v>50421052153107</v>
      </c>
      <c r="B1196" s="30" t="str">
        <f ca="1">IFERROR(__xludf.DUMMYFUNCTION("""COMPUTED_VALUE"""),"MAURICIO KNOBEL")</f>
        <v>MAURICIO KNOBEL</v>
      </c>
      <c r="C1196" s="30" t="str">
        <f ca="1">IFERROR(__xludf.DUMMYFUNCTION("""COMPUTED_VALUE"""),"La Pampa")</f>
        <v>La Pampa</v>
      </c>
      <c r="D1196" s="30" t="str">
        <f ca="1">IFERROR(__xludf.DUMMYFUNCTION("""COMPUTED_VALUE"""),"42")</f>
        <v>42</v>
      </c>
      <c r="E1196" s="30" t="str">
        <f ca="1">IFERROR(__xludf.DUMMYFUNCTION("""COMPUTED_VALUE"""),"")</f>
        <v/>
      </c>
      <c r="F1196" s="29"/>
      <c r="G1196" s="29"/>
      <c r="H1196" s="30" t="str">
        <f ca="1">IFERROR(__xludf.DUMMYFUNCTION("""COMPUTED_VALUE"""),"inactivo")</f>
        <v>inactivo</v>
      </c>
      <c r="I1196" s="29"/>
      <c r="J1196" s="29"/>
      <c r="K1196" s="29"/>
      <c r="L1196" s="30" t="str">
        <f ca="1">IFERROR(__xludf.DUMMYFUNCTION("""COMPUTED_VALUE"""),"No")</f>
        <v>No</v>
      </c>
      <c r="M1196" s="30" t="str">
        <f ca="1">IFERROR(__xludf.DUMMYFUNCTION("""COMPUTED_VALUE"""),"42105030000")</f>
        <v>42105030000</v>
      </c>
      <c r="N1196" s="30" t="str">
        <f ca="1">IFERROR(__xludf.DUMMYFUNCTION("""COMPUTED_VALUE"""),"GENERAL PICO")</f>
        <v>GENERAL PICO</v>
      </c>
      <c r="O1196" s="30" t="str">
        <f ca="1">IFERROR(__xludf.DUMMYFUNCTION("""COMPUTED_VALUE"""),"42105")</f>
        <v>42105</v>
      </c>
      <c r="P1196" s="30" t="str">
        <f ca="1">IFERROR(__xludf.DUMMYFUNCTION("""COMPUTED_VALUE"""),"MARACÓ")</f>
        <v>MARACÓ</v>
      </c>
      <c r="Q1196" s="30" t="str">
        <f ca="1">IFERROR(__xludf.DUMMYFUNCTION("""COMPUTED_VALUE"""),"-35.66868469")</f>
        <v>-35.66868469</v>
      </c>
      <c r="R1196" s="30" t="str">
        <f ca="1">IFERROR(__xludf.DUMMYFUNCTION("""COMPUTED_VALUE"""),"-63.75641763")</f>
        <v>-63.75641763</v>
      </c>
      <c r="S1196" s="30" t="str">
        <f ca="1">IFERROR(__xludf.DUMMYFUNCTION("""COMPUTED_VALUE"""),"Provincial")</f>
        <v>Provincial</v>
      </c>
      <c r="T1196" s="30" t="str">
        <f ca="1">IFERROR(__xludf.DUMMYFUNCTION("""COMPUTED_VALUE"""),"-")</f>
        <v>-</v>
      </c>
    </row>
    <row r="1197" spans="1:20" ht="15.75" customHeight="1" x14ac:dyDescent="0.25">
      <c r="A1197" s="30" t="str">
        <f ca="1">IFERROR(__xludf.DUMMYFUNCTION("""COMPUTED_VALUE"""),"50421332153082")</f>
        <v>50421332153082</v>
      </c>
      <c r="B1197" s="30" t="str">
        <f ca="1">IFERROR(__xludf.DUMMYFUNCTION("""COMPUTED_VALUE"""),"DR. NESTOR SCHANTON")</f>
        <v>DR. NESTOR SCHANTON</v>
      </c>
      <c r="C1197" s="30" t="str">
        <f ca="1">IFERROR(__xludf.DUMMYFUNCTION("""COMPUTED_VALUE"""),"La Pampa")</f>
        <v>La Pampa</v>
      </c>
      <c r="D1197" s="30" t="str">
        <f ca="1">IFERROR(__xludf.DUMMYFUNCTION("""COMPUTED_VALUE"""),"42")</f>
        <v>42</v>
      </c>
      <c r="E1197" s="30" t="str">
        <f ca="1">IFERROR(__xludf.DUMMYFUNCTION("""COMPUTED_VALUE"""),"")</f>
        <v/>
      </c>
      <c r="F1197" s="29"/>
      <c r="G1197" s="29"/>
      <c r="H1197" s="30" t="str">
        <f ca="1">IFERROR(__xludf.DUMMYFUNCTION("""COMPUTED_VALUE"""),"activo")</f>
        <v>activo</v>
      </c>
      <c r="I1197" s="29"/>
      <c r="J1197" s="29"/>
      <c r="K1197" s="29"/>
      <c r="L1197" s="30" t="str">
        <f ca="1">IFERROR(__xludf.DUMMYFUNCTION("""COMPUTED_VALUE"""),"No")</f>
        <v>No</v>
      </c>
      <c r="M1197" s="30" t="str">
        <f ca="1">IFERROR(__xludf.DUMMYFUNCTION("""COMPUTED_VALUE"""),"42133020000")</f>
        <v>42133020000</v>
      </c>
      <c r="N1197" s="30" t="str">
        <f ca="1">IFERROR(__xludf.DUMMYFUNCTION("""COMPUTED_VALUE"""),"ALTA ITALIA")</f>
        <v>ALTA ITALIA</v>
      </c>
      <c r="O1197" s="30" t="str">
        <f ca="1">IFERROR(__xludf.DUMMYFUNCTION("""COMPUTED_VALUE"""),"42133")</f>
        <v>42133</v>
      </c>
      <c r="P1197" s="30" t="str">
        <f ca="1">IFERROR(__xludf.DUMMYFUNCTION("""COMPUTED_VALUE"""),"REALICÓ")</f>
        <v>REALICÓ</v>
      </c>
      <c r="Q1197" s="30" t="str">
        <f ca="1">IFERROR(__xludf.DUMMYFUNCTION("""COMPUTED_VALUE"""),"-35.32408937")</f>
        <v>-35.32408937</v>
      </c>
      <c r="R1197" s="30" t="str">
        <f ca="1">IFERROR(__xludf.DUMMYFUNCTION("""COMPUTED_VALUE"""),"-64.11621094")</f>
        <v>-64.11621094</v>
      </c>
      <c r="S1197" s="30" t="str">
        <f ca="1">IFERROR(__xludf.DUMMYFUNCTION("""COMPUTED_VALUE"""),"Provincial")</f>
        <v>Provincial</v>
      </c>
      <c r="T1197" s="30" t="str">
        <f ca="1">IFERROR(__xludf.DUMMYFUNCTION("""COMPUTED_VALUE"""),"-")</f>
        <v>-</v>
      </c>
    </row>
    <row r="1198" spans="1:20" ht="15.75" customHeight="1" x14ac:dyDescent="0.25">
      <c r="A1198" s="30" t="str">
        <f ca="1">IFERROR(__xludf.DUMMYFUNCTION("""COMPUTED_VALUE"""),"50421052153096")</f>
        <v>50421052153096</v>
      </c>
      <c r="B1198" s="30" t="str">
        <f ca="1">IFERROR(__xludf.DUMMYFUNCTION("""COMPUTED_VALUE"""),"JOSE RUCCI")</f>
        <v>JOSE RUCCI</v>
      </c>
      <c r="C1198" s="30" t="str">
        <f ca="1">IFERROR(__xludf.DUMMYFUNCTION("""COMPUTED_VALUE"""),"La Pampa")</f>
        <v>La Pampa</v>
      </c>
      <c r="D1198" s="30" t="str">
        <f ca="1">IFERROR(__xludf.DUMMYFUNCTION("""COMPUTED_VALUE"""),"42")</f>
        <v>42</v>
      </c>
      <c r="E1198" s="30" t="str">
        <f ca="1">IFERROR(__xludf.DUMMYFUNCTION("""COMPUTED_VALUE"""),"")</f>
        <v/>
      </c>
      <c r="F1198" s="29"/>
      <c r="G1198" s="29"/>
      <c r="H1198" s="30" t="str">
        <f ca="1">IFERROR(__xludf.DUMMYFUNCTION("""COMPUTED_VALUE"""),"activo")</f>
        <v>activo</v>
      </c>
      <c r="I1198" s="29"/>
      <c r="J1198" s="29"/>
      <c r="K1198" s="29"/>
      <c r="L1198" s="30" t="str">
        <f ca="1">IFERROR(__xludf.DUMMYFUNCTION("""COMPUTED_VALUE"""),"No")</f>
        <v>No</v>
      </c>
      <c r="M1198" s="30" t="str">
        <f ca="1">IFERROR(__xludf.DUMMYFUNCTION("""COMPUTED_VALUE"""),"42105030000")</f>
        <v>42105030000</v>
      </c>
      <c r="N1198" s="30" t="str">
        <f ca="1">IFERROR(__xludf.DUMMYFUNCTION("""COMPUTED_VALUE"""),"GENERAL PICO")</f>
        <v>GENERAL PICO</v>
      </c>
      <c r="O1198" s="30" t="str">
        <f ca="1">IFERROR(__xludf.DUMMYFUNCTION("""COMPUTED_VALUE"""),"42105")</f>
        <v>42105</v>
      </c>
      <c r="P1198" s="30" t="str">
        <f ca="1">IFERROR(__xludf.DUMMYFUNCTION("""COMPUTED_VALUE"""),"MARACÓ")</f>
        <v>MARACÓ</v>
      </c>
      <c r="Q1198" s="30" t="str">
        <f ca="1">IFERROR(__xludf.DUMMYFUNCTION("""COMPUTED_VALUE"""),"-35.6565185")</f>
        <v>-35.6565185</v>
      </c>
      <c r="R1198" s="30" t="str">
        <f ca="1">IFERROR(__xludf.DUMMYFUNCTION("""COMPUTED_VALUE"""),"-63.7703217")</f>
        <v>-63.7703217</v>
      </c>
      <c r="S1198" s="30" t="str">
        <f ca="1">IFERROR(__xludf.DUMMYFUNCTION("""COMPUTED_VALUE"""),"Provincial")</f>
        <v>Provincial</v>
      </c>
      <c r="T1198" s="30" t="str">
        <f ca="1">IFERROR(__xludf.DUMMYFUNCTION("""COMPUTED_VALUE"""),"-")</f>
        <v>-</v>
      </c>
    </row>
    <row r="1199" spans="1:20" ht="15.75" customHeight="1" x14ac:dyDescent="0.25">
      <c r="A1199" s="30" t="str">
        <f ca="1">IFERROR(__xludf.DUMMYFUNCTION("""COMPUTED_VALUE"""),"10420492153029")</f>
        <v>10420492153029</v>
      </c>
      <c r="B1199" s="30" t="str">
        <f ca="1">IFERROR(__xludf.DUMMYFUNCTION("""COMPUTED_VALUE"""),"ESTABLECIMIENTO ASISTENCIAL DR. MANUEL PEREZ")</f>
        <v>ESTABLECIMIENTO ASISTENCIAL DR. MANUEL PEREZ</v>
      </c>
      <c r="C1199" s="30" t="str">
        <f ca="1">IFERROR(__xludf.DUMMYFUNCTION("""COMPUTED_VALUE"""),"La Pampa")</f>
        <v>La Pampa</v>
      </c>
      <c r="D1199" s="30" t="str">
        <f ca="1">IFERROR(__xludf.DUMMYFUNCTION("""COMPUTED_VALUE"""),"42")</f>
        <v>42</v>
      </c>
      <c r="E1199" s="30" t="str">
        <f ca="1">IFERROR(__xludf.DUMMYFUNCTION("""COMPUTED_VALUE"""),"si")</f>
        <v>si</v>
      </c>
      <c r="F1199" s="29"/>
      <c r="G1199" s="29"/>
      <c r="H1199" s="30" t="str">
        <f ca="1">IFERROR(__xludf.DUMMYFUNCTION("""COMPUTED_VALUE"""),"inactivo")</f>
        <v>inactivo</v>
      </c>
      <c r="I1199" s="29"/>
      <c r="J1199" s="29"/>
      <c r="K1199" s="29"/>
      <c r="L1199" s="30" t="str">
        <f ca="1">IFERROR(__xludf.DUMMYFUNCTION("""COMPUTED_VALUE"""),"No")</f>
        <v>No</v>
      </c>
      <c r="M1199" s="30" t="str">
        <f ca="1">IFERROR(__xludf.DUMMYFUNCTION("""COMPUTED_VALUE"""),"42049010000")</f>
        <v>42049010000</v>
      </c>
      <c r="N1199" s="30" t="str">
        <f ca="1">IFERROR(__xludf.DUMMYFUNCTION("""COMPUTED_VALUE"""),"SANTA ISABEL")</f>
        <v>SANTA ISABEL</v>
      </c>
      <c r="O1199" s="30" t="str">
        <f ca="1">IFERROR(__xludf.DUMMYFUNCTION("""COMPUTED_VALUE"""),"4249")</f>
        <v>4249</v>
      </c>
      <c r="P1199" s="30" t="str">
        <f ca="1">IFERROR(__xludf.DUMMYFUNCTION("""COMPUTED_VALUE"""),"CHALILEO")</f>
        <v>CHALILEO</v>
      </c>
      <c r="Q1199" s="30" t="str">
        <f ca="1">IFERROR(__xludf.DUMMYFUNCTION("""COMPUTED_VALUE"""),"-36.23208903")</f>
        <v>-36.23208903</v>
      </c>
      <c r="R1199" s="30" t="str">
        <f ca="1">IFERROR(__xludf.DUMMYFUNCTION("""COMPUTED_VALUE"""),"-66.93283081")</f>
        <v>-66.93283081</v>
      </c>
      <c r="S1199" s="30" t="str">
        <f ca="1">IFERROR(__xludf.DUMMYFUNCTION("""COMPUTED_VALUE"""),"Provincial")</f>
        <v>Provincial</v>
      </c>
      <c r="T1199" s="30" t="str">
        <f ca="1">IFERROR(__xludf.DUMMYFUNCTION("""COMPUTED_VALUE"""),"-")</f>
        <v>-</v>
      </c>
    </row>
    <row r="1200" spans="1:20" ht="15.75" customHeight="1" x14ac:dyDescent="0.25">
      <c r="A1200" s="30" t="str">
        <f ca="1">IFERROR(__xludf.DUMMYFUNCTION("""COMPUTED_VALUE"""),"50420212153115")</f>
        <v>50420212153115</v>
      </c>
      <c r="B1200" s="30" t="str">
        <f ca="1">IFERROR(__xludf.DUMMYFUNCTION("""COMPUTED_VALUE"""),"RIO ATUEL")</f>
        <v>RIO ATUEL</v>
      </c>
      <c r="C1200" s="30" t="str">
        <f ca="1">IFERROR(__xludf.DUMMYFUNCTION("""COMPUTED_VALUE"""),"La Pampa")</f>
        <v>La Pampa</v>
      </c>
      <c r="D1200" s="30" t="str">
        <f ca="1">IFERROR(__xludf.DUMMYFUNCTION("""COMPUTED_VALUE"""),"42")</f>
        <v>42</v>
      </c>
      <c r="E1200" s="30" t="str">
        <f ca="1">IFERROR(__xludf.DUMMYFUNCTION("""COMPUTED_VALUE"""),"")</f>
        <v/>
      </c>
      <c r="F1200" s="29"/>
      <c r="G1200" s="29"/>
      <c r="H1200" s="30" t="str">
        <f ca="1">IFERROR(__xludf.DUMMYFUNCTION("""COMPUTED_VALUE"""),"inactivo")</f>
        <v>inactivo</v>
      </c>
      <c r="I1200" s="29"/>
      <c r="J1200" s="29"/>
      <c r="K1200" s="29"/>
      <c r="L1200" s="30" t="str">
        <f ca="1">IFERROR(__xludf.DUMMYFUNCTION("""COMPUTED_VALUE"""),"No")</f>
        <v>No</v>
      </c>
      <c r="M1200" s="30" t="str">
        <f ca="1">IFERROR(__xludf.DUMMYFUNCTION("""COMPUTED_VALUE"""),"42021020000")</f>
        <v>42021020000</v>
      </c>
      <c r="N1200" s="30" t="str">
        <f ca="1">IFERROR(__xludf.DUMMYFUNCTION("""COMPUTED_VALUE"""),"SANTA ROSA")</f>
        <v>SANTA ROSA</v>
      </c>
      <c r="O1200" s="30" t="str">
        <f ca="1">IFERROR(__xludf.DUMMYFUNCTION("""COMPUTED_VALUE"""),"4221")</f>
        <v>4221</v>
      </c>
      <c r="P1200" s="30" t="str">
        <f ca="1">IFERROR(__xludf.DUMMYFUNCTION("""COMPUTED_VALUE"""),"CAPITAL")</f>
        <v>CAPITAL</v>
      </c>
      <c r="Q1200" s="30" t="str">
        <f ca="1">IFERROR(__xludf.DUMMYFUNCTION("""COMPUTED_VALUE"""),"-36.6411278")</f>
        <v>-36.6411278</v>
      </c>
      <c r="R1200" s="30" t="str">
        <f ca="1">IFERROR(__xludf.DUMMYFUNCTION("""COMPUTED_VALUE"""),"-64.2805497")</f>
        <v>-64.2805497</v>
      </c>
      <c r="S1200" s="30" t="str">
        <f ca="1">IFERROR(__xludf.DUMMYFUNCTION("""COMPUTED_VALUE"""),"Provincial")</f>
        <v>Provincial</v>
      </c>
      <c r="T1200" s="30" t="str">
        <f ca="1">IFERROR(__xludf.DUMMYFUNCTION("""COMPUTED_VALUE"""),"-")</f>
        <v>-</v>
      </c>
    </row>
    <row r="1201" spans="1:20" ht="15.75" customHeight="1" x14ac:dyDescent="0.25">
      <c r="A1201" s="30" t="str">
        <f ca="1">IFERROR(__xludf.DUMMYFUNCTION("""COMPUTED_VALUE"""),"10421332153024")</f>
        <v>10421332153024</v>
      </c>
      <c r="B1201" s="30" t="str">
        <f ca="1">IFERROR(__xludf.DUMMYFUNCTION("""COMPUTED_VALUE"""),"ESTABLECIMIENTO ASISTENCIAL DR. JUSTO G. FERRARI")</f>
        <v>ESTABLECIMIENTO ASISTENCIAL DR. JUSTO G. FERRARI</v>
      </c>
      <c r="C1201" s="30" t="str">
        <f ca="1">IFERROR(__xludf.DUMMYFUNCTION("""COMPUTED_VALUE"""),"La Pampa")</f>
        <v>La Pampa</v>
      </c>
      <c r="D1201" s="30" t="str">
        <f ca="1">IFERROR(__xludf.DUMMYFUNCTION("""COMPUTED_VALUE"""),"42")</f>
        <v>42</v>
      </c>
      <c r="E1201" s="30" t="str">
        <f ca="1">IFERROR(__xludf.DUMMYFUNCTION("""COMPUTED_VALUE"""),"")</f>
        <v/>
      </c>
      <c r="F1201" s="29"/>
      <c r="G1201" s="29"/>
      <c r="H1201" s="30" t="str">
        <f ca="1">IFERROR(__xludf.DUMMYFUNCTION("""COMPUTED_VALUE"""),"activo")</f>
        <v>activo</v>
      </c>
      <c r="I1201" s="29"/>
      <c r="J1201" s="29"/>
      <c r="K1201" s="29"/>
      <c r="L1201" s="30" t="str">
        <f ca="1">IFERROR(__xludf.DUMMYFUNCTION("""COMPUTED_VALUE"""),"No")</f>
        <v>No</v>
      </c>
      <c r="M1201" s="30" t="str">
        <f ca="1">IFERROR(__xludf.DUMMYFUNCTION("""COMPUTED_VALUE"""),"42133060000")</f>
        <v>42133060000</v>
      </c>
      <c r="N1201" s="30" t="str">
        <f ca="1">IFERROR(__xludf.DUMMYFUNCTION("""COMPUTED_VALUE"""),"INGENIERO LUIGGI")</f>
        <v>INGENIERO LUIGGI</v>
      </c>
      <c r="O1201" s="30" t="str">
        <f ca="1">IFERROR(__xludf.DUMMYFUNCTION("""COMPUTED_VALUE"""),"42133")</f>
        <v>42133</v>
      </c>
      <c r="P1201" s="30" t="str">
        <f ca="1">IFERROR(__xludf.DUMMYFUNCTION("""COMPUTED_VALUE"""),"REALICÓ")</f>
        <v>REALICÓ</v>
      </c>
      <c r="Q1201" s="30" t="str">
        <f ca="1">IFERROR(__xludf.DUMMYFUNCTION("""COMPUTED_VALUE"""),"-35.38434")</f>
        <v>-35.38434</v>
      </c>
      <c r="R1201" s="30" t="str">
        <f ca="1">IFERROR(__xludf.DUMMYFUNCTION("""COMPUTED_VALUE"""),"-64.46465")</f>
        <v>-64.46465</v>
      </c>
      <c r="S1201" s="30" t="str">
        <f ca="1">IFERROR(__xludf.DUMMYFUNCTION("""COMPUTED_VALUE"""),"Provincial")</f>
        <v>Provincial</v>
      </c>
      <c r="T1201" s="30" t="str">
        <f ca="1">IFERROR(__xludf.DUMMYFUNCTION("""COMPUTED_VALUE"""),"-")</f>
        <v>-</v>
      </c>
    </row>
    <row r="1202" spans="1:20" ht="15.75" customHeight="1" x14ac:dyDescent="0.25">
      <c r="A1202" s="30" t="str">
        <f ca="1">IFERROR(__xludf.DUMMYFUNCTION("""COMPUTED_VALUE"""),"10420352153030")</f>
        <v>10420352153030</v>
      </c>
      <c r="B1202" s="30" t="str">
        <f ca="1">IFERROR(__xludf.DUMMYFUNCTION("""COMPUTED_VALUE"""),"ESTABLECIMIENTO ASISTENCIAL DR. PABLO F. LACOSTE")</f>
        <v>ESTABLECIMIENTO ASISTENCIAL DR. PABLO F. LACOSTE</v>
      </c>
      <c r="C1202" s="30" t="str">
        <f ca="1">IFERROR(__xludf.DUMMYFUNCTION("""COMPUTED_VALUE"""),"La Pampa")</f>
        <v>La Pampa</v>
      </c>
      <c r="D1202" s="30" t="str">
        <f ca="1">IFERROR(__xludf.DUMMYFUNCTION("""COMPUTED_VALUE"""),"42")</f>
        <v>42</v>
      </c>
      <c r="E1202" s="30" t="str">
        <f ca="1">IFERROR(__xludf.DUMMYFUNCTION("""COMPUTED_VALUE"""),"")</f>
        <v/>
      </c>
      <c r="F1202" s="30" t="str">
        <f ca="1">IFERROR(__xludf.DUMMYFUNCTION("""COMPUTED_VALUE"""),"10420772153022")</f>
        <v>10420772153022</v>
      </c>
      <c r="G1202" s="29"/>
      <c r="H1202" s="30" t="str">
        <f ca="1">IFERROR(__xludf.DUMMYFUNCTION("""COMPUTED_VALUE"""),"inactivo")</f>
        <v>inactivo</v>
      </c>
      <c r="I1202" s="29"/>
      <c r="J1202" s="29"/>
      <c r="K1202" s="29"/>
      <c r="L1202" s="30" t="str">
        <f ca="1">IFERROR(__xludf.DUMMYFUNCTION("""COMPUTED_VALUE"""),"No")</f>
        <v>No</v>
      </c>
      <c r="M1202" s="30" t="str">
        <f ca="1">IFERROR(__xludf.DUMMYFUNCTION("""COMPUTED_VALUE"""),"42035020000")</f>
        <v>42035020000</v>
      </c>
      <c r="N1202" s="30" t="str">
        <f ca="1">IFERROR(__xludf.DUMMYFUNCTION("""COMPUTED_VALUE"""),"EDUARDO CASTEX")</f>
        <v>EDUARDO CASTEX</v>
      </c>
      <c r="O1202" s="30" t="str">
        <f ca="1">IFERROR(__xludf.DUMMYFUNCTION("""COMPUTED_VALUE"""),"4235")</f>
        <v>4235</v>
      </c>
      <c r="P1202" s="30" t="str">
        <f ca="1">IFERROR(__xludf.DUMMYFUNCTION("""COMPUTED_VALUE"""),"CONHELO")</f>
        <v>CONHELO</v>
      </c>
      <c r="Q1202" s="30" t="str">
        <f ca="1">IFERROR(__xludf.DUMMYFUNCTION("""COMPUTED_VALUE"""),"-35.93798832")</f>
        <v>-35.93798832</v>
      </c>
      <c r="R1202" s="30" t="str">
        <f ca="1">IFERROR(__xludf.DUMMYFUNCTION("""COMPUTED_VALUE"""),"-64.27276611")</f>
        <v>-64.27276611</v>
      </c>
      <c r="S1202" s="30" t="str">
        <f ca="1">IFERROR(__xludf.DUMMYFUNCTION("""COMPUTED_VALUE"""),"Provincial")</f>
        <v>Provincial</v>
      </c>
      <c r="T1202" s="30" t="str">
        <f ca="1">IFERROR(__xludf.DUMMYFUNCTION("""COMPUTED_VALUE"""),"-")</f>
        <v>-</v>
      </c>
    </row>
    <row r="1203" spans="1:20" ht="15.75" customHeight="1" x14ac:dyDescent="0.25">
      <c r="A1203" s="30" t="str">
        <f ca="1">IFERROR(__xludf.DUMMYFUNCTION("""COMPUTED_VALUE"""),"10420772153022")</f>
        <v>10420772153022</v>
      </c>
      <c r="B1203" s="30" t="str">
        <f ca="1">IFERROR(__xludf.DUMMYFUNCTION("""COMPUTED_VALUE"""),"ESTABLECIMIENTO ASISTENCIAL DR. JUAN MUNUCE")</f>
        <v>ESTABLECIMIENTO ASISTENCIAL DR. JUAN MUNUCE</v>
      </c>
      <c r="C1203" s="30" t="str">
        <f ca="1">IFERROR(__xludf.DUMMYFUNCTION("""COMPUTED_VALUE"""),"La Pampa")</f>
        <v>La Pampa</v>
      </c>
      <c r="D1203" s="30" t="str">
        <f ca="1">IFERROR(__xludf.DUMMYFUNCTION("""COMPUTED_VALUE"""),"42")</f>
        <v>42</v>
      </c>
      <c r="E1203" s="30" t="str">
        <f ca="1">IFERROR(__xludf.DUMMYFUNCTION("""COMPUTED_VALUE"""),"")</f>
        <v/>
      </c>
      <c r="F1203" s="29"/>
      <c r="G1203" s="30" t="str">
        <f ca="1">IFERROR(__xludf.DUMMYFUNCTION("""COMPUTED_VALUE"""),"10420352153030")</f>
        <v>10420352153030</v>
      </c>
      <c r="H1203" s="30" t="str">
        <f ca="1">IFERROR(__xludf.DUMMYFUNCTION("""COMPUTED_VALUE"""),"inactivo")</f>
        <v>inactivo</v>
      </c>
      <c r="I1203" s="29"/>
      <c r="J1203" s="29"/>
      <c r="K1203" s="29"/>
      <c r="L1203" s="30" t="str">
        <f ca="1">IFERROR(__xludf.DUMMYFUNCTION("""COMPUTED_VALUE"""),"No")</f>
        <v>No</v>
      </c>
      <c r="M1203" s="30" t="str">
        <f ca="1">IFERROR(__xludf.DUMMYFUNCTION("""COMPUTED_VALUE"""),"42077050000")</f>
        <v>42077050000</v>
      </c>
      <c r="N1203" s="30" t="str">
        <f ca="1">IFERROR(__xludf.DUMMYFUNCTION("""COMPUTED_VALUE"""),"JACINTO ARAUZ")</f>
        <v>JACINTO ARAUZ</v>
      </c>
      <c r="O1203" s="30" t="str">
        <f ca="1">IFERROR(__xludf.DUMMYFUNCTION("""COMPUTED_VALUE"""),"4277")</f>
        <v>4277</v>
      </c>
      <c r="P1203" s="30" t="str">
        <f ca="1">IFERROR(__xludf.DUMMYFUNCTION("""COMPUTED_VALUE"""),"HUCAL")</f>
        <v>HUCAL</v>
      </c>
      <c r="Q1203" s="30" t="str">
        <f ca="1">IFERROR(__xludf.DUMMYFUNCTION("""COMPUTED_VALUE"""),"-38.08971536")</f>
        <v>-38.08971536</v>
      </c>
      <c r="R1203" s="30" t="str">
        <f ca="1">IFERROR(__xludf.DUMMYFUNCTION("""COMPUTED_VALUE"""),"-63.43025208")</f>
        <v>-63.43025208</v>
      </c>
      <c r="S1203" s="30" t="str">
        <f ca="1">IFERROR(__xludf.DUMMYFUNCTION("""COMPUTED_VALUE"""),"Provincial")</f>
        <v>Provincial</v>
      </c>
      <c r="T1203" s="30" t="str">
        <f ca="1">IFERROR(__xludf.DUMMYFUNCTION("""COMPUTED_VALUE"""),"-")</f>
        <v>-</v>
      </c>
    </row>
    <row r="1204" spans="1:20" ht="15.75" customHeight="1" x14ac:dyDescent="0.25">
      <c r="A1204" s="30" t="str">
        <f ca="1">IFERROR(__xludf.DUMMYFUNCTION("""COMPUTED_VALUE"""),"10420072153019")</f>
        <v>10420072153019</v>
      </c>
      <c r="B1204" s="30" t="str">
        <f ca="1">IFERROR(__xludf.DUMMYFUNCTION("""COMPUTED_VALUE"""),"ESTABLECIMIENTO ASISTENCIAL DR. HERACLIO LUNA")</f>
        <v>ESTABLECIMIENTO ASISTENCIAL DR. HERACLIO LUNA</v>
      </c>
      <c r="C1204" s="30" t="str">
        <f ca="1">IFERROR(__xludf.DUMMYFUNCTION("""COMPUTED_VALUE"""),"La Pampa")</f>
        <v>La Pampa</v>
      </c>
      <c r="D1204" s="30" t="str">
        <f ca="1">IFERROR(__xludf.DUMMYFUNCTION("""COMPUTED_VALUE"""),"42")</f>
        <v>42</v>
      </c>
      <c r="E1204" s="30" t="str">
        <f ca="1">IFERROR(__xludf.DUMMYFUNCTION("""COMPUTED_VALUE"""),"")</f>
        <v/>
      </c>
      <c r="F1204" s="29"/>
      <c r="G1204" s="29"/>
      <c r="H1204" s="30" t="str">
        <f ca="1">IFERROR(__xludf.DUMMYFUNCTION("""COMPUTED_VALUE"""),"activo")</f>
        <v>activo</v>
      </c>
      <c r="I1204" s="29"/>
      <c r="J1204" s="29"/>
      <c r="K1204" s="29"/>
      <c r="L1204" s="30" t="str">
        <f ca="1">IFERROR(__xludf.DUMMYFUNCTION("""COMPUTED_VALUE"""),"No")</f>
        <v>No</v>
      </c>
      <c r="M1204" s="30" t="str">
        <f ca="1">IFERROR(__xludf.DUMMYFUNCTION("""COMPUTED_VALUE"""),"42007020000")</f>
        <v>42007020000</v>
      </c>
      <c r="N1204" s="30" t="str">
        <f ca="1">IFERROR(__xludf.DUMMYFUNCTION("""COMPUTED_VALUE"""),"MACACHIN")</f>
        <v>MACACHIN</v>
      </c>
      <c r="O1204" s="30" t="str">
        <f ca="1">IFERROR(__xludf.DUMMYFUNCTION("""COMPUTED_VALUE"""),"427")</f>
        <v>427</v>
      </c>
      <c r="P1204" s="30" t="str">
        <f ca="1">IFERROR(__xludf.DUMMYFUNCTION("""COMPUTED_VALUE"""),"ATREUCÓ")</f>
        <v>ATREUCÓ</v>
      </c>
      <c r="Q1204" s="30" t="str">
        <f ca="1">IFERROR(__xludf.DUMMYFUNCTION("""COMPUTED_VALUE"""),"-37.1449928")</f>
        <v>-37.1449928</v>
      </c>
      <c r="R1204" s="30" t="str">
        <f ca="1">IFERROR(__xludf.DUMMYFUNCTION("""COMPUTED_VALUE"""),"-63.65341187")</f>
        <v>-63.65341187</v>
      </c>
      <c r="S1204" s="30" t="str">
        <f ca="1">IFERROR(__xludf.DUMMYFUNCTION("""COMPUTED_VALUE"""),"Provincial")</f>
        <v>Provincial</v>
      </c>
      <c r="T1204" s="30" t="str">
        <f ca="1">IFERROR(__xludf.DUMMYFUNCTION("""COMPUTED_VALUE"""),"-")</f>
        <v>-</v>
      </c>
    </row>
    <row r="1205" spans="1:20" ht="15.75" customHeight="1" x14ac:dyDescent="0.25">
      <c r="A1205" s="30" t="str">
        <f ca="1">IFERROR(__xludf.DUMMYFUNCTION("""COMPUTED_VALUE"""),"10420702153028")</f>
        <v>10420702153028</v>
      </c>
      <c r="B1205" s="30" t="str">
        <f ca="1">IFERROR(__xludf.DUMMYFUNCTION("""COMPUTED_VALUE"""),"ESTABLECIMIENTO ASISTENCIAL DR. MANUEL FREIRE")</f>
        <v>ESTABLECIMIENTO ASISTENCIAL DR. MANUEL FREIRE</v>
      </c>
      <c r="C1205" s="30" t="str">
        <f ca="1">IFERROR(__xludf.DUMMYFUNCTION("""COMPUTED_VALUE"""),"La Pampa")</f>
        <v>La Pampa</v>
      </c>
      <c r="D1205" s="30" t="str">
        <f ca="1">IFERROR(__xludf.DUMMYFUNCTION("""COMPUTED_VALUE"""),"42")</f>
        <v>42</v>
      </c>
      <c r="E1205" s="30" t="str">
        <f ca="1">IFERROR(__xludf.DUMMYFUNCTION("""COMPUTED_VALUE"""),"")</f>
        <v/>
      </c>
      <c r="F1205" s="29"/>
      <c r="G1205" s="29"/>
      <c r="H1205" s="30" t="str">
        <f ca="1">IFERROR(__xludf.DUMMYFUNCTION("""COMPUTED_VALUE"""),"inactivo")</f>
        <v>inactivo</v>
      </c>
      <c r="I1205" s="29"/>
      <c r="J1205" s="29"/>
      <c r="K1205" s="29"/>
      <c r="L1205" s="30" t="str">
        <f ca="1">IFERROR(__xludf.DUMMYFUNCTION("""COMPUTED_VALUE"""),"No")</f>
        <v>No</v>
      </c>
      <c r="M1205" s="30" t="str">
        <f ca="1">IFERROR(__xludf.DUMMYFUNCTION("""COMPUTED_VALUE"""),"42070030000")</f>
        <v>42070030000</v>
      </c>
      <c r="N1205" s="30" t="str">
        <f ca="1">IFERROR(__xludf.DUMMYFUNCTION("""COMPUTED_VALUE"""),"GUATRACHE")</f>
        <v>GUATRACHE</v>
      </c>
      <c r="O1205" s="30" t="str">
        <f ca="1">IFERROR(__xludf.DUMMYFUNCTION("""COMPUTED_VALUE"""),"4270")</f>
        <v>4270</v>
      </c>
      <c r="P1205" s="30" t="str">
        <f ca="1">IFERROR(__xludf.DUMMYFUNCTION("""COMPUTED_VALUE"""),"GUATRACHÉ")</f>
        <v>GUATRACHÉ</v>
      </c>
      <c r="Q1205" s="30" t="str">
        <f ca="1">IFERROR(__xludf.DUMMYFUNCTION("""COMPUTED_VALUE"""),"-37.65990649")</f>
        <v>-37.65990649</v>
      </c>
      <c r="R1205" s="30" t="str">
        <f ca="1">IFERROR(__xludf.DUMMYFUNCTION("""COMPUTED_VALUE"""),"-63.53530884")</f>
        <v>-63.53530884</v>
      </c>
      <c r="S1205" s="30" t="str">
        <f ca="1">IFERROR(__xludf.DUMMYFUNCTION("""COMPUTED_VALUE"""),"Provincial")</f>
        <v>Provincial</v>
      </c>
      <c r="T1205" s="30" t="str">
        <f ca="1">IFERROR(__xludf.DUMMYFUNCTION("""COMPUTED_VALUE"""),"-")</f>
        <v>-</v>
      </c>
    </row>
    <row r="1206" spans="1:20" ht="15.75" customHeight="1" x14ac:dyDescent="0.25">
      <c r="A1206" s="30" t="str">
        <f ca="1">IFERROR(__xludf.DUMMYFUNCTION("""COMPUTED_VALUE"""),"50420212153129")</f>
        <v>50420212153129</v>
      </c>
      <c r="B1206" s="30" t="str">
        <f ca="1">IFERROR(__xludf.DUMMYFUNCTION("""COMPUTED_VALUE"""),"VILLA SANTILLAN")</f>
        <v>VILLA SANTILLAN</v>
      </c>
      <c r="C1206" s="30" t="str">
        <f ca="1">IFERROR(__xludf.DUMMYFUNCTION("""COMPUTED_VALUE"""),"La Pampa")</f>
        <v>La Pampa</v>
      </c>
      <c r="D1206" s="30" t="str">
        <f ca="1">IFERROR(__xludf.DUMMYFUNCTION("""COMPUTED_VALUE"""),"42")</f>
        <v>42</v>
      </c>
      <c r="E1206" s="30" t="str">
        <f ca="1">IFERROR(__xludf.DUMMYFUNCTION("""COMPUTED_VALUE"""),"")</f>
        <v/>
      </c>
      <c r="F1206" s="29"/>
      <c r="G1206" s="29"/>
      <c r="H1206" s="30" t="str">
        <f ca="1">IFERROR(__xludf.DUMMYFUNCTION("""COMPUTED_VALUE"""),"activo")</f>
        <v>activo</v>
      </c>
      <c r="I1206" s="29"/>
      <c r="J1206" s="29"/>
      <c r="K1206" s="29"/>
      <c r="L1206" s="30" t="str">
        <f ca="1">IFERROR(__xludf.DUMMYFUNCTION("""COMPUTED_VALUE"""),"No")</f>
        <v>No</v>
      </c>
      <c r="M1206" s="30" t="str">
        <f ca="1">IFERROR(__xludf.DUMMYFUNCTION("""COMPUTED_VALUE"""),"42021020000")</f>
        <v>42021020000</v>
      </c>
      <c r="N1206" s="30" t="str">
        <f ca="1">IFERROR(__xludf.DUMMYFUNCTION("""COMPUTED_VALUE"""),"SANTA ROSA")</f>
        <v>SANTA ROSA</v>
      </c>
      <c r="O1206" s="30" t="str">
        <f ca="1">IFERROR(__xludf.DUMMYFUNCTION("""COMPUTED_VALUE"""),"4221")</f>
        <v>4221</v>
      </c>
      <c r="P1206" s="30" t="str">
        <f ca="1">IFERROR(__xludf.DUMMYFUNCTION("""COMPUTED_VALUE"""),"CAPITAL")</f>
        <v>CAPITAL</v>
      </c>
      <c r="Q1206" s="30" t="str">
        <f ca="1">IFERROR(__xludf.DUMMYFUNCTION("""COMPUTED_VALUE"""),"-36.63536182")</f>
        <v>-36.63536182</v>
      </c>
      <c r="R1206" s="30" t="str">
        <f ca="1">IFERROR(__xludf.DUMMYFUNCTION("""COMPUTED_VALUE"""),"-64.28854287")</f>
        <v>-64.28854287</v>
      </c>
      <c r="S1206" s="30" t="str">
        <f ca="1">IFERROR(__xludf.DUMMYFUNCTION("""COMPUTED_VALUE"""),"Provincial")</f>
        <v>Provincial</v>
      </c>
      <c r="T1206" s="30" t="str">
        <f ca="1">IFERROR(__xludf.DUMMYFUNCTION("""COMPUTED_VALUE"""),"-")</f>
        <v>-</v>
      </c>
    </row>
    <row r="1207" spans="1:20" ht="15.75" customHeight="1" x14ac:dyDescent="0.25">
      <c r="A1207" s="30" t="str">
        <f ca="1">IFERROR(__xludf.DUMMYFUNCTION("""COMPUTED_VALUE"""),"50421052153117")</f>
        <v>50421052153117</v>
      </c>
      <c r="B1207" s="30" t="str">
        <f ca="1">IFERROR(__xludf.DUMMYFUNCTION("""COMPUTED_VALUE"""),"SALVADOR ABUDARA")</f>
        <v>SALVADOR ABUDARA</v>
      </c>
      <c r="C1207" s="30" t="str">
        <f ca="1">IFERROR(__xludf.DUMMYFUNCTION("""COMPUTED_VALUE"""),"La Pampa")</f>
        <v>La Pampa</v>
      </c>
      <c r="D1207" s="30" t="str">
        <f ca="1">IFERROR(__xludf.DUMMYFUNCTION("""COMPUTED_VALUE"""),"42")</f>
        <v>42</v>
      </c>
      <c r="E1207" s="30" t="str">
        <f ca="1">IFERROR(__xludf.DUMMYFUNCTION("""COMPUTED_VALUE"""),"")</f>
        <v/>
      </c>
      <c r="F1207" s="29"/>
      <c r="G1207" s="29"/>
      <c r="H1207" s="30" t="str">
        <f ca="1">IFERROR(__xludf.DUMMYFUNCTION("""COMPUTED_VALUE"""),"inactivo")</f>
        <v>inactivo</v>
      </c>
      <c r="I1207" s="29"/>
      <c r="J1207" s="29"/>
      <c r="K1207" s="29"/>
      <c r="L1207" s="30" t="str">
        <f ca="1">IFERROR(__xludf.DUMMYFUNCTION("""COMPUTED_VALUE"""),"No")</f>
        <v>No</v>
      </c>
      <c r="M1207" s="30" t="str">
        <f ca="1">IFERROR(__xludf.DUMMYFUNCTION("""COMPUTED_VALUE"""),"42105030000")</f>
        <v>42105030000</v>
      </c>
      <c r="N1207" s="30" t="str">
        <f ca="1">IFERROR(__xludf.DUMMYFUNCTION("""COMPUTED_VALUE"""),"GENERAL PICO")</f>
        <v>GENERAL PICO</v>
      </c>
      <c r="O1207" s="30" t="str">
        <f ca="1">IFERROR(__xludf.DUMMYFUNCTION("""COMPUTED_VALUE"""),"42105")</f>
        <v>42105</v>
      </c>
      <c r="P1207" s="30" t="str">
        <f ca="1">IFERROR(__xludf.DUMMYFUNCTION("""COMPUTED_VALUE"""),"MARACÓ")</f>
        <v>MARACÓ</v>
      </c>
      <c r="Q1207" s="30" t="str">
        <f ca="1">IFERROR(__xludf.DUMMYFUNCTION("""COMPUTED_VALUE"""),"-35.66709398")</f>
        <v>-35.66709398</v>
      </c>
      <c r="R1207" s="30" t="str">
        <f ca="1">IFERROR(__xludf.DUMMYFUNCTION("""COMPUTED_VALUE"""),"-63.75409126")</f>
        <v>-63.75409126</v>
      </c>
      <c r="S1207" s="30" t="str">
        <f ca="1">IFERROR(__xludf.DUMMYFUNCTION("""COMPUTED_VALUE"""),"Provincial")</f>
        <v>Provincial</v>
      </c>
      <c r="T1207" s="30" t="str">
        <f ca="1">IFERROR(__xludf.DUMMYFUNCTION("""COMPUTED_VALUE"""),"-")</f>
        <v>-</v>
      </c>
    </row>
    <row r="1208" spans="1:20" ht="15.75" customHeight="1" x14ac:dyDescent="0.25">
      <c r="A1208" s="30" t="str">
        <f ca="1">IFERROR(__xludf.DUMMYFUNCTION("""COMPUTED_VALUE"""),"50420212153102")</f>
        <v>50420212153102</v>
      </c>
      <c r="B1208" s="30" t="str">
        <f ca="1">IFERROR(__xludf.DUMMYFUNCTION("""COMPUTED_VALUE"""),"LOS HORNOS")</f>
        <v>LOS HORNOS</v>
      </c>
      <c r="C1208" s="30" t="str">
        <f ca="1">IFERROR(__xludf.DUMMYFUNCTION("""COMPUTED_VALUE"""),"La Pampa")</f>
        <v>La Pampa</v>
      </c>
      <c r="D1208" s="30" t="str">
        <f ca="1">IFERROR(__xludf.DUMMYFUNCTION("""COMPUTED_VALUE"""),"42")</f>
        <v>42</v>
      </c>
      <c r="E1208" s="30" t="str">
        <f ca="1">IFERROR(__xludf.DUMMYFUNCTION("""COMPUTED_VALUE"""),"")</f>
        <v/>
      </c>
      <c r="F1208" s="29"/>
      <c r="G1208" s="29"/>
      <c r="H1208" s="30" t="str">
        <f ca="1">IFERROR(__xludf.DUMMYFUNCTION("""COMPUTED_VALUE"""),"activo")</f>
        <v>activo</v>
      </c>
      <c r="I1208" s="29"/>
      <c r="J1208" s="29"/>
      <c r="K1208" s="29"/>
      <c r="L1208" s="30" t="str">
        <f ca="1">IFERROR(__xludf.DUMMYFUNCTION("""COMPUTED_VALUE"""),"No")</f>
        <v>No</v>
      </c>
      <c r="M1208" s="30" t="str">
        <f ca="1">IFERROR(__xludf.DUMMYFUNCTION("""COMPUTED_VALUE"""),"42021020000")</f>
        <v>42021020000</v>
      </c>
      <c r="N1208" s="30" t="str">
        <f ca="1">IFERROR(__xludf.DUMMYFUNCTION("""COMPUTED_VALUE"""),"SANTA ROSA")</f>
        <v>SANTA ROSA</v>
      </c>
      <c r="O1208" s="30" t="str">
        <f ca="1">IFERROR(__xludf.DUMMYFUNCTION("""COMPUTED_VALUE"""),"4221")</f>
        <v>4221</v>
      </c>
      <c r="P1208" s="30" t="str">
        <f ca="1">IFERROR(__xludf.DUMMYFUNCTION("""COMPUTED_VALUE"""),"CAPITAL")</f>
        <v>CAPITAL</v>
      </c>
      <c r="Q1208" s="30" t="str">
        <f ca="1">IFERROR(__xludf.DUMMYFUNCTION("""COMPUTED_VALUE"""),"-36.62989899")</f>
        <v>-36.62989899</v>
      </c>
      <c r="R1208" s="30" t="str">
        <f ca="1">IFERROR(__xludf.DUMMYFUNCTION("""COMPUTED_VALUE"""),"-64.33589458")</f>
        <v>-64.33589458</v>
      </c>
      <c r="S1208" s="30" t="str">
        <f ca="1">IFERROR(__xludf.DUMMYFUNCTION("""COMPUTED_VALUE"""),"Provincial")</f>
        <v>Provincial</v>
      </c>
      <c r="T1208" s="30" t="str">
        <f ca="1">IFERROR(__xludf.DUMMYFUNCTION("""COMPUTED_VALUE"""),"-")</f>
        <v>-</v>
      </c>
    </row>
    <row r="1209" spans="1:20" ht="15.75" customHeight="1" x14ac:dyDescent="0.25">
      <c r="A1209" s="30" t="str">
        <f ca="1">IFERROR(__xludf.DUMMYFUNCTION("""COMPUTED_VALUE"""),"10421472153012")</f>
        <v>10421472153012</v>
      </c>
      <c r="B1209" s="30" t="str">
        <f ca="1">IFERROR(__xludf.DUMMYFUNCTION("""COMPUTED_VALUE"""),"ESTABLECIMIENTO ASISTENCIAL ARISTIDES GRANDA")</f>
        <v>ESTABLECIMIENTO ASISTENCIAL ARISTIDES GRANDA</v>
      </c>
      <c r="C1209" s="30" t="str">
        <f ca="1">IFERROR(__xludf.DUMMYFUNCTION("""COMPUTED_VALUE"""),"La Pampa")</f>
        <v>La Pampa</v>
      </c>
      <c r="D1209" s="30" t="str">
        <f ca="1">IFERROR(__xludf.DUMMYFUNCTION("""COMPUTED_VALUE"""),"42")</f>
        <v>42</v>
      </c>
      <c r="E1209" s="30" t="str">
        <f ca="1">IFERROR(__xludf.DUMMYFUNCTION("""COMPUTED_VALUE"""),"")</f>
        <v/>
      </c>
      <c r="F1209" s="29"/>
      <c r="G1209" s="29"/>
      <c r="H1209" s="30" t="str">
        <f ca="1">IFERROR(__xludf.DUMMYFUNCTION("""COMPUTED_VALUE"""),"activo")</f>
        <v>activo</v>
      </c>
      <c r="I1209" s="29"/>
      <c r="J1209" s="29"/>
      <c r="K1209" s="29"/>
      <c r="L1209" s="30" t="str">
        <f ca="1">IFERROR(__xludf.DUMMYFUNCTION("""COMPUTED_VALUE"""),"No")</f>
        <v>No</v>
      </c>
      <c r="M1209" s="30" t="str">
        <f ca="1">IFERROR(__xludf.DUMMYFUNCTION("""COMPUTED_VALUE"""),"42147010000")</f>
        <v>42147010000</v>
      </c>
      <c r="N1209" s="30" t="str">
        <f ca="1">IFERROR(__xludf.DUMMYFUNCTION("""COMPUTED_VALUE"""),"ARATA")</f>
        <v>ARATA</v>
      </c>
      <c r="O1209" s="30" t="str">
        <f ca="1">IFERROR(__xludf.DUMMYFUNCTION("""COMPUTED_VALUE"""),"42147")</f>
        <v>42147</v>
      </c>
      <c r="P1209" s="30" t="str">
        <f ca="1">IFERROR(__xludf.DUMMYFUNCTION("""COMPUTED_VALUE"""),"TRENEL")</f>
        <v>TRENEL</v>
      </c>
      <c r="Q1209" s="30" t="str">
        <f ca="1">IFERROR(__xludf.DUMMYFUNCTION("""COMPUTED_VALUE"""),"-35.6996863")</f>
        <v>-35.6996863</v>
      </c>
      <c r="R1209" s="30" t="str">
        <f ca="1">IFERROR(__xludf.DUMMYFUNCTION("""COMPUTED_VALUE"""),"-64.12445068")</f>
        <v>-64.12445068</v>
      </c>
      <c r="S1209" s="30" t="str">
        <f ca="1">IFERROR(__xludf.DUMMYFUNCTION("""COMPUTED_VALUE"""),"Provincial")</f>
        <v>Provincial</v>
      </c>
      <c r="T1209" s="30" t="str">
        <f ca="1">IFERROR(__xludf.DUMMYFUNCTION("""COMPUTED_VALUE"""),"-")</f>
        <v>-</v>
      </c>
    </row>
    <row r="1210" spans="1:20" ht="15.75" customHeight="1" x14ac:dyDescent="0.25">
      <c r="A1210" s="30" t="str">
        <f ca="1">IFERROR(__xludf.DUMMYFUNCTION("""COMPUTED_VALUE"""),"10420982153034")</f>
        <v>10420982153034</v>
      </c>
      <c r="B1210" s="30" t="str">
        <f ca="1">IFERROR(__xludf.DUMMYFUNCTION("""COMPUTED_VALUE"""),"ESTABLECIMIENTO ASISTENCIAL DRA. CECILIA GRIERSON")</f>
        <v>ESTABLECIMIENTO ASISTENCIAL DRA. CECILIA GRIERSON</v>
      </c>
      <c r="C1210" s="30" t="str">
        <f ca="1">IFERROR(__xludf.DUMMYFUNCTION("""COMPUTED_VALUE"""),"La Pampa")</f>
        <v>La Pampa</v>
      </c>
      <c r="D1210" s="30" t="str">
        <f ca="1">IFERROR(__xludf.DUMMYFUNCTION("""COMPUTED_VALUE"""),"42")</f>
        <v>42</v>
      </c>
      <c r="E1210" s="30" t="str">
        <f ca="1">IFERROR(__xludf.DUMMYFUNCTION("""COMPUTED_VALUE"""),"")</f>
        <v/>
      </c>
      <c r="F1210" s="29"/>
      <c r="G1210" s="29"/>
      <c r="H1210" s="30" t="str">
        <f ca="1">IFERROR(__xludf.DUMMYFUNCTION("""COMPUTED_VALUE"""),"activo")</f>
        <v>activo</v>
      </c>
      <c r="I1210" s="29"/>
      <c r="J1210" s="29"/>
      <c r="K1210" s="29"/>
      <c r="L1210" s="30" t="str">
        <f ca="1">IFERROR(__xludf.DUMMYFUNCTION("""COMPUTED_VALUE"""),"No")</f>
        <v>No</v>
      </c>
      <c r="M1210" s="30" t="str">
        <f ca="1">IFERROR(__xludf.DUMMYFUNCTION("""COMPUTED_VALUE"""),"42098040000")</f>
        <v>42098040000</v>
      </c>
      <c r="N1210" s="30" t="str">
        <f ca="1">IFERROR(__xludf.DUMMYFUNCTION("""COMPUTED_VALUE"""),"TELEN")</f>
        <v>TELEN</v>
      </c>
      <c r="O1210" s="30" t="str">
        <f ca="1">IFERROR(__xludf.DUMMYFUNCTION("""COMPUTED_VALUE"""),"4298")</f>
        <v>4298</v>
      </c>
      <c r="P1210" s="30" t="str">
        <f ca="1">IFERROR(__xludf.DUMMYFUNCTION("""COMPUTED_VALUE"""),"LOVENTUÉ")</f>
        <v>LOVENTUÉ</v>
      </c>
      <c r="Q1210" s="30" t="str">
        <f ca="1">IFERROR(__xludf.DUMMYFUNCTION("""COMPUTED_VALUE"""),"-36.26304")</f>
        <v>-36.26304</v>
      </c>
      <c r="R1210" s="30" t="str">
        <f ca="1">IFERROR(__xludf.DUMMYFUNCTION("""COMPUTED_VALUE"""),"-65.51229")</f>
        <v>-65.51229</v>
      </c>
      <c r="S1210" s="30" t="str">
        <f ca="1">IFERROR(__xludf.DUMMYFUNCTION("""COMPUTED_VALUE"""),"Provincial")</f>
        <v>Provincial</v>
      </c>
      <c r="T1210" s="30" t="str">
        <f ca="1">IFERROR(__xludf.DUMMYFUNCTION("""COMPUTED_VALUE"""),"-")</f>
        <v>-</v>
      </c>
    </row>
    <row r="1211" spans="1:20" ht="15.75" customHeight="1" x14ac:dyDescent="0.25">
      <c r="A1211" s="30" t="str">
        <f ca="1">IFERROR(__xludf.DUMMYFUNCTION("""COMPUTED_VALUE"""),"10420072153032")</f>
        <v>10420072153032</v>
      </c>
      <c r="B1211" s="30" t="str">
        <f ca="1">IFERROR(__xludf.DUMMYFUNCTION("""COMPUTED_VALUE"""),"ESTABLECIMIENTO ASISTENCIAL DR. PEDRO NOVICK")</f>
        <v>ESTABLECIMIENTO ASISTENCIAL DR. PEDRO NOVICK</v>
      </c>
      <c r="C1211" s="30" t="str">
        <f ca="1">IFERROR(__xludf.DUMMYFUNCTION("""COMPUTED_VALUE"""),"La Pampa")</f>
        <v>La Pampa</v>
      </c>
      <c r="D1211" s="30" t="str">
        <f ca="1">IFERROR(__xludf.DUMMYFUNCTION("""COMPUTED_VALUE"""),"42")</f>
        <v>42</v>
      </c>
      <c r="E1211" s="30" t="str">
        <f ca="1">IFERROR(__xludf.DUMMYFUNCTION("""COMPUTED_VALUE"""),"")</f>
        <v/>
      </c>
      <c r="F1211" s="29"/>
      <c r="G1211" s="29"/>
      <c r="H1211" s="30" t="str">
        <f ca="1">IFERROR(__xludf.DUMMYFUNCTION("""COMPUTED_VALUE"""),"activo")</f>
        <v>activo</v>
      </c>
      <c r="I1211" s="29"/>
      <c r="J1211" s="29"/>
      <c r="K1211" s="29"/>
      <c r="L1211" s="30" t="str">
        <f ca="1">IFERROR(__xludf.DUMMYFUNCTION("""COMPUTED_VALUE"""),"No")</f>
        <v>No</v>
      </c>
      <c r="M1211" s="30" t="str">
        <f ca="1">IFERROR(__xludf.DUMMYFUNCTION("""COMPUTED_VALUE"""),"42007010000")</f>
        <v>42007010000</v>
      </c>
      <c r="N1211" s="30" t="str">
        <f ca="1">IFERROR(__xludf.DUMMYFUNCTION("""COMPUTED_VALUE"""),"DOBLAS")</f>
        <v>DOBLAS</v>
      </c>
      <c r="O1211" s="30" t="str">
        <f ca="1">IFERROR(__xludf.DUMMYFUNCTION("""COMPUTED_VALUE"""),"427")</f>
        <v>427</v>
      </c>
      <c r="P1211" s="30" t="str">
        <f ca="1">IFERROR(__xludf.DUMMYFUNCTION("""COMPUTED_VALUE"""),"ATREUCÓ")</f>
        <v>ATREUCÓ</v>
      </c>
      <c r="Q1211" s="30" t="str">
        <f ca="1">IFERROR(__xludf.DUMMYFUNCTION("""COMPUTED_VALUE"""),"-37.1483082")</f>
        <v>-37.1483082</v>
      </c>
      <c r="R1211" s="30" t="str">
        <f ca="1">IFERROR(__xludf.DUMMYFUNCTION("""COMPUTED_VALUE"""),"-64.0143335")</f>
        <v>-64.0143335</v>
      </c>
      <c r="S1211" s="30" t="str">
        <f ca="1">IFERROR(__xludf.DUMMYFUNCTION("""COMPUTED_VALUE"""),"Provincial")</f>
        <v>Provincial</v>
      </c>
      <c r="T1211" s="30" t="str">
        <f ca="1">IFERROR(__xludf.DUMMYFUNCTION("""COMPUTED_VALUE"""),"-")</f>
        <v>-</v>
      </c>
    </row>
    <row r="1212" spans="1:20" ht="15.75" customHeight="1" x14ac:dyDescent="0.25">
      <c r="A1212" s="30" t="str">
        <f ca="1">IFERROR(__xludf.DUMMYFUNCTION("""COMPUTED_VALUE"""),"10420702153017")</f>
        <v>10420702153017</v>
      </c>
      <c r="B1212" s="30" t="str">
        <f ca="1">IFERROR(__xludf.DUMMYFUNCTION("""COMPUTED_VALUE"""),"ESTABLECIMIENTO ASISTENCIAL DR. ENRIQUE FERRETTI")</f>
        <v>ESTABLECIMIENTO ASISTENCIAL DR. ENRIQUE FERRETTI</v>
      </c>
      <c r="C1212" s="30" t="str">
        <f ca="1">IFERROR(__xludf.DUMMYFUNCTION("""COMPUTED_VALUE"""),"La Pampa")</f>
        <v>La Pampa</v>
      </c>
      <c r="D1212" s="30" t="str">
        <f ca="1">IFERROR(__xludf.DUMMYFUNCTION("""COMPUTED_VALUE"""),"42")</f>
        <v>42</v>
      </c>
      <c r="E1212" s="30" t="str">
        <f ca="1">IFERROR(__xludf.DUMMYFUNCTION("""COMPUTED_VALUE"""),"")</f>
        <v/>
      </c>
      <c r="F1212" s="29"/>
      <c r="G1212" s="29"/>
      <c r="H1212" s="30" t="str">
        <f ca="1">IFERROR(__xludf.DUMMYFUNCTION("""COMPUTED_VALUE"""),"activo")</f>
        <v>activo</v>
      </c>
      <c r="I1212" s="29"/>
      <c r="J1212" s="29"/>
      <c r="K1212" s="29"/>
      <c r="L1212" s="30" t="str">
        <f ca="1">IFERROR(__xludf.DUMMYFUNCTION("""COMPUTED_VALUE"""),"No")</f>
        <v>No</v>
      </c>
      <c r="M1212" s="30" t="str">
        <f ca="1">IFERROR(__xludf.DUMMYFUNCTION("""COMPUTED_VALUE"""),"42070010000")</f>
        <v>42070010000</v>
      </c>
      <c r="N1212" s="30" t="str">
        <f ca="1">IFERROR(__xludf.DUMMYFUNCTION("""COMPUTED_VALUE"""),"ALPACHIRI")</f>
        <v>ALPACHIRI</v>
      </c>
      <c r="O1212" s="30" t="str">
        <f ca="1">IFERROR(__xludf.DUMMYFUNCTION("""COMPUTED_VALUE"""),"4270")</f>
        <v>4270</v>
      </c>
      <c r="P1212" s="30" t="str">
        <f ca="1">IFERROR(__xludf.DUMMYFUNCTION("""COMPUTED_VALUE"""),"GUATRACHÉ")</f>
        <v>GUATRACHÉ</v>
      </c>
      <c r="Q1212" s="30" t="str">
        <f ca="1">IFERROR(__xludf.DUMMYFUNCTION("""COMPUTED_VALUE"""),"-37.36524574")</f>
        <v>-37.36524574</v>
      </c>
      <c r="R1212" s="30" t="str">
        <f ca="1">IFERROR(__xludf.DUMMYFUNCTION("""COMPUTED_VALUE"""),"-63.76876831")</f>
        <v>-63.76876831</v>
      </c>
      <c r="S1212" s="30" t="str">
        <f ca="1">IFERROR(__xludf.DUMMYFUNCTION("""COMPUTED_VALUE"""),"Provincial")</f>
        <v>Provincial</v>
      </c>
      <c r="T1212" s="30" t="str">
        <f ca="1">IFERROR(__xludf.DUMMYFUNCTION("""COMPUTED_VALUE"""),"-")</f>
        <v>-</v>
      </c>
    </row>
    <row r="1213" spans="1:20" ht="15.75" customHeight="1" x14ac:dyDescent="0.25">
      <c r="A1213" s="30" t="str">
        <f ca="1">IFERROR(__xludf.DUMMYFUNCTION("""COMPUTED_VALUE"""),"10460212155009")</f>
        <v>10460212155009</v>
      </c>
      <c r="B1213" s="30" t="str">
        <f ca="1">IFERROR(__xludf.DUMMYFUNCTION("""COMPUTED_VALUE"""),"HOSPITAL DISTRITAL DR. OSVALDO POLO - LOS ROBLES")</f>
        <v>HOSPITAL DISTRITAL DR. OSVALDO POLO - LOS ROBLES</v>
      </c>
      <c r="C1213" s="30" t="str">
        <f ca="1">IFERROR(__xludf.DUMMYFUNCTION("""COMPUTED_VALUE"""),"La Rioja")</f>
        <v>La Rioja</v>
      </c>
      <c r="D1213" s="30" t="str">
        <f ca="1">IFERROR(__xludf.DUMMYFUNCTION("""COMPUTED_VALUE"""),"46")</f>
        <v>46</v>
      </c>
      <c r="E1213" s="30" t="str">
        <f ca="1">IFERROR(__xludf.DUMMYFUNCTION("""COMPUTED_VALUE"""),"")</f>
        <v/>
      </c>
      <c r="F1213" s="29"/>
      <c r="G1213" s="29"/>
      <c r="H1213" s="30" t="str">
        <f ca="1">IFERROR(__xludf.DUMMYFUNCTION("""COMPUTED_VALUE"""),"activo")</f>
        <v>activo</v>
      </c>
      <c r="I1213" s="29"/>
      <c r="J1213" s="29"/>
      <c r="K1213" s="29"/>
      <c r="L1213" s="30" t="str">
        <f ca="1">IFERROR(__xludf.DUMMYFUNCTION("""COMPUTED_VALUE"""),"No")</f>
        <v>No</v>
      </c>
      <c r="M1213" s="30" t="str">
        <f ca="1">IFERROR(__xludf.DUMMYFUNCTION("""COMPUTED_VALUE"""),"46119010007")</f>
        <v>46119010007</v>
      </c>
      <c r="N1213" s="30" t="str">
        <f ca="1">IFERROR(__xludf.DUMMYFUNCTION("""COMPUTED_VALUE"""),"LOS ROBLES")</f>
        <v>LOS ROBLES</v>
      </c>
      <c r="O1213" s="30" t="str">
        <f ca="1">IFERROR(__xludf.DUMMYFUNCTION("""COMPUTED_VALUE"""),"46119")</f>
        <v>46119</v>
      </c>
      <c r="P1213" s="30" t="str">
        <f ca="1">IFERROR(__xludf.DUMMYFUNCTION("""COMPUTED_VALUE"""),"SAN BLAS DE LOS SAUCES")</f>
        <v>SAN BLAS DE LOS SAUCES</v>
      </c>
      <c r="Q1213" s="30" t="str">
        <f ca="1">IFERROR(__xludf.DUMMYFUNCTION("""COMPUTED_VALUE"""),"-28.42598")</f>
        <v>-28.42598</v>
      </c>
      <c r="R1213" s="30" t="str">
        <f ca="1">IFERROR(__xludf.DUMMYFUNCTION("""COMPUTED_VALUE"""),"-67.107574")</f>
        <v>-67.107574</v>
      </c>
      <c r="S1213" s="30" t="str">
        <f ca="1">IFERROR(__xludf.DUMMYFUNCTION("""COMPUTED_VALUE"""),"Provincial")</f>
        <v>Provincial</v>
      </c>
      <c r="T1213" s="30" t="str">
        <f ca="1">IFERROR(__xludf.DUMMYFUNCTION("""COMPUTED_VALUE"""),"-")</f>
        <v>-</v>
      </c>
    </row>
    <row r="1214" spans="1:20" ht="15.75" customHeight="1" x14ac:dyDescent="0.25">
      <c r="A1214" s="30" t="str">
        <f ca="1">IFERROR(__xludf.DUMMYFUNCTION("""COMPUTED_VALUE"""),"10460282155012")</f>
        <v>10460282155012</v>
      </c>
      <c r="B1214" s="30" t="str">
        <f ca="1">IFERROR(__xludf.DUMMYFUNCTION("""COMPUTED_VALUE"""),"HOSPITAL DISTRITAL GUANDACOL")</f>
        <v>HOSPITAL DISTRITAL GUANDACOL</v>
      </c>
      <c r="C1214" s="30" t="str">
        <f ca="1">IFERROR(__xludf.DUMMYFUNCTION("""COMPUTED_VALUE"""),"La Rioja")</f>
        <v>La Rioja</v>
      </c>
      <c r="D1214" s="30" t="str">
        <f ca="1">IFERROR(__xludf.DUMMYFUNCTION("""COMPUTED_VALUE"""),"46")</f>
        <v>46</v>
      </c>
      <c r="E1214" s="30" t="str">
        <f ca="1">IFERROR(__xludf.DUMMYFUNCTION("""COMPUTED_VALUE"""),"si")</f>
        <v>si</v>
      </c>
      <c r="F1214" s="29"/>
      <c r="G1214" s="29"/>
      <c r="H1214" s="30" t="str">
        <f ca="1">IFERROR(__xludf.DUMMYFUNCTION("""COMPUTED_VALUE"""),"activo")</f>
        <v>activo</v>
      </c>
      <c r="I1214" s="29"/>
      <c r="J1214" s="29"/>
      <c r="K1214" s="29"/>
      <c r="L1214" s="30" t="str">
        <f ca="1">IFERROR(__xludf.DUMMYFUNCTION("""COMPUTED_VALUE"""),"No")</f>
        <v>No</v>
      </c>
      <c r="M1214" s="30" t="str">
        <f ca="1">IFERROR(__xludf.DUMMYFUNCTION("""COMPUTED_VALUE"""),"46028020001")</f>
        <v>46028020001</v>
      </c>
      <c r="N1214" s="30" t="str">
        <f ca="1">IFERROR(__xludf.DUMMYFUNCTION("""COMPUTED_VALUE"""),"GUANDACOL")</f>
        <v>GUANDACOL</v>
      </c>
      <c r="O1214" s="30" t="str">
        <f ca="1">IFERROR(__xludf.DUMMYFUNCTION("""COMPUTED_VALUE"""),"#N/A")</f>
        <v>#N/A</v>
      </c>
      <c r="P1214" s="30" t="str">
        <f ca="1">IFERROR(__xludf.DUMMYFUNCTION("""COMPUTED_VALUE"""),"#N/A")</f>
        <v>#N/A</v>
      </c>
      <c r="Q1214" s="30" t="str">
        <f ca="1">IFERROR(__xludf.DUMMYFUNCTION("""COMPUTED_VALUE"""),"-29.526471")</f>
        <v>-29.526471</v>
      </c>
      <c r="R1214" s="30" t="str">
        <f ca="1">IFERROR(__xludf.DUMMYFUNCTION("""COMPUTED_VALUE"""),"-68.565557")</f>
        <v>-68.565557</v>
      </c>
      <c r="S1214" s="30" t="str">
        <f ca="1">IFERROR(__xludf.DUMMYFUNCTION("""COMPUTED_VALUE"""),"Provincial")</f>
        <v>Provincial</v>
      </c>
      <c r="T1214" s="30" t="str">
        <f ca="1">IFERROR(__xludf.DUMMYFUNCTION("""COMPUTED_VALUE"""),"-")</f>
        <v>-</v>
      </c>
    </row>
    <row r="1215" spans="1:20" ht="15.75" customHeight="1" x14ac:dyDescent="0.25">
      <c r="A1215" s="30" t="str">
        <f ca="1">IFERROR(__xludf.DUMMYFUNCTION("""COMPUTED_VALUE"""),"10460422155032")</f>
        <v>10460422155032</v>
      </c>
      <c r="B1215" s="30" t="str">
        <f ca="1">IFERROR(__xludf.DUMMYFUNCTION("""COMPUTED_VALUE"""),"HOSPITAL SECCIONAL VICTOR PEDERNERA VICHIGASTA")</f>
        <v>HOSPITAL SECCIONAL VICTOR PEDERNERA VICHIGASTA</v>
      </c>
      <c r="C1215" s="30" t="str">
        <f ca="1">IFERROR(__xludf.DUMMYFUNCTION("""COMPUTED_VALUE"""),"La Rioja")</f>
        <v>La Rioja</v>
      </c>
      <c r="D1215" s="30" t="str">
        <f ca="1">IFERROR(__xludf.DUMMYFUNCTION("""COMPUTED_VALUE"""),"46")</f>
        <v>46</v>
      </c>
      <c r="E1215" s="30" t="str">
        <f ca="1">IFERROR(__xludf.DUMMYFUNCTION("""COMPUTED_VALUE"""),"si")</f>
        <v>si</v>
      </c>
      <c r="F1215" s="29"/>
      <c r="G1215" s="29"/>
      <c r="H1215" s="30" t="str">
        <f ca="1">IFERROR(__xludf.DUMMYFUNCTION("""COMPUTED_VALUE"""),"activo")</f>
        <v>activo</v>
      </c>
      <c r="I1215" s="29"/>
      <c r="J1215" s="29"/>
      <c r="K1215" s="29"/>
      <c r="L1215" s="30" t="str">
        <f ca="1">IFERROR(__xludf.DUMMYFUNCTION("""COMPUTED_VALUE"""),"No")</f>
        <v>No</v>
      </c>
      <c r="M1215" s="30" t="str">
        <f ca="1">IFERROR(__xludf.DUMMYFUNCTION("""COMPUTED_VALUE"""),"46042140000")</f>
        <v>46042140000</v>
      </c>
      <c r="N1215" s="30" t="str">
        <f ca="1">IFERROR(__xludf.DUMMYFUNCTION("""COMPUTED_VALUE"""),"VICHIGASTA")</f>
        <v>VICHIGASTA</v>
      </c>
      <c r="O1215" s="30" t="str">
        <f ca="1">IFERROR(__xludf.DUMMYFUNCTION("""COMPUTED_VALUE"""),"4642")</f>
        <v>4642</v>
      </c>
      <c r="P1215" s="30" t="str">
        <f ca="1">IFERROR(__xludf.DUMMYFUNCTION("""COMPUTED_VALUE"""),"CHILECITO")</f>
        <v>CHILECITO</v>
      </c>
      <c r="Q1215" s="30" t="str">
        <f ca="1">IFERROR(__xludf.DUMMYFUNCTION("""COMPUTED_VALUE"""),"-29.50028")</f>
        <v>-29.50028</v>
      </c>
      <c r="R1215" s="30" t="str">
        <f ca="1">IFERROR(__xludf.DUMMYFUNCTION("""COMPUTED_VALUE"""),"-67.50062")</f>
        <v>-67.50062</v>
      </c>
      <c r="S1215" s="30" t="str">
        <f ca="1">IFERROR(__xludf.DUMMYFUNCTION("""COMPUTED_VALUE"""),"Provincial")</f>
        <v>Provincial</v>
      </c>
      <c r="T1215" s="30" t="str">
        <f ca="1">IFERROR(__xludf.DUMMYFUNCTION("""COMPUTED_VALUE"""),"-")</f>
        <v>-</v>
      </c>
    </row>
    <row r="1216" spans="1:20" ht="15.75" customHeight="1" x14ac:dyDescent="0.25">
      <c r="A1216" s="30" t="str">
        <f ca="1">IFERROR(__xludf.DUMMYFUNCTION("""COMPUTED_VALUE"""),"10460492155017")</f>
        <v>10460492155017</v>
      </c>
      <c r="B1216" s="30" t="str">
        <f ca="1">IFERROR(__xludf.DUMMYFUNCTION("""COMPUTED_VALUE"""),"HOSPITAL DISTRITAL RAMON CARRILLO - FAMATINA")</f>
        <v>HOSPITAL DISTRITAL RAMON CARRILLO - FAMATINA</v>
      </c>
      <c r="C1216" s="30" t="str">
        <f ca="1">IFERROR(__xludf.DUMMYFUNCTION("""COMPUTED_VALUE"""),"La Rioja")</f>
        <v>La Rioja</v>
      </c>
      <c r="D1216" s="30" t="str">
        <f ca="1">IFERROR(__xludf.DUMMYFUNCTION("""COMPUTED_VALUE"""),"46")</f>
        <v>46</v>
      </c>
      <c r="E1216" s="30" t="str">
        <f ca="1">IFERROR(__xludf.DUMMYFUNCTION("""COMPUTED_VALUE"""),"")</f>
        <v/>
      </c>
      <c r="F1216" s="29"/>
      <c r="G1216" s="29"/>
      <c r="H1216" s="30" t="str">
        <f ca="1">IFERROR(__xludf.DUMMYFUNCTION("""COMPUTED_VALUE"""),"activo")</f>
        <v>activo</v>
      </c>
      <c r="I1216" s="29"/>
      <c r="J1216" s="29"/>
      <c r="K1216" s="29"/>
      <c r="L1216" s="30" t="str">
        <f ca="1">IFERROR(__xludf.DUMMYFUNCTION("""COMPUTED_VALUE"""),"No")</f>
        <v>No</v>
      </c>
      <c r="M1216" s="30" t="str">
        <f ca="1">IFERROR(__xludf.DUMMYFUNCTION("""COMPUTED_VALUE"""),"46049070000")</f>
        <v>46049070000</v>
      </c>
      <c r="N1216" s="30" t="str">
        <f ca="1">IFERROR(__xludf.DUMMYFUNCTION("""COMPUTED_VALUE"""),"FAMATINA")</f>
        <v>FAMATINA</v>
      </c>
      <c r="O1216" s="30" t="str">
        <f ca="1">IFERROR(__xludf.DUMMYFUNCTION("""COMPUTED_VALUE"""),"4649")</f>
        <v>4649</v>
      </c>
      <c r="P1216" s="30" t="str">
        <f ca="1">IFERROR(__xludf.DUMMYFUNCTION("""COMPUTED_VALUE"""),"FAMATINA")</f>
        <v>FAMATINA</v>
      </c>
      <c r="Q1216" s="30" t="str">
        <f ca="1">IFERROR(__xludf.DUMMYFUNCTION("""COMPUTED_VALUE"""),"-28.9217")</f>
        <v>-28.9217</v>
      </c>
      <c r="R1216" s="30" t="str">
        <f ca="1">IFERROR(__xludf.DUMMYFUNCTION("""COMPUTED_VALUE"""),"-67.520799")</f>
        <v>-67.520799</v>
      </c>
      <c r="S1216" s="30" t="str">
        <f ca="1">IFERROR(__xludf.DUMMYFUNCTION("""COMPUTED_VALUE"""),"Provincial")</f>
        <v>Provincial</v>
      </c>
      <c r="T1216" s="30" t="str">
        <f ca="1">IFERROR(__xludf.DUMMYFUNCTION("""COMPUTED_VALUE"""),"-")</f>
        <v>-</v>
      </c>
    </row>
    <row r="1217" spans="1:20" ht="15.75" customHeight="1" x14ac:dyDescent="0.25">
      <c r="A1217" s="30" t="str">
        <f ca="1">IFERROR(__xludf.DUMMYFUNCTION("""COMPUTED_VALUE"""),"10460702155011")</f>
        <v>10460702155011</v>
      </c>
      <c r="B1217" s="30" t="str">
        <f ca="1">IFERROR(__xludf.DUMMYFUNCTION("""COMPUTED_VALUE"""),"HOSPITAL DISTRITAL GREGORIO CHAVEZ - MALANZAN")</f>
        <v>HOSPITAL DISTRITAL GREGORIO CHAVEZ - MALANZAN</v>
      </c>
      <c r="C1217" s="30" t="str">
        <f ca="1">IFERROR(__xludf.DUMMYFUNCTION("""COMPUTED_VALUE"""),"La Rioja")</f>
        <v>La Rioja</v>
      </c>
      <c r="D1217" s="30" t="str">
        <f ca="1">IFERROR(__xludf.DUMMYFUNCTION("""COMPUTED_VALUE"""),"46")</f>
        <v>46</v>
      </c>
      <c r="E1217" s="30" t="str">
        <f ca="1">IFERROR(__xludf.DUMMYFUNCTION("""COMPUTED_VALUE"""),"")</f>
        <v/>
      </c>
      <c r="F1217" s="29"/>
      <c r="G1217" s="29"/>
      <c r="H1217" s="30" t="str">
        <f ca="1">IFERROR(__xludf.DUMMYFUNCTION("""COMPUTED_VALUE"""),"activo")</f>
        <v>activo</v>
      </c>
      <c r="I1217" s="29"/>
      <c r="J1217" s="29"/>
      <c r="K1217" s="29"/>
      <c r="L1217" s="30" t="str">
        <f ca="1">IFERROR(__xludf.DUMMYFUNCTION("""COMPUTED_VALUE"""),"No")</f>
        <v>No</v>
      </c>
      <c r="M1217" s="30" t="str">
        <f ca="1">IFERROR(__xludf.DUMMYFUNCTION("""COMPUTED_VALUE"""),"46070010000")</f>
        <v>46070010000</v>
      </c>
      <c r="N1217" s="30" t="str">
        <f ca="1">IFERROR(__xludf.DUMMYFUNCTION("""COMPUTED_VALUE"""),"MALANZAN")</f>
        <v>MALANZAN</v>
      </c>
      <c r="O1217" s="30" t="str">
        <f ca="1">IFERROR(__xludf.DUMMYFUNCTION("""COMPUTED_VALUE"""),"4670")</f>
        <v>4670</v>
      </c>
      <c r="P1217" s="30" t="str">
        <f ca="1">IFERROR(__xludf.DUMMYFUNCTION("""COMPUTED_VALUE"""),"GENERAL JUAN F. QUIROGA")</f>
        <v>GENERAL JUAN F. QUIROGA</v>
      </c>
      <c r="Q1217" s="30" t="str">
        <f ca="1">IFERROR(__xludf.DUMMYFUNCTION("""COMPUTED_VALUE"""),"-30.80554")</f>
        <v>-30.80554</v>
      </c>
      <c r="R1217" s="30" t="str">
        <f ca="1">IFERROR(__xludf.DUMMYFUNCTION("""COMPUTED_VALUE"""),"-66.60111")</f>
        <v>-66.60111</v>
      </c>
      <c r="S1217" s="30" t="str">
        <f ca="1">IFERROR(__xludf.DUMMYFUNCTION("""COMPUTED_VALUE"""),"Provincial")</f>
        <v>Provincial</v>
      </c>
      <c r="T1217" s="30" t="str">
        <f ca="1">IFERROR(__xludf.DUMMYFUNCTION("""COMPUTED_VALUE"""),"-")</f>
        <v>-</v>
      </c>
    </row>
    <row r="1218" spans="1:20" ht="15.75" customHeight="1" x14ac:dyDescent="0.25">
      <c r="A1218" s="30" t="str">
        <f ca="1">IFERROR(__xludf.DUMMYFUNCTION("""COMPUTED_VALUE"""),"10460772155021")</f>
        <v>10460772155021</v>
      </c>
      <c r="B1218" s="30" t="str">
        <f ca="1">IFERROR(__xludf.DUMMYFUNCTION("""COMPUTED_VALUE"""),"HOSPITAL DISTRITAL VILLA CASTELLI")</f>
        <v>HOSPITAL DISTRITAL VILLA CASTELLI</v>
      </c>
      <c r="C1218" s="30" t="str">
        <f ca="1">IFERROR(__xludf.DUMMYFUNCTION("""COMPUTED_VALUE"""),"La Rioja")</f>
        <v>La Rioja</v>
      </c>
      <c r="D1218" s="30" t="str">
        <f ca="1">IFERROR(__xludf.DUMMYFUNCTION("""COMPUTED_VALUE"""),"46")</f>
        <v>46</v>
      </c>
      <c r="E1218" s="30" t="str">
        <f ca="1">IFERROR(__xludf.DUMMYFUNCTION("""COMPUTED_VALUE"""),"")</f>
        <v/>
      </c>
      <c r="F1218" s="29"/>
      <c r="G1218" s="29"/>
      <c r="H1218" s="30" t="str">
        <f ca="1">IFERROR(__xludf.DUMMYFUNCTION("""COMPUTED_VALUE"""),"activo")</f>
        <v>activo</v>
      </c>
      <c r="I1218" s="29"/>
      <c r="J1218" s="29"/>
      <c r="K1218" s="29"/>
      <c r="L1218" s="30" t="str">
        <f ca="1">IFERROR(__xludf.DUMMYFUNCTION("""COMPUTED_VALUE"""),"No")</f>
        <v>No</v>
      </c>
      <c r="M1218" s="30" t="str">
        <f ca="1">IFERROR(__xludf.DUMMYFUNCTION("""COMPUTED_VALUE"""),"46077010000")</f>
        <v>46077010000</v>
      </c>
      <c r="N1218" s="30" t="str">
        <f ca="1">IFERROR(__xludf.DUMMYFUNCTION("""COMPUTED_VALUE"""),"VILLA CASTELLI")</f>
        <v>VILLA CASTELLI</v>
      </c>
      <c r="O1218" s="30" t="str">
        <f ca="1">IFERROR(__xludf.DUMMYFUNCTION("""COMPUTED_VALUE"""),"4677")</f>
        <v>4677</v>
      </c>
      <c r="P1218" s="30" t="str">
        <f ca="1">IFERROR(__xludf.DUMMYFUNCTION("""COMPUTED_VALUE"""),"GENERAL LAMADRID")</f>
        <v>GENERAL LAMADRID</v>
      </c>
      <c r="Q1218" s="30" t="str">
        <f ca="1">IFERROR(__xludf.DUMMYFUNCTION("""COMPUTED_VALUE"""),"-29.0127")</f>
        <v>-29.0127</v>
      </c>
      <c r="R1218" s="30" t="str">
        <f ca="1">IFERROR(__xludf.DUMMYFUNCTION("""COMPUTED_VALUE"""),"-68.22581")</f>
        <v>-68.22581</v>
      </c>
      <c r="S1218" s="30" t="str">
        <f ca="1">IFERROR(__xludf.DUMMYFUNCTION("""COMPUTED_VALUE"""),"Provincial")</f>
        <v>Provincial</v>
      </c>
      <c r="T1218" s="30" t="str">
        <f ca="1">IFERROR(__xludf.DUMMYFUNCTION("""COMPUTED_VALUE"""),"-")</f>
        <v>-</v>
      </c>
    </row>
    <row r="1219" spans="1:20" ht="15.75" customHeight="1" x14ac:dyDescent="0.25">
      <c r="A1219" s="30" t="str">
        <f ca="1">IFERROR(__xludf.DUMMYFUNCTION("""COMPUTED_VALUE"""),"10460842155019")</f>
        <v>10460842155019</v>
      </c>
      <c r="B1219" s="30" t="str">
        <f ca="1">IFERROR(__xludf.DUMMYFUNCTION("""COMPUTED_VALUE"""),"HOSPITAL DISTRITAL SANTA RITA DE CATUNA")</f>
        <v>HOSPITAL DISTRITAL SANTA RITA DE CATUNA</v>
      </c>
      <c r="C1219" s="30" t="str">
        <f ca="1">IFERROR(__xludf.DUMMYFUNCTION("""COMPUTED_VALUE"""),"La Rioja")</f>
        <v>La Rioja</v>
      </c>
      <c r="D1219" s="30" t="str">
        <f ca="1">IFERROR(__xludf.DUMMYFUNCTION("""COMPUTED_VALUE"""),"46")</f>
        <v>46</v>
      </c>
      <c r="E1219" s="30" t="str">
        <f ca="1">IFERROR(__xludf.DUMMYFUNCTION("""COMPUTED_VALUE"""),"")</f>
        <v/>
      </c>
      <c r="F1219" s="29"/>
      <c r="G1219" s="29"/>
      <c r="H1219" s="30" t="str">
        <f ca="1">IFERROR(__xludf.DUMMYFUNCTION("""COMPUTED_VALUE"""),"activo")</f>
        <v>activo</v>
      </c>
      <c r="I1219" s="29"/>
      <c r="J1219" s="29"/>
      <c r="K1219" s="29"/>
      <c r="L1219" s="30" t="str">
        <f ca="1">IFERROR(__xludf.DUMMYFUNCTION("""COMPUTED_VALUE"""),"No")</f>
        <v>No</v>
      </c>
      <c r="M1219" s="30" t="str">
        <f ca="1">IFERROR(__xludf.DUMMYFUNCTION("""COMPUTED_VALUE"""),"46084050000")</f>
        <v>46084050000</v>
      </c>
      <c r="N1219" s="30" t="str">
        <f ca="1">IFERROR(__xludf.DUMMYFUNCTION("""COMPUTED_VALUE"""),"SANTA RITA DE CATUNA")</f>
        <v>SANTA RITA DE CATUNA</v>
      </c>
      <c r="O1219" s="30" t="str">
        <f ca="1">IFERROR(__xludf.DUMMYFUNCTION("""COMPUTED_VALUE"""),"4684")</f>
        <v>4684</v>
      </c>
      <c r="P1219" s="30" t="str">
        <f ca="1">IFERROR(__xludf.DUMMYFUNCTION("""COMPUTED_VALUE"""),"GENERAL OCAMPO")</f>
        <v>GENERAL OCAMPO</v>
      </c>
      <c r="Q1219" s="30" t="str">
        <f ca="1">IFERROR(__xludf.DUMMYFUNCTION("""COMPUTED_VALUE"""),"-30.949392")</f>
        <v>-30.949392</v>
      </c>
      <c r="R1219" s="30" t="str">
        <f ca="1">IFERROR(__xludf.DUMMYFUNCTION("""COMPUTED_VALUE"""),"-66.220886")</f>
        <v>-66.220886</v>
      </c>
      <c r="S1219" s="30" t="str">
        <f ca="1">IFERROR(__xludf.DUMMYFUNCTION("""COMPUTED_VALUE"""),"Provincial")</f>
        <v>Provincial</v>
      </c>
      <c r="T1219" s="30" t="str">
        <f ca="1">IFERROR(__xludf.DUMMYFUNCTION("""COMPUTED_VALUE"""),"-")</f>
        <v>-</v>
      </c>
    </row>
    <row r="1220" spans="1:20" ht="15.75" customHeight="1" x14ac:dyDescent="0.25">
      <c r="A1220" s="30" t="str">
        <f ca="1">IFERROR(__xludf.DUMMYFUNCTION("""COMPUTED_VALUE"""),"10460842155020")</f>
        <v>10460842155020</v>
      </c>
      <c r="B1220" s="30" t="str">
        <f ca="1">IFERROR(__xludf.DUMMYFUNCTION("""COMPUTED_VALUE"""),"HOSPITAL DISTRITAL SEGUNDO B. ROMERO - MILAGRO")</f>
        <v>HOSPITAL DISTRITAL SEGUNDO B. ROMERO - MILAGRO</v>
      </c>
      <c r="C1220" s="30" t="str">
        <f ca="1">IFERROR(__xludf.DUMMYFUNCTION("""COMPUTED_VALUE"""),"La Rioja")</f>
        <v>La Rioja</v>
      </c>
      <c r="D1220" s="30" t="str">
        <f ca="1">IFERROR(__xludf.DUMMYFUNCTION("""COMPUTED_VALUE"""),"46")</f>
        <v>46</v>
      </c>
      <c r="E1220" s="30" t="str">
        <f ca="1">IFERROR(__xludf.DUMMYFUNCTION("""COMPUTED_VALUE"""),"")</f>
        <v/>
      </c>
      <c r="F1220" s="29"/>
      <c r="G1220" s="29"/>
      <c r="H1220" s="30" t="str">
        <f ca="1">IFERROR(__xludf.DUMMYFUNCTION("""COMPUTED_VALUE"""),"activo")</f>
        <v>activo</v>
      </c>
      <c r="I1220" s="29"/>
      <c r="J1220" s="29"/>
      <c r="K1220" s="29"/>
      <c r="L1220" s="30" t="str">
        <f ca="1">IFERROR(__xludf.DUMMYFUNCTION("""COMPUTED_VALUE"""),"No")</f>
        <v>No</v>
      </c>
      <c r="M1220" s="30" t="str">
        <f ca="1">IFERROR(__xludf.DUMMYFUNCTION("""COMPUTED_VALUE"""),"46084030000")</f>
        <v>46084030000</v>
      </c>
      <c r="N1220" s="30" t="str">
        <f ca="1">IFERROR(__xludf.DUMMYFUNCTION("""COMPUTED_VALUE"""),"MILAGRO")</f>
        <v>MILAGRO</v>
      </c>
      <c r="O1220" s="30" t="str">
        <f ca="1">IFERROR(__xludf.DUMMYFUNCTION("""COMPUTED_VALUE"""),"4684")</f>
        <v>4684</v>
      </c>
      <c r="P1220" s="30" t="str">
        <f ca="1">IFERROR(__xludf.DUMMYFUNCTION("""COMPUTED_VALUE"""),"GENERAL OCAMPO")</f>
        <v>GENERAL OCAMPO</v>
      </c>
      <c r="Q1220" s="30" t="str">
        <f ca="1">IFERROR(__xludf.DUMMYFUNCTION("""COMPUTED_VALUE"""),"-31.0068")</f>
        <v>-31.0068</v>
      </c>
      <c r="R1220" s="30" t="str">
        <f ca="1">IFERROR(__xludf.DUMMYFUNCTION("""COMPUTED_VALUE"""),"-66.0015")</f>
        <v>-66.0015</v>
      </c>
      <c r="S1220" s="30" t="str">
        <f ca="1">IFERROR(__xludf.DUMMYFUNCTION("""COMPUTED_VALUE"""),"Provincial")</f>
        <v>Provincial</v>
      </c>
      <c r="T1220" s="30" t="str">
        <f ca="1">IFERROR(__xludf.DUMMYFUNCTION("""COMPUTED_VALUE"""),"-")</f>
        <v>-</v>
      </c>
    </row>
    <row r="1221" spans="1:20" ht="15.75" customHeight="1" x14ac:dyDescent="0.25">
      <c r="A1221" s="30" t="str">
        <f ca="1">IFERROR(__xludf.DUMMYFUNCTION("""COMPUTED_VALUE"""),"10460912155007")</f>
        <v>10460912155007</v>
      </c>
      <c r="B1221" s="30" t="str">
        <f ca="1">IFERROR(__xludf.DUMMYFUNCTION("""COMPUTED_VALUE"""),"HOSPITAL DISTRITAL DR. DIEGO CATALAN - ULAPES")</f>
        <v>HOSPITAL DISTRITAL DR. DIEGO CATALAN - ULAPES</v>
      </c>
      <c r="C1221" s="30" t="str">
        <f ca="1">IFERROR(__xludf.DUMMYFUNCTION("""COMPUTED_VALUE"""),"La Rioja")</f>
        <v>La Rioja</v>
      </c>
      <c r="D1221" s="30" t="str">
        <f ca="1">IFERROR(__xludf.DUMMYFUNCTION("""COMPUTED_VALUE"""),"46")</f>
        <v>46</v>
      </c>
      <c r="E1221" s="30" t="str">
        <f ca="1">IFERROR(__xludf.DUMMYFUNCTION("""COMPUTED_VALUE"""),"")</f>
        <v/>
      </c>
      <c r="F1221" s="29"/>
      <c r="G1221" s="29"/>
      <c r="H1221" s="30" t="str">
        <f ca="1">IFERROR(__xludf.DUMMYFUNCTION("""COMPUTED_VALUE"""),"activo")</f>
        <v>activo</v>
      </c>
      <c r="I1221" s="29"/>
      <c r="J1221" s="29"/>
      <c r="K1221" s="29"/>
      <c r="L1221" s="30" t="str">
        <f ca="1">IFERROR(__xludf.DUMMYFUNCTION("""COMPUTED_VALUE"""),"No")</f>
        <v>No</v>
      </c>
      <c r="M1221" s="30" t="str">
        <f ca="1">IFERROR(__xludf.DUMMYFUNCTION("""COMPUTED_VALUE"""),"46091010000")</f>
        <v>46091010000</v>
      </c>
      <c r="N1221" s="30" t="str">
        <f ca="1">IFERROR(__xludf.DUMMYFUNCTION("""COMPUTED_VALUE"""),"ULAPES")</f>
        <v>ULAPES</v>
      </c>
      <c r="O1221" s="30" t="str">
        <f ca="1">IFERROR(__xludf.DUMMYFUNCTION("""COMPUTED_VALUE"""),"4691")</f>
        <v>4691</v>
      </c>
      <c r="P1221" s="30" t="str">
        <f ca="1">IFERROR(__xludf.DUMMYFUNCTION("""COMPUTED_VALUE"""),"GENERAL SAN MARTÍN")</f>
        <v>GENERAL SAN MARTÍN</v>
      </c>
      <c r="Q1221" s="30" t="str">
        <f ca="1">IFERROR(__xludf.DUMMYFUNCTION("""COMPUTED_VALUE"""),"-31.57177")</f>
        <v>-31.57177</v>
      </c>
      <c r="R1221" s="30" t="str">
        <f ca="1">IFERROR(__xludf.DUMMYFUNCTION("""COMPUTED_VALUE"""),"-66.23334")</f>
        <v>-66.23334</v>
      </c>
      <c r="S1221" s="30" t="str">
        <f ca="1">IFERROR(__xludf.DUMMYFUNCTION("""COMPUTED_VALUE"""),"Provincial")</f>
        <v>Provincial</v>
      </c>
      <c r="T1221" s="30" t="str">
        <f ca="1">IFERROR(__xludf.DUMMYFUNCTION("""COMPUTED_VALUE"""),"-")</f>
        <v>-</v>
      </c>
    </row>
    <row r="1222" spans="1:20" ht="15.75" customHeight="1" x14ac:dyDescent="0.25">
      <c r="A1222" s="30" t="str">
        <f ca="1">IFERROR(__xludf.DUMMYFUNCTION("""COMPUTED_VALUE"""),"50460142155060")</f>
        <v>50460142155060</v>
      </c>
      <c r="B1222" s="30" t="str">
        <f ca="1">IFERROR(__xludf.DUMMYFUNCTION("""COMPUTED_VALUE"""),"ANTARTIDA ARGENTINA")</f>
        <v>ANTARTIDA ARGENTINA</v>
      </c>
      <c r="C1222" s="30" t="str">
        <f ca="1">IFERROR(__xludf.DUMMYFUNCTION("""COMPUTED_VALUE"""),"La Rioja")</f>
        <v>La Rioja</v>
      </c>
      <c r="D1222" s="30" t="str">
        <f ca="1">IFERROR(__xludf.DUMMYFUNCTION("""COMPUTED_VALUE"""),"46")</f>
        <v>46</v>
      </c>
      <c r="E1222" s="30" t="str">
        <f ca="1">IFERROR(__xludf.DUMMYFUNCTION("""COMPUTED_VALUE"""),"")</f>
        <v/>
      </c>
      <c r="F1222" s="29"/>
      <c r="G1222" s="29"/>
      <c r="H1222" s="30" t="str">
        <f ca="1">IFERROR(__xludf.DUMMYFUNCTION("""COMPUTED_VALUE"""),"activo")</f>
        <v>activo</v>
      </c>
      <c r="I1222" s="29"/>
      <c r="J1222" s="29"/>
      <c r="K1222" s="29"/>
      <c r="L1222" s="30" t="str">
        <f ca="1">IFERROR(__xludf.DUMMYFUNCTION("""COMPUTED_VALUE"""),"No")</f>
        <v>No</v>
      </c>
      <c r="M1222" s="30" t="str">
        <f ca="1">IFERROR(__xludf.DUMMYFUNCTION("""COMPUTED_VALUE"""),"46014010000")</f>
        <v>46014010000</v>
      </c>
      <c r="N1222" s="30" t="str">
        <f ca="1">IFERROR(__xludf.DUMMYFUNCTION("""COMPUTED_VALUE"""),"LA RIOJA")</f>
        <v>LA RIOJA</v>
      </c>
      <c r="O1222" s="30" t="str">
        <f ca="1">IFERROR(__xludf.DUMMYFUNCTION("""COMPUTED_VALUE"""),"4614")</f>
        <v>4614</v>
      </c>
      <c r="P1222" s="30" t="str">
        <f ca="1">IFERROR(__xludf.DUMMYFUNCTION("""COMPUTED_VALUE"""),"CAPITAL")</f>
        <v>CAPITAL</v>
      </c>
      <c r="Q1222" s="30" t="str">
        <f ca="1">IFERROR(__xludf.DUMMYFUNCTION("""COMPUTED_VALUE"""),"-29.39436511")</f>
        <v>-29.39436511</v>
      </c>
      <c r="R1222" s="30" t="str">
        <f ca="1">IFERROR(__xludf.DUMMYFUNCTION("""COMPUTED_VALUE"""),"-66.82985544")</f>
        <v>-66.82985544</v>
      </c>
      <c r="S1222" s="30" t="str">
        <f ca="1">IFERROR(__xludf.DUMMYFUNCTION("""COMPUTED_VALUE"""),"Provincial")</f>
        <v>Provincial</v>
      </c>
      <c r="T1222" s="30" t="str">
        <f ca="1">IFERROR(__xludf.DUMMYFUNCTION("""COMPUTED_VALUE"""),"-")</f>
        <v>-</v>
      </c>
    </row>
    <row r="1223" spans="1:20" ht="15.75" customHeight="1" x14ac:dyDescent="0.25">
      <c r="A1223" s="30" t="str">
        <f ca="1">IFERROR(__xludf.DUMMYFUNCTION("""COMPUTED_VALUE"""),"50460142155071")</f>
        <v>50460142155071</v>
      </c>
      <c r="B1223" s="30" t="str">
        <f ca="1">IFERROR(__xludf.DUMMYFUNCTION("""COMPUTED_VALUE"""),"CAPS BENJAMIN RINCON")</f>
        <v>CAPS BENJAMIN RINCON</v>
      </c>
      <c r="C1223" s="30" t="str">
        <f ca="1">IFERROR(__xludf.DUMMYFUNCTION("""COMPUTED_VALUE"""),"La Rioja")</f>
        <v>La Rioja</v>
      </c>
      <c r="D1223" s="30" t="str">
        <f ca="1">IFERROR(__xludf.DUMMYFUNCTION("""COMPUTED_VALUE"""),"46")</f>
        <v>46</v>
      </c>
      <c r="E1223" s="30" t="str">
        <f ca="1">IFERROR(__xludf.DUMMYFUNCTION("""COMPUTED_VALUE"""),"")</f>
        <v/>
      </c>
      <c r="F1223" s="29"/>
      <c r="G1223" s="29"/>
      <c r="H1223" s="30" t="str">
        <f ca="1">IFERROR(__xludf.DUMMYFUNCTION("""COMPUTED_VALUE"""),"activo")</f>
        <v>activo</v>
      </c>
      <c r="I1223" s="29"/>
      <c r="J1223" s="29"/>
      <c r="K1223" s="29"/>
      <c r="L1223" s="30" t="str">
        <f ca="1">IFERROR(__xludf.DUMMYFUNCTION("""COMPUTED_VALUE"""),"No")</f>
        <v>No</v>
      </c>
      <c r="M1223" s="30" t="str">
        <f ca="1">IFERROR(__xludf.DUMMYFUNCTION("""COMPUTED_VALUE"""),"46014010000")</f>
        <v>46014010000</v>
      </c>
      <c r="N1223" s="30" t="str">
        <f ca="1">IFERROR(__xludf.DUMMYFUNCTION("""COMPUTED_VALUE"""),"LA RIOJA")</f>
        <v>LA RIOJA</v>
      </c>
      <c r="O1223" s="30" t="str">
        <f ca="1">IFERROR(__xludf.DUMMYFUNCTION("""COMPUTED_VALUE"""),"4614")</f>
        <v>4614</v>
      </c>
      <c r="P1223" s="30" t="str">
        <f ca="1">IFERROR(__xludf.DUMMYFUNCTION("""COMPUTED_VALUE"""),"CAPITAL")</f>
        <v>CAPITAL</v>
      </c>
      <c r="Q1223" s="30" t="str">
        <f ca="1">IFERROR(__xludf.DUMMYFUNCTION("""COMPUTED_VALUE"""),"-29.429313")</f>
        <v>-29.429313</v>
      </c>
      <c r="R1223" s="30" t="str">
        <f ca="1">IFERROR(__xludf.DUMMYFUNCTION("""COMPUTED_VALUE"""),"-66.8453")</f>
        <v>-66.8453</v>
      </c>
      <c r="S1223" s="30" t="str">
        <f ca="1">IFERROR(__xludf.DUMMYFUNCTION("""COMPUTED_VALUE"""),"Provincial")</f>
        <v>Provincial</v>
      </c>
      <c r="T1223" s="30" t="str">
        <f ca="1">IFERROR(__xludf.DUMMYFUNCTION("""COMPUTED_VALUE"""),"-")</f>
        <v>-</v>
      </c>
    </row>
    <row r="1224" spans="1:20" ht="15.75" customHeight="1" x14ac:dyDescent="0.25">
      <c r="A1224" s="30" t="str">
        <f ca="1">IFERROR(__xludf.DUMMYFUNCTION("""COMPUTED_VALUE"""),"50460142155090")</f>
        <v>50460142155090</v>
      </c>
      <c r="B1224" s="30" t="str">
        <f ca="1">IFERROR(__xludf.DUMMYFUNCTION("""COMPUTED_VALUE"""),"CAPS ISLAS MALVINAS")</f>
        <v>CAPS ISLAS MALVINAS</v>
      </c>
      <c r="C1224" s="30" t="str">
        <f ca="1">IFERROR(__xludf.DUMMYFUNCTION("""COMPUTED_VALUE"""),"La Rioja")</f>
        <v>La Rioja</v>
      </c>
      <c r="D1224" s="30" t="str">
        <f ca="1">IFERROR(__xludf.DUMMYFUNCTION("""COMPUTED_VALUE"""),"46")</f>
        <v>46</v>
      </c>
      <c r="E1224" s="30" t="str">
        <f ca="1">IFERROR(__xludf.DUMMYFUNCTION("""COMPUTED_VALUE"""),"")</f>
        <v/>
      </c>
      <c r="F1224" s="29"/>
      <c r="G1224" s="29"/>
      <c r="H1224" s="30" t="str">
        <f ca="1">IFERROR(__xludf.DUMMYFUNCTION("""COMPUTED_VALUE"""),"activo")</f>
        <v>activo</v>
      </c>
      <c r="I1224" s="29"/>
      <c r="J1224" s="29"/>
      <c r="K1224" s="29"/>
      <c r="L1224" s="30" t="str">
        <f ca="1">IFERROR(__xludf.DUMMYFUNCTION("""COMPUTED_VALUE"""),"No")</f>
        <v>No</v>
      </c>
      <c r="M1224" s="30" t="str">
        <f ca="1">IFERROR(__xludf.DUMMYFUNCTION("""COMPUTED_VALUE"""),"46014010000")</f>
        <v>46014010000</v>
      </c>
      <c r="N1224" s="30" t="str">
        <f ca="1">IFERROR(__xludf.DUMMYFUNCTION("""COMPUTED_VALUE"""),"LA RIOJA")</f>
        <v>LA RIOJA</v>
      </c>
      <c r="O1224" s="30" t="str">
        <f ca="1">IFERROR(__xludf.DUMMYFUNCTION("""COMPUTED_VALUE"""),"4614")</f>
        <v>4614</v>
      </c>
      <c r="P1224" s="30" t="str">
        <f ca="1">IFERROR(__xludf.DUMMYFUNCTION("""COMPUTED_VALUE"""),"CAPITAL")</f>
        <v>CAPITAL</v>
      </c>
      <c r="Q1224" s="30" t="str">
        <f ca="1">IFERROR(__xludf.DUMMYFUNCTION("""COMPUTED_VALUE"""),"-29.421757")</f>
        <v>-29.421757</v>
      </c>
      <c r="R1224" s="30" t="str">
        <f ca="1">IFERROR(__xludf.DUMMYFUNCTION("""COMPUTED_VALUE"""),"-66.8414")</f>
        <v>-66.8414</v>
      </c>
      <c r="S1224" s="30" t="str">
        <f ca="1">IFERROR(__xludf.DUMMYFUNCTION("""COMPUTED_VALUE"""),"Provincial")</f>
        <v>Provincial</v>
      </c>
      <c r="T1224" s="30" t="str">
        <f ca="1">IFERROR(__xludf.DUMMYFUNCTION("""COMPUTED_VALUE"""),"-")</f>
        <v>-</v>
      </c>
    </row>
    <row r="1225" spans="1:20" ht="15.75" customHeight="1" x14ac:dyDescent="0.25">
      <c r="A1225" s="30" t="str">
        <f ca="1">IFERROR(__xludf.DUMMYFUNCTION("""COMPUTED_VALUE"""),"50460142155091")</f>
        <v>50460142155091</v>
      </c>
      <c r="B1225" s="30" t="str">
        <f ca="1">IFERROR(__xludf.DUMMYFUNCTION("""COMPUTED_VALUE"""),"CAPS JARDIN RESIDENCIAL")</f>
        <v>CAPS JARDIN RESIDENCIAL</v>
      </c>
      <c r="C1225" s="30" t="str">
        <f ca="1">IFERROR(__xludf.DUMMYFUNCTION("""COMPUTED_VALUE"""),"La Rioja")</f>
        <v>La Rioja</v>
      </c>
      <c r="D1225" s="30" t="str">
        <f ca="1">IFERROR(__xludf.DUMMYFUNCTION("""COMPUTED_VALUE"""),"46")</f>
        <v>46</v>
      </c>
      <c r="E1225" s="30" t="str">
        <f ca="1">IFERROR(__xludf.DUMMYFUNCTION("""COMPUTED_VALUE"""),"")</f>
        <v/>
      </c>
      <c r="F1225" s="29"/>
      <c r="G1225" s="29"/>
      <c r="H1225" s="30" t="str">
        <f ca="1">IFERROR(__xludf.DUMMYFUNCTION("""COMPUTED_VALUE"""),"activo")</f>
        <v>activo</v>
      </c>
      <c r="I1225" s="29"/>
      <c r="J1225" s="29"/>
      <c r="K1225" s="29"/>
      <c r="L1225" s="30" t="str">
        <f ca="1">IFERROR(__xludf.DUMMYFUNCTION("""COMPUTED_VALUE"""),"No")</f>
        <v>No</v>
      </c>
      <c r="M1225" s="30" t="str">
        <f ca="1">IFERROR(__xludf.DUMMYFUNCTION("""COMPUTED_VALUE"""),"46014010000")</f>
        <v>46014010000</v>
      </c>
      <c r="N1225" s="30" t="str">
        <f ca="1">IFERROR(__xludf.DUMMYFUNCTION("""COMPUTED_VALUE"""),"LA RIOJA")</f>
        <v>LA RIOJA</v>
      </c>
      <c r="O1225" s="30" t="str">
        <f ca="1">IFERROR(__xludf.DUMMYFUNCTION("""COMPUTED_VALUE"""),"4614")</f>
        <v>4614</v>
      </c>
      <c r="P1225" s="30" t="str">
        <f ca="1">IFERROR(__xludf.DUMMYFUNCTION("""COMPUTED_VALUE"""),"CAPITAL")</f>
        <v>CAPITAL</v>
      </c>
      <c r="Q1225" s="30" t="str">
        <f ca="1">IFERROR(__xludf.DUMMYFUNCTION("""COMPUTED_VALUE"""),"-29.405335")</f>
        <v>-29.405335</v>
      </c>
      <c r="R1225" s="30" t="str">
        <f ca="1">IFERROR(__xludf.DUMMYFUNCTION("""COMPUTED_VALUE"""),"-66.839985")</f>
        <v>-66.839985</v>
      </c>
      <c r="S1225" s="30" t="str">
        <f ca="1">IFERROR(__xludf.DUMMYFUNCTION("""COMPUTED_VALUE"""),"Provincial")</f>
        <v>Provincial</v>
      </c>
      <c r="T1225" s="30" t="str">
        <f ca="1">IFERROR(__xludf.DUMMYFUNCTION("""COMPUTED_VALUE"""),"-")</f>
        <v>-</v>
      </c>
    </row>
    <row r="1226" spans="1:20" ht="15.75" customHeight="1" x14ac:dyDescent="0.25">
      <c r="A1226" s="30" t="str">
        <f ca="1">IFERROR(__xludf.DUMMYFUNCTION("""COMPUTED_VALUE"""),"50460142155099")</f>
        <v>50460142155099</v>
      </c>
      <c r="B1226" s="30" t="str">
        <f ca="1">IFERROR(__xludf.DUMMYFUNCTION("""COMPUTED_VALUE"""),"CAPS EL LIBERTADOR")</f>
        <v>CAPS EL LIBERTADOR</v>
      </c>
      <c r="C1226" s="30" t="str">
        <f ca="1">IFERROR(__xludf.DUMMYFUNCTION("""COMPUTED_VALUE"""),"La Rioja")</f>
        <v>La Rioja</v>
      </c>
      <c r="D1226" s="30" t="str">
        <f ca="1">IFERROR(__xludf.DUMMYFUNCTION("""COMPUTED_VALUE"""),"46")</f>
        <v>46</v>
      </c>
      <c r="E1226" s="30" t="str">
        <f ca="1">IFERROR(__xludf.DUMMYFUNCTION("""COMPUTED_VALUE"""),"")</f>
        <v/>
      </c>
      <c r="F1226" s="29"/>
      <c r="G1226" s="29"/>
      <c r="H1226" s="30" t="str">
        <f ca="1">IFERROR(__xludf.DUMMYFUNCTION("""COMPUTED_VALUE"""),"activo")</f>
        <v>activo</v>
      </c>
      <c r="I1226" s="29"/>
      <c r="J1226" s="29"/>
      <c r="K1226" s="29"/>
      <c r="L1226" s="30" t="str">
        <f ca="1">IFERROR(__xludf.DUMMYFUNCTION("""COMPUTED_VALUE"""),"No")</f>
        <v>No</v>
      </c>
      <c r="M1226" s="30" t="str">
        <f ca="1">IFERROR(__xludf.DUMMYFUNCTION("""COMPUTED_VALUE"""),"46014010000")</f>
        <v>46014010000</v>
      </c>
      <c r="N1226" s="30" t="str">
        <f ca="1">IFERROR(__xludf.DUMMYFUNCTION("""COMPUTED_VALUE"""),"LA RIOJA")</f>
        <v>LA RIOJA</v>
      </c>
      <c r="O1226" s="30" t="str">
        <f ca="1">IFERROR(__xludf.DUMMYFUNCTION("""COMPUTED_VALUE"""),"4614")</f>
        <v>4614</v>
      </c>
      <c r="P1226" s="30" t="str">
        <f ca="1">IFERROR(__xludf.DUMMYFUNCTION("""COMPUTED_VALUE"""),"CAPITAL")</f>
        <v>CAPITAL</v>
      </c>
      <c r="Q1226" s="30" t="str">
        <f ca="1">IFERROR(__xludf.DUMMYFUNCTION("""COMPUTED_VALUE"""),"-29.413458")</f>
        <v>-29.413458</v>
      </c>
      <c r="R1226" s="30" t="str">
        <f ca="1">IFERROR(__xludf.DUMMYFUNCTION("""COMPUTED_VALUE"""),"-66.896848")</f>
        <v>-66.896848</v>
      </c>
      <c r="S1226" s="30" t="str">
        <f ca="1">IFERROR(__xludf.DUMMYFUNCTION("""COMPUTED_VALUE"""),"Provincial")</f>
        <v>Provincial</v>
      </c>
      <c r="T1226" s="30" t="str">
        <f ca="1">IFERROR(__xludf.DUMMYFUNCTION("""COMPUTED_VALUE"""),"-")</f>
        <v>-</v>
      </c>
    </row>
    <row r="1227" spans="1:20" ht="15.75" customHeight="1" x14ac:dyDescent="0.25">
      <c r="A1227" s="30" t="str">
        <f ca="1">IFERROR(__xludf.DUMMYFUNCTION("""COMPUTED_VALUE"""),"50460142155117")</f>
        <v>50460142155117</v>
      </c>
      <c r="B1227" s="30" t="str">
        <f ca="1">IFERROR(__xludf.DUMMYFUNCTION("""COMPUTED_VALUE"""),"CAPS SAN JOSE")</f>
        <v>CAPS SAN JOSE</v>
      </c>
      <c r="C1227" s="30" t="str">
        <f ca="1">IFERROR(__xludf.DUMMYFUNCTION("""COMPUTED_VALUE"""),"La Rioja")</f>
        <v>La Rioja</v>
      </c>
      <c r="D1227" s="30" t="str">
        <f ca="1">IFERROR(__xludf.DUMMYFUNCTION("""COMPUTED_VALUE"""),"46")</f>
        <v>46</v>
      </c>
      <c r="E1227" s="30" t="str">
        <f ca="1">IFERROR(__xludf.DUMMYFUNCTION("""COMPUTED_VALUE"""),"")</f>
        <v/>
      </c>
      <c r="F1227" s="29"/>
      <c r="G1227" s="29"/>
      <c r="H1227" s="30" t="str">
        <f ca="1">IFERROR(__xludf.DUMMYFUNCTION("""COMPUTED_VALUE"""),"activo")</f>
        <v>activo</v>
      </c>
      <c r="I1227" s="29"/>
      <c r="J1227" s="29"/>
      <c r="K1227" s="29"/>
      <c r="L1227" s="30" t="str">
        <f ca="1">IFERROR(__xludf.DUMMYFUNCTION("""COMPUTED_VALUE"""),"No")</f>
        <v>No</v>
      </c>
      <c r="M1227" s="30" t="str">
        <f ca="1">IFERROR(__xludf.DUMMYFUNCTION("""COMPUTED_VALUE"""),"46014010000")</f>
        <v>46014010000</v>
      </c>
      <c r="N1227" s="30" t="str">
        <f ca="1">IFERROR(__xludf.DUMMYFUNCTION("""COMPUTED_VALUE"""),"LA RIOJA")</f>
        <v>LA RIOJA</v>
      </c>
      <c r="O1227" s="30" t="str">
        <f ca="1">IFERROR(__xludf.DUMMYFUNCTION("""COMPUTED_VALUE"""),"4614")</f>
        <v>4614</v>
      </c>
      <c r="P1227" s="30" t="str">
        <f ca="1">IFERROR(__xludf.DUMMYFUNCTION("""COMPUTED_VALUE"""),"CAPITAL")</f>
        <v>CAPITAL</v>
      </c>
      <c r="Q1227" s="30" t="str">
        <f ca="1">IFERROR(__xludf.DUMMYFUNCTION("""COMPUTED_VALUE"""),"-29.417958")</f>
        <v>-29.417958</v>
      </c>
      <c r="R1227" s="30" t="str">
        <f ca="1">IFERROR(__xludf.DUMMYFUNCTION("""COMPUTED_VALUE"""),"-66.875433")</f>
        <v>-66.875433</v>
      </c>
      <c r="S1227" s="30" t="str">
        <f ca="1">IFERROR(__xludf.DUMMYFUNCTION("""COMPUTED_VALUE"""),"Provincial")</f>
        <v>Provincial</v>
      </c>
      <c r="T1227" s="30" t="str">
        <f ca="1">IFERROR(__xludf.DUMMYFUNCTION("""COMPUTED_VALUE"""),"-")</f>
        <v>-</v>
      </c>
    </row>
    <row r="1228" spans="1:20" ht="15.75" customHeight="1" x14ac:dyDescent="0.25">
      <c r="A1228" s="30" t="str">
        <f ca="1">IFERROR(__xludf.DUMMYFUNCTION("""COMPUTED_VALUE"""),"50460142155129")</f>
        <v>50460142155129</v>
      </c>
      <c r="B1228" s="30" t="str">
        <f ca="1">IFERROR(__xludf.DUMMYFUNCTION("""COMPUTED_VALUE"""),"CAPS 20 DE MAYO")</f>
        <v>CAPS 20 DE MAYO</v>
      </c>
      <c r="C1228" s="30" t="str">
        <f ca="1">IFERROR(__xludf.DUMMYFUNCTION("""COMPUTED_VALUE"""),"La Rioja")</f>
        <v>La Rioja</v>
      </c>
      <c r="D1228" s="30" t="str">
        <f ca="1">IFERROR(__xludf.DUMMYFUNCTION("""COMPUTED_VALUE"""),"46")</f>
        <v>46</v>
      </c>
      <c r="E1228" s="30" t="str">
        <f ca="1">IFERROR(__xludf.DUMMYFUNCTION("""COMPUTED_VALUE"""),"")</f>
        <v/>
      </c>
      <c r="F1228" s="29"/>
      <c r="G1228" s="29"/>
      <c r="H1228" s="30" t="str">
        <f ca="1">IFERROR(__xludf.DUMMYFUNCTION("""COMPUTED_VALUE"""),"activo")</f>
        <v>activo</v>
      </c>
      <c r="I1228" s="29"/>
      <c r="J1228" s="29"/>
      <c r="K1228" s="29"/>
      <c r="L1228" s="30" t="str">
        <f ca="1">IFERROR(__xludf.DUMMYFUNCTION("""COMPUTED_VALUE"""),"No")</f>
        <v>No</v>
      </c>
      <c r="M1228" s="30" t="str">
        <f ca="1">IFERROR(__xludf.DUMMYFUNCTION("""COMPUTED_VALUE"""),"46014010000")</f>
        <v>46014010000</v>
      </c>
      <c r="N1228" s="30" t="str">
        <f ca="1">IFERROR(__xludf.DUMMYFUNCTION("""COMPUTED_VALUE"""),"LA RIOJA")</f>
        <v>LA RIOJA</v>
      </c>
      <c r="O1228" s="30" t="str">
        <f ca="1">IFERROR(__xludf.DUMMYFUNCTION("""COMPUTED_VALUE"""),"4614")</f>
        <v>4614</v>
      </c>
      <c r="P1228" s="30" t="str">
        <f ca="1">IFERROR(__xludf.DUMMYFUNCTION("""COMPUTED_VALUE"""),"CAPITAL")</f>
        <v>CAPITAL</v>
      </c>
      <c r="Q1228" s="30" t="str">
        <f ca="1">IFERROR(__xludf.DUMMYFUNCTION("""COMPUTED_VALUE"""),"-29.40096432")</f>
        <v>-29.40096432</v>
      </c>
      <c r="R1228" s="30" t="str">
        <f ca="1">IFERROR(__xludf.DUMMYFUNCTION("""COMPUTED_VALUE"""),"-66.82818174")</f>
        <v>-66.82818174</v>
      </c>
      <c r="S1228" s="30" t="str">
        <f ca="1">IFERROR(__xludf.DUMMYFUNCTION("""COMPUTED_VALUE"""),"Provincial")</f>
        <v>Provincial</v>
      </c>
      <c r="T1228" s="30" t="str">
        <f ca="1">IFERROR(__xludf.DUMMYFUNCTION("""COMPUTED_VALUE"""),"-")</f>
        <v>-</v>
      </c>
    </row>
    <row r="1229" spans="1:20" ht="15.75" customHeight="1" x14ac:dyDescent="0.25">
      <c r="A1229" s="30" t="str">
        <f ca="1">IFERROR(__xludf.DUMMYFUNCTION("""COMPUTED_VALUE"""),"50460142155154")</f>
        <v>50460142155154</v>
      </c>
      <c r="B1229" s="30" t="str">
        <f ca="1">IFERROR(__xludf.DUMMYFUNCTION("""COMPUTED_VALUE"""),"FALDEO DEL VELAZCO SUR")</f>
        <v>FALDEO DEL VELAZCO SUR</v>
      </c>
      <c r="C1229" s="30" t="str">
        <f ca="1">IFERROR(__xludf.DUMMYFUNCTION("""COMPUTED_VALUE"""),"La Rioja")</f>
        <v>La Rioja</v>
      </c>
      <c r="D1229" s="30" t="str">
        <f ca="1">IFERROR(__xludf.DUMMYFUNCTION("""COMPUTED_VALUE"""),"46")</f>
        <v>46</v>
      </c>
      <c r="E1229" s="30" t="str">
        <f ca="1">IFERROR(__xludf.DUMMYFUNCTION("""COMPUTED_VALUE"""),"si")</f>
        <v>si</v>
      </c>
      <c r="F1229" s="29"/>
      <c r="G1229" s="29"/>
      <c r="H1229" s="30" t="str">
        <f ca="1">IFERROR(__xludf.DUMMYFUNCTION("""COMPUTED_VALUE"""),"activo")</f>
        <v>activo</v>
      </c>
      <c r="I1229" s="29"/>
      <c r="J1229" s="29"/>
      <c r="K1229" s="29"/>
      <c r="L1229" s="30" t="str">
        <f ca="1">IFERROR(__xludf.DUMMYFUNCTION("""COMPUTED_VALUE"""),"No")</f>
        <v>No</v>
      </c>
      <c r="M1229" s="30" t="str">
        <f ca="1">IFERROR(__xludf.DUMMYFUNCTION("""COMPUTED_VALUE"""),"46014010000")</f>
        <v>46014010000</v>
      </c>
      <c r="N1229" s="30" t="str">
        <f ca="1">IFERROR(__xludf.DUMMYFUNCTION("""COMPUTED_VALUE"""),"LA RIOJA")</f>
        <v>LA RIOJA</v>
      </c>
      <c r="O1229" s="30" t="str">
        <f ca="1">IFERROR(__xludf.DUMMYFUNCTION("""COMPUTED_VALUE"""),"4614")</f>
        <v>4614</v>
      </c>
      <c r="P1229" s="30" t="str">
        <f ca="1">IFERROR(__xludf.DUMMYFUNCTION("""COMPUTED_VALUE"""),"CAPITAL")</f>
        <v>CAPITAL</v>
      </c>
      <c r="Q1229" s="30" t="str">
        <f ca="1">IFERROR(__xludf.DUMMYFUNCTION("""COMPUTED_VALUE"""),"-29.444045")</f>
        <v>-29.444045</v>
      </c>
      <c r="R1229" s="30" t="str">
        <f ca="1">IFERROR(__xludf.DUMMYFUNCTION("""COMPUTED_VALUE"""),"-66.858838")</f>
        <v>-66.858838</v>
      </c>
      <c r="S1229" s="30" t="str">
        <f ca="1">IFERROR(__xludf.DUMMYFUNCTION("""COMPUTED_VALUE"""),"Provincial")</f>
        <v>Provincial</v>
      </c>
      <c r="T1229" s="30" t="str">
        <f ca="1">IFERROR(__xludf.DUMMYFUNCTION("""COMPUTED_VALUE"""),"-")</f>
        <v>-</v>
      </c>
    </row>
    <row r="1230" spans="1:20" ht="15.75" customHeight="1" x14ac:dyDescent="0.25">
      <c r="A1230" s="30" t="str">
        <f ca="1">IFERROR(__xludf.DUMMYFUNCTION("""COMPUTED_VALUE"""),"50460142155155")</f>
        <v>50460142155155</v>
      </c>
      <c r="B1230" s="30" t="str">
        <f ca="1">IFERROR(__xludf.DUMMYFUNCTION("""COMPUTED_VALUE"""),"CAPS JOSE SIMONE")</f>
        <v>CAPS JOSE SIMONE</v>
      </c>
      <c r="C1230" s="30" t="str">
        <f ca="1">IFERROR(__xludf.DUMMYFUNCTION("""COMPUTED_VALUE"""),"La Rioja")</f>
        <v>La Rioja</v>
      </c>
      <c r="D1230" s="30" t="str">
        <f ca="1">IFERROR(__xludf.DUMMYFUNCTION("""COMPUTED_VALUE"""),"46")</f>
        <v>46</v>
      </c>
      <c r="E1230" s="30" t="str">
        <f ca="1">IFERROR(__xludf.DUMMYFUNCTION("""COMPUTED_VALUE"""),"")</f>
        <v/>
      </c>
      <c r="F1230" s="29"/>
      <c r="G1230" s="29"/>
      <c r="H1230" s="30" t="str">
        <f ca="1">IFERROR(__xludf.DUMMYFUNCTION("""COMPUTED_VALUE"""),"activo")</f>
        <v>activo</v>
      </c>
      <c r="I1230" s="29"/>
      <c r="J1230" s="29"/>
      <c r="K1230" s="29"/>
      <c r="L1230" s="30" t="str">
        <f ca="1">IFERROR(__xludf.DUMMYFUNCTION("""COMPUTED_VALUE"""),"No")</f>
        <v>No</v>
      </c>
      <c r="M1230" s="30" t="str">
        <f ca="1">IFERROR(__xludf.DUMMYFUNCTION("""COMPUTED_VALUE"""),"46014010000")</f>
        <v>46014010000</v>
      </c>
      <c r="N1230" s="30" t="str">
        <f ca="1">IFERROR(__xludf.DUMMYFUNCTION("""COMPUTED_VALUE"""),"LA RIOJA")</f>
        <v>LA RIOJA</v>
      </c>
      <c r="O1230" s="30" t="str">
        <f ca="1">IFERROR(__xludf.DUMMYFUNCTION("""COMPUTED_VALUE"""),"4614")</f>
        <v>4614</v>
      </c>
      <c r="P1230" s="30" t="str">
        <f ca="1">IFERROR(__xludf.DUMMYFUNCTION("""COMPUTED_VALUE"""),"CAPITAL")</f>
        <v>CAPITAL</v>
      </c>
      <c r="Q1230" s="30" t="str">
        <f ca="1">IFERROR(__xludf.DUMMYFUNCTION("""COMPUTED_VALUE"""),"-29.4329518")</f>
        <v>-29.4329518</v>
      </c>
      <c r="R1230" s="30" t="str">
        <f ca="1">IFERROR(__xludf.DUMMYFUNCTION("""COMPUTED_VALUE"""),"-66.8704832")</f>
        <v>-66.8704832</v>
      </c>
      <c r="S1230" s="30" t="str">
        <f ca="1">IFERROR(__xludf.DUMMYFUNCTION("""COMPUTED_VALUE"""),"Provincial")</f>
        <v>Provincial</v>
      </c>
      <c r="T1230" s="30" t="str">
        <f ca="1">IFERROR(__xludf.DUMMYFUNCTION("""COMPUTED_VALUE"""),"-")</f>
        <v>-</v>
      </c>
    </row>
    <row r="1231" spans="1:20" ht="15.75" customHeight="1" x14ac:dyDescent="0.25">
      <c r="A1231" s="30" t="str">
        <f ca="1">IFERROR(__xludf.DUMMYFUNCTION("""COMPUTED_VALUE"""),"50460142155191")</f>
        <v>50460142155191</v>
      </c>
      <c r="B1231" s="30" t="str">
        <f ca="1">IFERROR(__xludf.DUMMYFUNCTION("""COMPUTED_VALUE"""),"CAPS SAN PIO I")</f>
        <v>CAPS SAN PIO I</v>
      </c>
      <c r="C1231" s="30" t="str">
        <f ca="1">IFERROR(__xludf.DUMMYFUNCTION("""COMPUTED_VALUE"""),"La Rioja")</f>
        <v>La Rioja</v>
      </c>
      <c r="D1231" s="30" t="str">
        <f ca="1">IFERROR(__xludf.DUMMYFUNCTION("""COMPUTED_VALUE"""),"46")</f>
        <v>46</v>
      </c>
      <c r="E1231" s="30" t="str">
        <f ca="1">IFERROR(__xludf.DUMMYFUNCTION("""COMPUTED_VALUE"""),"")</f>
        <v/>
      </c>
      <c r="F1231" s="29"/>
      <c r="G1231" s="29"/>
      <c r="H1231" s="30" t="str">
        <f ca="1">IFERROR(__xludf.DUMMYFUNCTION("""COMPUTED_VALUE"""),"activo")</f>
        <v>activo</v>
      </c>
      <c r="I1231" s="29"/>
      <c r="J1231" s="29"/>
      <c r="K1231" s="29"/>
      <c r="L1231" s="30" t="str">
        <f ca="1">IFERROR(__xludf.DUMMYFUNCTION("""COMPUTED_VALUE"""),"No")</f>
        <v>No</v>
      </c>
      <c r="M1231" s="30" t="str">
        <f ca="1">IFERROR(__xludf.DUMMYFUNCTION("""COMPUTED_VALUE"""),"46014010000")</f>
        <v>46014010000</v>
      </c>
      <c r="N1231" s="30" t="str">
        <f ca="1">IFERROR(__xludf.DUMMYFUNCTION("""COMPUTED_VALUE"""),"LA RIOJA")</f>
        <v>LA RIOJA</v>
      </c>
      <c r="O1231" s="30" t="str">
        <f ca="1">IFERROR(__xludf.DUMMYFUNCTION("""COMPUTED_VALUE"""),"4614")</f>
        <v>4614</v>
      </c>
      <c r="P1231" s="30" t="str">
        <f ca="1">IFERROR(__xludf.DUMMYFUNCTION("""COMPUTED_VALUE"""),"CAPITAL")</f>
        <v>CAPITAL</v>
      </c>
      <c r="Q1231" s="30" t="str">
        <f ca="1">IFERROR(__xludf.DUMMYFUNCTION("""COMPUTED_VALUE"""),"-29.41398")</f>
        <v>-29.41398</v>
      </c>
      <c r="R1231" s="30" t="str">
        <f ca="1">IFERROR(__xludf.DUMMYFUNCTION("""COMPUTED_VALUE"""),"-66.889903")</f>
        <v>-66.889903</v>
      </c>
      <c r="S1231" s="30" t="str">
        <f ca="1">IFERROR(__xludf.DUMMYFUNCTION("""COMPUTED_VALUE"""),"Provincial")</f>
        <v>Provincial</v>
      </c>
      <c r="T1231" s="30" t="str">
        <f ca="1">IFERROR(__xludf.DUMMYFUNCTION("""COMPUTED_VALUE"""),"-")</f>
        <v>-</v>
      </c>
    </row>
    <row r="1232" spans="1:20" ht="15.75" customHeight="1" x14ac:dyDescent="0.25">
      <c r="A1232" s="30" t="str">
        <f ca="1">IFERROR(__xludf.DUMMYFUNCTION("""COMPUTED_VALUE"""),"50460142155192")</f>
        <v>50460142155192</v>
      </c>
      <c r="B1232" s="30" t="str">
        <f ca="1">IFERROR(__xludf.DUMMYFUNCTION("""COMPUTED_VALUE"""),"CAPS SAN PIO II")</f>
        <v>CAPS SAN PIO II</v>
      </c>
      <c r="C1232" s="30" t="str">
        <f ca="1">IFERROR(__xludf.DUMMYFUNCTION("""COMPUTED_VALUE"""),"La Rioja")</f>
        <v>La Rioja</v>
      </c>
      <c r="D1232" s="30" t="str">
        <f ca="1">IFERROR(__xludf.DUMMYFUNCTION("""COMPUTED_VALUE"""),"46")</f>
        <v>46</v>
      </c>
      <c r="E1232" s="30" t="str">
        <f ca="1">IFERROR(__xludf.DUMMYFUNCTION("""COMPUTED_VALUE"""),"si")</f>
        <v>si</v>
      </c>
      <c r="F1232" s="29"/>
      <c r="G1232" s="29"/>
      <c r="H1232" s="30" t="str">
        <f ca="1">IFERROR(__xludf.DUMMYFUNCTION("""COMPUTED_VALUE"""),"activo")</f>
        <v>activo</v>
      </c>
      <c r="I1232" s="29"/>
      <c r="J1232" s="29"/>
      <c r="K1232" s="29"/>
      <c r="L1232" s="30" t="str">
        <f ca="1">IFERROR(__xludf.DUMMYFUNCTION("""COMPUTED_VALUE"""),"No")</f>
        <v>No</v>
      </c>
      <c r="M1232" s="30" t="str">
        <f ca="1">IFERROR(__xludf.DUMMYFUNCTION("""COMPUTED_VALUE"""),"46014010000")</f>
        <v>46014010000</v>
      </c>
      <c r="N1232" s="30" t="str">
        <f ca="1">IFERROR(__xludf.DUMMYFUNCTION("""COMPUTED_VALUE"""),"LA RIOJA")</f>
        <v>LA RIOJA</v>
      </c>
      <c r="O1232" s="30" t="str">
        <f ca="1">IFERROR(__xludf.DUMMYFUNCTION("""COMPUTED_VALUE"""),"4614")</f>
        <v>4614</v>
      </c>
      <c r="P1232" s="30" t="str">
        <f ca="1">IFERROR(__xludf.DUMMYFUNCTION("""COMPUTED_VALUE"""),"CAPITAL")</f>
        <v>CAPITAL</v>
      </c>
      <c r="Q1232" s="30" t="str">
        <f ca="1">IFERROR(__xludf.DUMMYFUNCTION("""COMPUTED_VALUE"""),"-29.4048258")</f>
        <v>-29.4048258</v>
      </c>
      <c r="R1232" s="30" t="str">
        <f ca="1">IFERROR(__xludf.DUMMYFUNCTION("""COMPUTED_VALUE"""),"-66.8649296")</f>
        <v>-66.8649296</v>
      </c>
      <c r="S1232" s="30" t="str">
        <f ca="1">IFERROR(__xludf.DUMMYFUNCTION("""COMPUTED_VALUE"""),"Provincial")</f>
        <v>Provincial</v>
      </c>
      <c r="T1232" s="30" t="str">
        <f ca="1">IFERROR(__xludf.DUMMYFUNCTION("""COMPUTED_VALUE"""),"-")</f>
        <v>-</v>
      </c>
    </row>
    <row r="1233" spans="1:20" ht="15.75" customHeight="1" x14ac:dyDescent="0.25">
      <c r="A1233" s="30" t="str">
        <f ca="1">IFERROR(__xludf.DUMMYFUNCTION("""COMPUTED_VALUE"""),"50460142155193")</f>
        <v>50460142155193</v>
      </c>
      <c r="B1233" s="30" t="str">
        <f ca="1">IFERROR(__xludf.DUMMYFUNCTION("""COMPUTED_VALUE"""),"SAN VICENTE")</f>
        <v>SAN VICENTE</v>
      </c>
      <c r="C1233" s="30" t="str">
        <f ca="1">IFERROR(__xludf.DUMMYFUNCTION("""COMPUTED_VALUE"""),"La Rioja")</f>
        <v>La Rioja</v>
      </c>
      <c r="D1233" s="30" t="str">
        <f ca="1">IFERROR(__xludf.DUMMYFUNCTION("""COMPUTED_VALUE"""),"46")</f>
        <v>46</v>
      </c>
      <c r="E1233" s="30" t="str">
        <f ca="1">IFERROR(__xludf.DUMMYFUNCTION("""COMPUTED_VALUE"""),"")</f>
        <v/>
      </c>
      <c r="F1233" s="29"/>
      <c r="G1233" s="29"/>
      <c r="H1233" s="30" t="str">
        <f ca="1">IFERROR(__xludf.DUMMYFUNCTION("""COMPUTED_VALUE"""),"activo")</f>
        <v>activo</v>
      </c>
      <c r="I1233" s="29"/>
      <c r="J1233" s="29"/>
      <c r="K1233" s="29"/>
      <c r="L1233" s="30" t="str">
        <f ca="1">IFERROR(__xludf.DUMMYFUNCTION("""COMPUTED_VALUE"""),"No")</f>
        <v>No</v>
      </c>
      <c r="M1233" s="30" t="str">
        <f ca="1">IFERROR(__xludf.DUMMYFUNCTION("""COMPUTED_VALUE"""),"46014010000")</f>
        <v>46014010000</v>
      </c>
      <c r="N1233" s="30" t="str">
        <f ca="1">IFERROR(__xludf.DUMMYFUNCTION("""COMPUTED_VALUE"""),"LA RIOJA")</f>
        <v>LA RIOJA</v>
      </c>
      <c r="O1233" s="30" t="str">
        <f ca="1">IFERROR(__xludf.DUMMYFUNCTION("""COMPUTED_VALUE"""),"4614")</f>
        <v>4614</v>
      </c>
      <c r="P1233" s="30" t="str">
        <f ca="1">IFERROR(__xludf.DUMMYFUNCTION("""COMPUTED_VALUE"""),"CAPITAL")</f>
        <v>CAPITAL</v>
      </c>
      <c r="Q1233" s="30" t="str">
        <f ca="1">IFERROR(__xludf.DUMMYFUNCTION("""COMPUTED_VALUE"""),"-29.413258")</f>
        <v>-29.413258</v>
      </c>
      <c r="R1233" s="30" t="str">
        <f ca="1">IFERROR(__xludf.DUMMYFUNCTION("""COMPUTED_VALUE"""),"-66.866313")</f>
        <v>-66.866313</v>
      </c>
      <c r="S1233" s="30" t="str">
        <f ca="1">IFERROR(__xludf.DUMMYFUNCTION("""COMPUTED_VALUE"""),"Provincial")</f>
        <v>Provincial</v>
      </c>
      <c r="T1233" s="30" t="str">
        <f ca="1">IFERROR(__xludf.DUMMYFUNCTION("""COMPUTED_VALUE"""),"-")</f>
        <v>-</v>
      </c>
    </row>
    <row r="1234" spans="1:20" ht="15.75" customHeight="1" x14ac:dyDescent="0.25">
      <c r="A1234" s="30" t="str">
        <f ca="1">IFERROR(__xludf.DUMMYFUNCTION("""COMPUTED_VALUE"""),"50460142155208")</f>
        <v>50460142155208</v>
      </c>
      <c r="B1234" s="30" t="str">
        <f ca="1">IFERROR(__xludf.DUMMYFUNCTION("""COMPUTED_VALUE"""),"CAPS VIRGEN DE LOS CERROS")</f>
        <v>CAPS VIRGEN DE LOS CERROS</v>
      </c>
      <c r="C1234" s="30" t="str">
        <f ca="1">IFERROR(__xludf.DUMMYFUNCTION("""COMPUTED_VALUE"""),"La Rioja")</f>
        <v>La Rioja</v>
      </c>
      <c r="D1234" s="30" t="str">
        <f ca="1">IFERROR(__xludf.DUMMYFUNCTION("""COMPUTED_VALUE"""),"46")</f>
        <v>46</v>
      </c>
      <c r="E1234" s="30" t="str">
        <f ca="1">IFERROR(__xludf.DUMMYFUNCTION("""COMPUTED_VALUE"""),"")</f>
        <v/>
      </c>
      <c r="F1234" s="29"/>
      <c r="G1234" s="29"/>
      <c r="H1234" s="30" t="str">
        <f ca="1">IFERROR(__xludf.DUMMYFUNCTION("""COMPUTED_VALUE"""),"activo")</f>
        <v>activo</v>
      </c>
      <c r="I1234" s="29"/>
      <c r="J1234" s="29"/>
      <c r="K1234" s="29"/>
      <c r="L1234" s="30" t="str">
        <f ca="1">IFERROR(__xludf.DUMMYFUNCTION("""COMPUTED_VALUE"""),"No")</f>
        <v>No</v>
      </c>
      <c r="M1234" s="30" t="str">
        <f ca="1">IFERROR(__xludf.DUMMYFUNCTION("""COMPUTED_VALUE"""),"46014010000")</f>
        <v>46014010000</v>
      </c>
      <c r="N1234" s="30" t="str">
        <f ca="1">IFERROR(__xludf.DUMMYFUNCTION("""COMPUTED_VALUE"""),"LA RIOJA")</f>
        <v>LA RIOJA</v>
      </c>
      <c r="O1234" s="30" t="str">
        <f ca="1">IFERROR(__xludf.DUMMYFUNCTION("""COMPUTED_VALUE"""),"4614")</f>
        <v>4614</v>
      </c>
      <c r="P1234" s="30" t="str">
        <f ca="1">IFERROR(__xludf.DUMMYFUNCTION("""COMPUTED_VALUE"""),"CAPITAL")</f>
        <v>CAPITAL</v>
      </c>
      <c r="Q1234" s="30" t="str">
        <f ca="1">IFERROR(__xludf.DUMMYFUNCTION("""COMPUTED_VALUE"""),"-29.393783")</f>
        <v>-29.393783</v>
      </c>
      <c r="R1234" s="30" t="str">
        <f ca="1">IFERROR(__xludf.DUMMYFUNCTION("""COMPUTED_VALUE"""),"-66.85593")</f>
        <v>-66.85593</v>
      </c>
      <c r="S1234" s="30" t="str">
        <f ca="1">IFERROR(__xludf.DUMMYFUNCTION("""COMPUTED_VALUE"""),"Provincial")</f>
        <v>Provincial</v>
      </c>
      <c r="T1234" s="30" t="str">
        <f ca="1">IFERROR(__xludf.DUMMYFUNCTION("""COMPUTED_VALUE"""),"-")</f>
        <v>-</v>
      </c>
    </row>
    <row r="1235" spans="1:20" ht="15.75" customHeight="1" x14ac:dyDescent="0.25">
      <c r="A1235" s="30" t="str">
        <f ca="1">IFERROR(__xludf.DUMMYFUNCTION("""COMPUTED_VALUE"""),"50460142155221")</f>
        <v>50460142155221</v>
      </c>
      <c r="B1235" s="30" t="str">
        <f ca="1">IFERROR(__xludf.DUMMYFUNCTION("""COMPUTED_VALUE"""),"CAPS SAN PIO III")</f>
        <v>CAPS SAN PIO III</v>
      </c>
      <c r="C1235" s="30" t="str">
        <f ca="1">IFERROR(__xludf.DUMMYFUNCTION("""COMPUTED_VALUE"""),"La Rioja")</f>
        <v>La Rioja</v>
      </c>
      <c r="D1235" s="30" t="str">
        <f ca="1">IFERROR(__xludf.DUMMYFUNCTION("""COMPUTED_VALUE"""),"46")</f>
        <v>46</v>
      </c>
      <c r="E1235" s="30" t="str">
        <f ca="1">IFERROR(__xludf.DUMMYFUNCTION("""COMPUTED_VALUE"""),"")</f>
        <v/>
      </c>
      <c r="F1235" s="29"/>
      <c r="G1235" s="29"/>
      <c r="H1235" s="30" t="str">
        <f ca="1">IFERROR(__xludf.DUMMYFUNCTION("""COMPUTED_VALUE"""),"activo")</f>
        <v>activo</v>
      </c>
      <c r="I1235" s="29"/>
      <c r="J1235" s="29"/>
      <c r="K1235" s="29"/>
      <c r="L1235" s="30" t="str">
        <f ca="1">IFERROR(__xludf.DUMMYFUNCTION("""COMPUTED_VALUE"""),"No")</f>
        <v>No</v>
      </c>
      <c r="M1235" s="30" t="str">
        <f ca="1">IFERROR(__xludf.DUMMYFUNCTION("""COMPUTED_VALUE"""),"46014010000")</f>
        <v>46014010000</v>
      </c>
      <c r="N1235" s="30" t="str">
        <f ca="1">IFERROR(__xludf.DUMMYFUNCTION("""COMPUTED_VALUE"""),"LA RIOJA")</f>
        <v>LA RIOJA</v>
      </c>
      <c r="O1235" s="30" t="str">
        <f ca="1">IFERROR(__xludf.DUMMYFUNCTION("""COMPUTED_VALUE"""),"4614")</f>
        <v>4614</v>
      </c>
      <c r="P1235" s="30" t="str">
        <f ca="1">IFERROR(__xludf.DUMMYFUNCTION("""COMPUTED_VALUE"""),"CAPITAL")</f>
        <v>CAPITAL</v>
      </c>
      <c r="Q1235" s="30" t="str">
        <f ca="1">IFERROR(__xludf.DUMMYFUNCTION("""COMPUTED_VALUE"""),"-29.404413")</f>
        <v>-29.404413</v>
      </c>
      <c r="R1235" s="30" t="str">
        <f ca="1">IFERROR(__xludf.DUMMYFUNCTION("""COMPUTED_VALUE"""),"-66.902")</f>
        <v>-66.902</v>
      </c>
      <c r="S1235" s="30" t="str">
        <f ca="1">IFERROR(__xludf.DUMMYFUNCTION("""COMPUTED_VALUE"""),"Provincial")</f>
        <v>Provincial</v>
      </c>
      <c r="T1235" s="30" t="str">
        <f ca="1">IFERROR(__xludf.DUMMYFUNCTION("""COMPUTED_VALUE"""),"-")</f>
        <v>-</v>
      </c>
    </row>
    <row r="1236" spans="1:20" ht="15.75" customHeight="1" x14ac:dyDescent="0.25">
      <c r="A1236" s="30" t="str">
        <f ca="1">IFERROR(__xludf.DUMMYFUNCTION("""COMPUTED_VALUE"""),"50460142155256")</f>
        <v>50460142155256</v>
      </c>
      <c r="B1236" s="30" t="str">
        <f ca="1">IFERROR(__xludf.DUMMYFUNCTION("""COMPUTED_VALUE"""),"CAPS OFELIA BAZAN DE LOZADA (NUEVO ARGENTINO)")</f>
        <v>CAPS OFELIA BAZAN DE LOZADA (NUEVO ARGENTINO)</v>
      </c>
      <c r="C1236" s="30" t="str">
        <f ca="1">IFERROR(__xludf.DUMMYFUNCTION("""COMPUTED_VALUE"""),"La Rioja")</f>
        <v>La Rioja</v>
      </c>
      <c r="D1236" s="30" t="str">
        <f ca="1">IFERROR(__xludf.DUMMYFUNCTION("""COMPUTED_VALUE"""),"46")</f>
        <v>46</v>
      </c>
      <c r="E1236" s="30" t="str">
        <f ca="1">IFERROR(__xludf.DUMMYFUNCTION("""COMPUTED_VALUE"""),"si")</f>
        <v>si</v>
      </c>
      <c r="F1236" s="29"/>
      <c r="G1236" s="29"/>
      <c r="H1236" s="30" t="str">
        <f ca="1">IFERROR(__xludf.DUMMYFUNCTION("""COMPUTED_VALUE"""),"activo")</f>
        <v>activo</v>
      </c>
      <c r="I1236" s="29"/>
      <c r="J1236" s="29"/>
      <c r="K1236" s="29"/>
      <c r="L1236" s="30" t="str">
        <f ca="1">IFERROR(__xludf.DUMMYFUNCTION("""COMPUTED_VALUE"""),"No")</f>
        <v>No</v>
      </c>
      <c r="M1236" s="30" t="str">
        <f ca="1">IFERROR(__xludf.DUMMYFUNCTION("""COMPUTED_VALUE"""),"46014010000")</f>
        <v>46014010000</v>
      </c>
      <c r="N1236" s="30" t="str">
        <f ca="1">IFERROR(__xludf.DUMMYFUNCTION("""COMPUTED_VALUE"""),"LA RIOJA")</f>
        <v>LA RIOJA</v>
      </c>
      <c r="O1236" s="30" t="str">
        <f ca="1">IFERROR(__xludf.DUMMYFUNCTION("""COMPUTED_VALUE"""),"4614")</f>
        <v>4614</v>
      </c>
      <c r="P1236" s="30" t="str">
        <f ca="1">IFERROR(__xludf.DUMMYFUNCTION("""COMPUTED_VALUE"""),"CAPITAL")</f>
        <v>CAPITAL</v>
      </c>
      <c r="Q1236" s="30" t="str">
        <f ca="1">IFERROR(__xludf.DUMMYFUNCTION("""COMPUTED_VALUE"""),"-29.409365")</f>
        <v>-29.409365</v>
      </c>
      <c r="R1236" s="30" t="str">
        <f ca="1">IFERROR(__xludf.DUMMYFUNCTION("""COMPUTED_VALUE"""),"-66.810261")</f>
        <v>-66.810261</v>
      </c>
      <c r="S1236" s="30" t="str">
        <f ca="1">IFERROR(__xludf.DUMMYFUNCTION("""COMPUTED_VALUE"""),"Provincial")</f>
        <v>Provincial</v>
      </c>
      <c r="T1236" s="30" t="str">
        <f ca="1">IFERROR(__xludf.DUMMYFUNCTION("""COMPUTED_VALUE"""),"-")</f>
        <v>-</v>
      </c>
    </row>
    <row r="1237" spans="1:20" ht="15.75" customHeight="1" x14ac:dyDescent="0.25">
      <c r="A1237" s="30" t="str">
        <f ca="1">IFERROR(__xludf.DUMMYFUNCTION("""COMPUTED_VALUE"""),"50460142155302")</f>
        <v>50460142155302</v>
      </c>
      <c r="B1237" s="30" t="str">
        <f ca="1">IFERROR(__xludf.DUMMYFUNCTION("""COMPUTED_VALUE"""),"LA CAÑADA")</f>
        <v>LA CAÑADA</v>
      </c>
      <c r="C1237" s="30" t="str">
        <f ca="1">IFERROR(__xludf.DUMMYFUNCTION("""COMPUTED_VALUE"""),"La Rioja")</f>
        <v>La Rioja</v>
      </c>
      <c r="D1237" s="30" t="str">
        <f ca="1">IFERROR(__xludf.DUMMYFUNCTION("""COMPUTED_VALUE"""),"46")</f>
        <v>46</v>
      </c>
      <c r="E1237" s="30" t="str">
        <f ca="1">IFERROR(__xludf.DUMMYFUNCTION("""COMPUTED_VALUE"""),"si")</f>
        <v>si</v>
      </c>
      <c r="F1237" s="29"/>
      <c r="G1237" s="29"/>
      <c r="H1237" s="30" t="str">
        <f ca="1">IFERROR(__xludf.DUMMYFUNCTION("""COMPUTED_VALUE"""),"activo")</f>
        <v>activo</v>
      </c>
      <c r="I1237" s="29"/>
      <c r="J1237" s="29"/>
      <c r="K1237" s="29"/>
      <c r="L1237" s="30" t="str">
        <f ca="1">IFERROR(__xludf.DUMMYFUNCTION("""COMPUTED_VALUE"""),"No")</f>
        <v>No</v>
      </c>
      <c r="M1237" s="30" t="str">
        <f ca="1">IFERROR(__xludf.DUMMYFUNCTION("""COMPUTED_VALUE"""),"46014010000")</f>
        <v>46014010000</v>
      </c>
      <c r="N1237" s="30" t="str">
        <f ca="1">IFERROR(__xludf.DUMMYFUNCTION("""COMPUTED_VALUE"""),"LA RIOJA")</f>
        <v>LA RIOJA</v>
      </c>
      <c r="O1237" s="30" t="str">
        <f ca="1">IFERROR(__xludf.DUMMYFUNCTION("""COMPUTED_VALUE"""),"4614")</f>
        <v>4614</v>
      </c>
      <c r="P1237" s="30" t="str">
        <f ca="1">IFERROR(__xludf.DUMMYFUNCTION("""COMPUTED_VALUE"""),"CAPITAL")</f>
        <v>CAPITAL</v>
      </c>
      <c r="Q1237" s="30" t="str">
        <f ca="1">IFERROR(__xludf.DUMMYFUNCTION("""COMPUTED_VALUE"""),"-29.463646")</f>
        <v>-29.463646</v>
      </c>
      <c r="R1237" s="30" t="str">
        <f ca="1">IFERROR(__xludf.DUMMYFUNCTION("""COMPUTED_VALUE"""),"-66.866794")</f>
        <v>-66.866794</v>
      </c>
      <c r="S1237" s="30" t="str">
        <f ca="1">IFERROR(__xludf.DUMMYFUNCTION("""COMPUTED_VALUE"""),"Provincial")</f>
        <v>Provincial</v>
      </c>
      <c r="T1237" s="30" t="str">
        <f ca="1">IFERROR(__xludf.DUMMYFUNCTION("""COMPUTED_VALUE"""),"-")</f>
        <v>-</v>
      </c>
    </row>
    <row r="1238" spans="1:20" ht="15.75" customHeight="1" x14ac:dyDescent="0.25">
      <c r="A1238" s="30" t="str">
        <f ca="1">IFERROR(__xludf.DUMMYFUNCTION("""COMPUTED_VALUE"""),"10460982155018")</f>
        <v>10460982155018</v>
      </c>
      <c r="B1238" s="30" t="str">
        <f ca="1">IFERROR(__xludf.DUMMYFUNCTION("""COMPUTED_VALUE"""),"HOSPITAL DISTRITAL RAMON LINIDOR MARTINEZ - VINCHINA")</f>
        <v>HOSPITAL DISTRITAL RAMON LINIDOR MARTINEZ - VINCHINA</v>
      </c>
      <c r="C1238" s="30" t="str">
        <f ca="1">IFERROR(__xludf.DUMMYFUNCTION("""COMPUTED_VALUE"""),"La Rioja")</f>
        <v>La Rioja</v>
      </c>
      <c r="D1238" s="30" t="str">
        <f ca="1">IFERROR(__xludf.DUMMYFUNCTION("""COMPUTED_VALUE"""),"46")</f>
        <v>46</v>
      </c>
      <c r="E1238" s="30" t="str">
        <f ca="1">IFERROR(__xludf.DUMMYFUNCTION("""COMPUTED_VALUE"""),"")</f>
        <v/>
      </c>
      <c r="F1238" s="29"/>
      <c r="G1238" s="29"/>
      <c r="H1238" s="30" t="str">
        <f ca="1">IFERROR(__xludf.DUMMYFUNCTION("""COMPUTED_VALUE"""),"inactivo")</f>
        <v>inactivo</v>
      </c>
      <c r="I1238" s="29"/>
      <c r="J1238" s="29"/>
      <c r="K1238" s="29"/>
      <c r="L1238" s="30" t="str">
        <f ca="1">IFERROR(__xludf.DUMMYFUNCTION("""COMPUTED_VALUE"""),"No")</f>
        <v>No</v>
      </c>
      <c r="M1238" s="30" t="str">
        <f ca="1">IFERROR(__xludf.DUMMYFUNCTION("""COMPUTED_VALUE"""),"46098020000")</f>
        <v>46098020000</v>
      </c>
      <c r="N1238" s="30" t="str">
        <f ca="1">IFERROR(__xludf.DUMMYFUNCTION("""COMPUTED_VALUE"""),"VILLA SAN JOSE DE VINCHINA")</f>
        <v>VILLA SAN JOSE DE VINCHINA</v>
      </c>
      <c r="O1238" s="30" t="str">
        <f ca="1">IFERROR(__xludf.DUMMYFUNCTION("""COMPUTED_VALUE"""),"4698")</f>
        <v>4698</v>
      </c>
      <c r="P1238" s="30" t="str">
        <f ca="1">IFERROR(__xludf.DUMMYFUNCTION("""COMPUTED_VALUE"""),"VINCHINA")</f>
        <v>VINCHINA</v>
      </c>
      <c r="Q1238" s="30" t="str">
        <f ca="1">IFERROR(__xludf.DUMMYFUNCTION("""COMPUTED_VALUE"""),"-28.7541")</f>
        <v>-28.7541</v>
      </c>
      <c r="R1238" s="30" t="str">
        <f ca="1">IFERROR(__xludf.DUMMYFUNCTION("""COMPUTED_VALUE"""),"-68.20523")</f>
        <v>-68.20523</v>
      </c>
      <c r="S1238" s="30" t="str">
        <f ca="1">IFERROR(__xludf.DUMMYFUNCTION("""COMPUTED_VALUE"""),"Provincial")</f>
        <v>Provincial</v>
      </c>
      <c r="T1238" s="30" t="str">
        <f ca="1">IFERROR(__xludf.DUMMYFUNCTION("""COMPUTED_VALUE"""),"-")</f>
        <v>-</v>
      </c>
    </row>
    <row r="1239" spans="1:20" ht="15.75" customHeight="1" x14ac:dyDescent="0.25">
      <c r="A1239" s="30" t="str">
        <f ca="1">IFERROR(__xludf.DUMMYFUNCTION("""COMPUTED_VALUE"""),"50460422155075")</f>
        <v>50460422155075</v>
      </c>
      <c r="B1239" s="30" t="str">
        <f ca="1">IFERROR(__xludf.DUMMYFUNCTION("""COMPUTED_VALUE"""),"CAPS ALTOS DE CHILECITO")</f>
        <v>CAPS ALTOS DE CHILECITO</v>
      </c>
      <c r="C1239" s="30" t="str">
        <f ca="1">IFERROR(__xludf.DUMMYFUNCTION("""COMPUTED_VALUE"""),"La Rioja")</f>
        <v>La Rioja</v>
      </c>
      <c r="D1239" s="30" t="str">
        <f ca="1">IFERROR(__xludf.DUMMYFUNCTION("""COMPUTED_VALUE"""),"46")</f>
        <v>46</v>
      </c>
      <c r="E1239" s="30" t="str">
        <f ca="1">IFERROR(__xludf.DUMMYFUNCTION("""COMPUTED_VALUE"""),"")</f>
        <v/>
      </c>
      <c r="F1239" s="30" t="str">
        <f ca="1">IFERROR(__xludf.DUMMYFUNCTION("""COMPUTED_VALUE"""),"5040072155188")</f>
        <v>5040072155188</v>
      </c>
      <c r="G1239" s="29"/>
      <c r="H1239" s="30" t="str">
        <f ca="1">IFERROR(__xludf.DUMMYFUNCTION("""COMPUTED_VALUE"""),"activo")</f>
        <v>activo</v>
      </c>
      <c r="I1239" s="29"/>
      <c r="J1239" s="29"/>
      <c r="K1239" s="29"/>
      <c r="L1239" s="30" t="str">
        <f ca="1">IFERROR(__xludf.DUMMYFUNCTION("""COMPUTED_VALUE"""),"No")</f>
        <v>No</v>
      </c>
      <c r="M1239" s="30" t="str">
        <f ca="1">IFERROR(__xludf.DUMMYFUNCTION("""COMPUTED_VALUE"""),"46042010002")</f>
        <v>46042010002</v>
      </c>
      <c r="N1239" s="30" t="str">
        <f ca="1">IFERROR(__xludf.DUMMYFUNCTION("""COMPUTED_VALUE"""),"CHILECITO")</f>
        <v>CHILECITO</v>
      </c>
      <c r="O1239" s="30" t="str">
        <f ca="1">IFERROR(__xludf.DUMMYFUNCTION("""COMPUTED_VALUE"""),"4642")</f>
        <v>4642</v>
      </c>
      <c r="P1239" s="30" t="str">
        <f ca="1">IFERROR(__xludf.DUMMYFUNCTION("""COMPUTED_VALUE"""),"CHILECITO")</f>
        <v>CHILECITO</v>
      </c>
      <c r="Q1239" s="30" t="str">
        <f ca="1">IFERROR(__xludf.DUMMYFUNCTION("""COMPUTED_VALUE"""),"-29.147634")</f>
        <v>-29.147634</v>
      </c>
      <c r="R1239" s="30" t="str">
        <f ca="1">IFERROR(__xludf.DUMMYFUNCTION("""COMPUTED_VALUE"""),"-67.518112")</f>
        <v>-67.518112</v>
      </c>
      <c r="S1239" s="30" t="str">
        <f ca="1">IFERROR(__xludf.DUMMYFUNCTION("""COMPUTED_VALUE"""),"Provincial")</f>
        <v>Provincial</v>
      </c>
      <c r="T1239" s="30" t="str">
        <f ca="1">IFERROR(__xludf.DUMMYFUNCTION("""COMPUTED_VALUE"""),"-")</f>
        <v>-</v>
      </c>
    </row>
    <row r="1240" spans="1:20" ht="15.75" customHeight="1" x14ac:dyDescent="0.25">
      <c r="A1240" s="30" t="str">
        <f ca="1">IFERROR(__xludf.DUMMYFUNCTION("""COMPUTED_VALUE"""),"5040072155188")</f>
        <v>5040072155188</v>
      </c>
      <c r="B1240" s="30" t="str">
        <f ca="1">IFERROR(__xludf.DUMMYFUNCTION("""COMPUTED_VALUE"""),"No Detectado")</f>
        <v>No Detectado</v>
      </c>
      <c r="C1240" s="30" t="str">
        <f ca="1">IFERROR(__xludf.DUMMYFUNCTION("""COMPUTED_VALUE"""),"La Rioja")</f>
        <v>La Rioja</v>
      </c>
      <c r="D1240" s="30" t="str">
        <f ca="1">IFERROR(__xludf.DUMMYFUNCTION("""COMPUTED_VALUE"""),"46")</f>
        <v>46</v>
      </c>
      <c r="E1240" s="30" t="str">
        <f ca="1">IFERROR(__xludf.DUMMYFUNCTION("""COMPUTED_VALUE"""),"")</f>
        <v/>
      </c>
      <c r="F1240" s="29"/>
      <c r="G1240" s="30" t="str">
        <f ca="1">IFERROR(__xludf.DUMMYFUNCTION("""COMPUTED_VALUE"""),"50460422155075")</f>
        <v>50460422155075</v>
      </c>
      <c r="H1240" s="30" t="str">
        <f ca="1">IFERROR(__xludf.DUMMYFUNCTION("""COMPUTED_VALUE"""),"inactivo")</f>
        <v>inactivo</v>
      </c>
      <c r="I1240" s="30" t="str">
        <f ca="1">IFERROR(__xludf.DUMMYFUNCTION("""COMPUTED_VALUE"""),"Incorrecto el Codigo sisa del CAPS 5040072155188 san francisco-aimogasta en la circular 2")</f>
        <v>Incorrecto el Codigo sisa del CAPS 5040072155188 san francisco-aimogasta en la circular 2</v>
      </c>
      <c r="J1240" s="29"/>
      <c r="K1240" s="29"/>
      <c r="L1240" s="30" t="str">
        <f ca="1">IFERROR(__xludf.DUMMYFUNCTION("""COMPUTED_VALUE"""),"No")</f>
        <v>No</v>
      </c>
      <c r="M1240" s="30" t="str">
        <f ca="1">IFERROR(__xludf.DUMMYFUNCTION("""COMPUTED_VALUE"""),"#N/A")</f>
        <v>#N/A</v>
      </c>
      <c r="N1240" s="30" t="str">
        <f ca="1">IFERROR(__xludf.DUMMYFUNCTION("""COMPUTED_VALUE"""),"#N/A")</f>
        <v>#N/A</v>
      </c>
      <c r="O1240" s="30" t="str">
        <f ca="1">IFERROR(__xludf.DUMMYFUNCTION("""COMPUTED_VALUE"""),"#N/A")</f>
        <v>#N/A</v>
      </c>
      <c r="P1240" s="30" t="str">
        <f ca="1">IFERROR(__xludf.DUMMYFUNCTION("""COMPUTED_VALUE"""),"#N/A")</f>
        <v>#N/A</v>
      </c>
      <c r="Q1240" s="30" t="str">
        <f ca="1">IFERROR(__xludf.DUMMYFUNCTION("""COMPUTED_VALUE"""),"#N/A")</f>
        <v>#N/A</v>
      </c>
      <c r="R1240" s="30" t="str">
        <f ca="1">IFERROR(__xludf.DUMMYFUNCTION("""COMPUTED_VALUE"""),"#N/A")</f>
        <v>#N/A</v>
      </c>
      <c r="S1240" s="30" t="str">
        <f ca="1">IFERROR(__xludf.DUMMYFUNCTION("""COMPUTED_VALUE"""),"#N/A")</f>
        <v>#N/A</v>
      </c>
      <c r="T1240" s="29"/>
    </row>
    <row r="1241" spans="1:20" ht="15.75" customHeight="1" x14ac:dyDescent="0.25">
      <c r="A1241" s="30" t="str">
        <f ca="1">IFERROR(__xludf.DUMMYFUNCTION("""COMPUTED_VALUE"""),"10500422157041")</f>
        <v>10500422157041</v>
      </c>
      <c r="B1241" s="30" t="str">
        <f ca="1">IFERROR(__xludf.DUMMYFUNCTION("""COMPUTED_VALUE"""),"HOSPITAL ARTURO U. ILLIA.-")</f>
        <v>HOSPITAL ARTURO U. ILLIA.-</v>
      </c>
      <c r="C1241" s="30" t="str">
        <f ca="1">IFERROR(__xludf.DUMMYFUNCTION("""COMPUTED_VALUE"""),"Mendoza")</f>
        <v>Mendoza</v>
      </c>
      <c r="D1241" s="30" t="str">
        <f ca="1">IFERROR(__xludf.DUMMYFUNCTION("""COMPUTED_VALUE"""),"50")</f>
        <v>50</v>
      </c>
      <c r="E1241" s="30" t="str">
        <f ca="1">IFERROR(__xludf.DUMMYFUNCTION("""COMPUTED_VALUE"""),"")</f>
        <v/>
      </c>
      <c r="F1241" s="29"/>
      <c r="G1241" s="29"/>
      <c r="H1241" s="30" t="str">
        <f ca="1">IFERROR(__xludf.DUMMYFUNCTION("""COMPUTED_VALUE"""),"activo")</f>
        <v>activo</v>
      </c>
      <c r="I1241" s="30" t="str">
        <f ca="1">IFERROR(__xludf.DUMMYFUNCTION("""COMPUTED_VALUE"""),"circular 2: se pasan de los 82")</f>
        <v>circular 2: se pasan de los 82</v>
      </c>
      <c r="J1241" s="29"/>
      <c r="K1241" s="29"/>
      <c r="L1241" s="30" t="str">
        <f ca="1">IFERROR(__xludf.DUMMYFUNCTION("""COMPUTED_VALUE"""),"No")</f>
        <v>No</v>
      </c>
      <c r="M1241" s="30" t="str">
        <f ca="1">IFERROR(__xludf.DUMMYFUNCTION("""COMPUTED_VALUE"""),"50042020000")</f>
        <v>50042020000</v>
      </c>
      <c r="N1241" s="30" t="str">
        <f ca="1">IFERROR(__xludf.DUMMYFUNCTION("""COMPUTED_VALUE"""),"LA PAZ")</f>
        <v>LA PAZ</v>
      </c>
      <c r="O1241" s="30" t="str">
        <f ca="1">IFERROR(__xludf.DUMMYFUNCTION("""COMPUTED_VALUE"""),"5042")</f>
        <v>5042</v>
      </c>
      <c r="P1241" s="30" t="str">
        <f ca="1">IFERROR(__xludf.DUMMYFUNCTION("""COMPUTED_VALUE"""),"LA PAZ")</f>
        <v>LA PAZ</v>
      </c>
      <c r="Q1241" s="30" t="str">
        <f ca="1">IFERROR(__xludf.DUMMYFUNCTION("""COMPUTED_VALUE"""),"-33.45856682")</f>
        <v>-33.45856682</v>
      </c>
      <c r="R1241" s="30" t="str">
        <f ca="1">IFERROR(__xludf.DUMMYFUNCTION("""COMPUTED_VALUE"""),"-67.54918098")</f>
        <v>-67.54918098</v>
      </c>
      <c r="S1241" s="30" t="str">
        <f ca="1">IFERROR(__xludf.DUMMYFUNCTION("""COMPUTED_VALUE"""),"Provincial")</f>
        <v>Provincial</v>
      </c>
      <c r="T1241" s="30" t="str">
        <f ca="1">IFERROR(__xludf.DUMMYFUNCTION("""COMPUTED_VALUE"""),"-")</f>
        <v>-</v>
      </c>
    </row>
    <row r="1242" spans="1:20" ht="15.75" customHeight="1" x14ac:dyDescent="0.25">
      <c r="A1242" s="30" t="str">
        <f ca="1">IFERROR(__xludf.DUMMYFUNCTION("""COMPUTED_VALUE"""),"10500492157028")</f>
        <v>10500492157028</v>
      </c>
      <c r="B1242" s="30" t="str">
        <f ca="1">IFERROR(__xludf.DUMMYFUNCTION("""COMPUTED_VALUE"""),"HOSPITAL LUIS CHRABALOWSKI.-")</f>
        <v>HOSPITAL LUIS CHRABALOWSKI.-</v>
      </c>
      <c r="C1242" s="30" t="str">
        <f ca="1">IFERROR(__xludf.DUMMYFUNCTION("""COMPUTED_VALUE"""),"Mendoza")</f>
        <v>Mendoza</v>
      </c>
      <c r="D1242" s="30" t="str">
        <f ca="1">IFERROR(__xludf.DUMMYFUNCTION("""COMPUTED_VALUE"""),"50")</f>
        <v>50</v>
      </c>
      <c r="E1242" s="30" t="str">
        <f ca="1">IFERROR(__xludf.DUMMYFUNCTION("""COMPUTED_VALUE"""),"si")</f>
        <v>si</v>
      </c>
      <c r="F1242" s="29"/>
      <c r="G1242" s="29"/>
      <c r="H1242" s="30" t="str">
        <f ca="1">IFERROR(__xludf.DUMMYFUNCTION("""COMPUTED_VALUE"""),"inactivo")</f>
        <v>inactivo</v>
      </c>
      <c r="I1242" s="30" t="str">
        <f ca="1">IFERROR(__xludf.DUMMYFUNCTION("""COMPUTED_VALUE"""),"circular 2: se pasan de los 82// se da de baja en CAI 2021 por pedido de la provincia con nota enviada el 15/3/2021")</f>
        <v>circular 2: se pasan de los 82// se da de baja en CAI 2021 por pedido de la provincia con nota enviada el 15/3/2021</v>
      </c>
      <c r="J1242" s="29"/>
      <c r="K1242" s="29"/>
      <c r="L1242" s="30" t="str">
        <f ca="1">IFERROR(__xludf.DUMMYFUNCTION("""COMPUTED_VALUE"""),"No")</f>
        <v>No</v>
      </c>
      <c r="M1242" s="30" t="str">
        <f ca="1">IFERROR(__xludf.DUMMYFUNCTION("""COMPUTED_VALUE"""),"50049110000")</f>
        <v>50049110000</v>
      </c>
      <c r="N1242" s="30" t="str">
        <f ca="1">IFERROR(__xludf.DUMMYFUNCTION("""COMPUTED_VALUE"""),"USPALLATA")</f>
        <v>USPALLATA</v>
      </c>
      <c r="O1242" s="30" t="str">
        <f ca="1">IFERROR(__xludf.DUMMYFUNCTION("""COMPUTED_VALUE"""),"5049")</f>
        <v>5049</v>
      </c>
      <c r="P1242" s="30" t="str">
        <f ca="1">IFERROR(__xludf.DUMMYFUNCTION("""COMPUTED_VALUE"""),"LAS HERAS")</f>
        <v>LAS HERAS</v>
      </c>
      <c r="Q1242" s="30" t="str">
        <f ca="1">IFERROR(__xludf.DUMMYFUNCTION("""COMPUTED_VALUE"""),"-32.59395114")</f>
        <v>-32.59395114</v>
      </c>
      <c r="R1242" s="30" t="str">
        <f ca="1">IFERROR(__xludf.DUMMYFUNCTION("""COMPUTED_VALUE"""),"-69.34648097")</f>
        <v>-69.34648097</v>
      </c>
      <c r="S1242" s="30" t="str">
        <f ca="1">IFERROR(__xludf.DUMMYFUNCTION("""COMPUTED_VALUE"""),"Provincial")</f>
        <v>Provincial</v>
      </c>
      <c r="T1242" s="30" t="str">
        <f ca="1">IFERROR(__xludf.DUMMYFUNCTION("""COMPUTED_VALUE"""),"-")</f>
        <v>-</v>
      </c>
    </row>
    <row r="1243" spans="1:20" ht="15.75" customHeight="1" x14ac:dyDescent="0.25">
      <c r="A1243" s="30" t="str">
        <f ca="1">IFERROR(__xludf.DUMMYFUNCTION("""COMPUTED_VALUE"""),"10500562157027")</f>
        <v>10500562157027</v>
      </c>
      <c r="B1243" s="30" t="str">
        <f ca="1">IFERROR(__xludf.DUMMYFUNCTION("""COMPUTED_VALUE"""),"HOSPITAL DOMINGO S. F. SICOLI.-")</f>
        <v>HOSPITAL DOMINGO S. F. SICOLI.-</v>
      </c>
      <c r="C1243" s="30" t="str">
        <f ca="1">IFERROR(__xludf.DUMMYFUNCTION("""COMPUTED_VALUE"""),"Mendoza")</f>
        <v>Mendoza</v>
      </c>
      <c r="D1243" s="30" t="str">
        <f ca="1">IFERROR(__xludf.DUMMYFUNCTION("""COMPUTED_VALUE"""),"50")</f>
        <v>50</v>
      </c>
      <c r="E1243" s="30" t="str">
        <f ca="1">IFERROR(__xludf.DUMMYFUNCTION("""COMPUTED_VALUE"""),"")</f>
        <v/>
      </c>
      <c r="F1243" s="29"/>
      <c r="G1243" s="29"/>
      <c r="H1243" s="30" t="str">
        <f ca="1">IFERROR(__xludf.DUMMYFUNCTION("""COMPUTED_VALUE"""),"activo")</f>
        <v>activo</v>
      </c>
      <c r="I1243" s="29"/>
      <c r="J1243" s="29"/>
      <c r="K1243" s="29"/>
      <c r="L1243" s="30" t="str">
        <f ca="1">IFERROR(__xludf.DUMMYFUNCTION("""COMPUTED_VALUE"""),"No")</f>
        <v>No</v>
      </c>
      <c r="M1243" s="30" t="str">
        <f ca="1">IFERROR(__xludf.DUMMYFUNCTION("""COMPUTED_VALUE"""),"50056160000")</f>
        <v>50056160000</v>
      </c>
      <c r="N1243" s="30" t="str">
        <f ca="1">IFERROR(__xludf.DUMMYFUNCTION("""COMPUTED_VALUE"""),"VILLA TULUMAYA")</f>
        <v>VILLA TULUMAYA</v>
      </c>
      <c r="O1243" s="30" t="str">
        <f ca="1">IFERROR(__xludf.DUMMYFUNCTION("""COMPUTED_VALUE"""),"5056")</f>
        <v>5056</v>
      </c>
      <c r="P1243" s="30" t="str">
        <f ca="1">IFERROR(__xludf.DUMMYFUNCTION("""COMPUTED_VALUE"""),"LAVALLE")</f>
        <v>LAVALLE</v>
      </c>
      <c r="Q1243" s="30" t="str">
        <f ca="1">IFERROR(__xludf.DUMMYFUNCTION("""COMPUTED_VALUE"""),"-32.72164")</f>
        <v>-32.72164</v>
      </c>
      <c r="R1243" s="30" t="str">
        <f ca="1">IFERROR(__xludf.DUMMYFUNCTION("""COMPUTED_VALUE"""),"-68.588266")</f>
        <v>-68.588266</v>
      </c>
      <c r="S1243" s="30" t="str">
        <f ca="1">IFERROR(__xludf.DUMMYFUNCTION("""COMPUTED_VALUE"""),"Provincial")</f>
        <v>Provincial</v>
      </c>
      <c r="T1243" s="30" t="str">
        <f ca="1">IFERROR(__xludf.DUMMYFUNCTION("""COMPUTED_VALUE"""),"-")</f>
        <v>-</v>
      </c>
    </row>
    <row r="1244" spans="1:20" ht="15.75" customHeight="1" x14ac:dyDescent="0.25">
      <c r="A1244" s="30" t="str">
        <f ca="1">IFERROR(__xludf.DUMMYFUNCTION("""COMPUTED_VALUE"""),"10500912157382")</f>
        <v>10500912157382</v>
      </c>
      <c r="B1244" s="30" t="str">
        <f ca="1">IFERROR(__xludf.DUMMYFUNCTION("""COMPUTED_VALUE"""),"HOSPITAL VICTORINO TAGARELLI.-")</f>
        <v>HOSPITAL VICTORINO TAGARELLI.-</v>
      </c>
      <c r="C1244" s="30" t="str">
        <f ca="1">IFERROR(__xludf.DUMMYFUNCTION("""COMPUTED_VALUE"""),"Mendoza")</f>
        <v>Mendoza</v>
      </c>
      <c r="D1244" s="30" t="str">
        <f ca="1">IFERROR(__xludf.DUMMYFUNCTION("""COMPUTED_VALUE"""),"50")</f>
        <v>50</v>
      </c>
      <c r="E1244" s="30" t="str">
        <f ca="1">IFERROR(__xludf.DUMMYFUNCTION("""COMPUTED_VALUE"""),"")</f>
        <v/>
      </c>
      <c r="F1244" s="29"/>
      <c r="G1244" s="29"/>
      <c r="H1244" s="30" t="str">
        <f ca="1">IFERROR(__xludf.DUMMYFUNCTION("""COMPUTED_VALUE"""),"inactivo")</f>
        <v>inactivo</v>
      </c>
      <c r="I1244" s="29"/>
      <c r="J1244" s="29"/>
      <c r="K1244" s="29"/>
      <c r="L1244" s="30" t="str">
        <f ca="1">IFERROR(__xludf.DUMMYFUNCTION("""COMPUTED_VALUE"""),"No")</f>
        <v>No</v>
      </c>
      <c r="M1244" s="30" t="str">
        <f ca="1">IFERROR(__xludf.DUMMYFUNCTION("""COMPUTED_VALUE"""),"50091030000")</f>
        <v>50091030000</v>
      </c>
      <c r="N1244" s="30" t="str">
        <f ca="1">IFERROR(__xludf.DUMMYFUNCTION("""COMPUTED_VALUE"""),"EUGENIO BUSTOS")</f>
        <v>EUGENIO BUSTOS</v>
      </c>
      <c r="O1244" s="30" t="str">
        <f ca="1">IFERROR(__xludf.DUMMYFUNCTION("""COMPUTED_VALUE"""),"5091")</f>
        <v>5091</v>
      </c>
      <c r="P1244" s="30" t="str">
        <f ca="1">IFERROR(__xludf.DUMMYFUNCTION("""COMPUTED_VALUE"""),"SAN CARLOS")</f>
        <v>SAN CARLOS</v>
      </c>
      <c r="Q1244" s="30" t="str">
        <f ca="1">IFERROR(__xludf.DUMMYFUNCTION("""COMPUTED_VALUE"""),"-33.77970022")</f>
        <v>-33.77970022</v>
      </c>
      <c r="R1244" s="30" t="str">
        <f ca="1">IFERROR(__xludf.DUMMYFUNCTION("""COMPUTED_VALUE"""),"-69.0655303")</f>
        <v>-69.0655303</v>
      </c>
      <c r="S1244" s="30" t="str">
        <f ca="1">IFERROR(__xludf.DUMMYFUNCTION("""COMPUTED_VALUE"""),"Provincial")</f>
        <v>Provincial</v>
      </c>
      <c r="T1244" s="30" t="str">
        <f ca="1">IFERROR(__xludf.DUMMYFUNCTION("""COMPUTED_VALUE"""),"-")</f>
        <v>-</v>
      </c>
    </row>
    <row r="1245" spans="1:20" ht="15.75" customHeight="1" x14ac:dyDescent="0.25">
      <c r="A1245" s="30" t="str">
        <f ca="1">IFERROR(__xludf.DUMMYFUNCTION("""COMPUTED_VALUE"""),"10501122157035")</f>
        <v>10501122157035</v>
      </c>
      <c r="B1245" s="30" t="str">
        <f ca="1">IFERROR(__xludf.DUMMYFUNCTION("""COMPUTED_VALUE"""),"HOSPITAL FERNANDO ARENAS RAFFO.-")</f>
        <v>HOSPITAL FERNANDO ARENAS RAFFO.-</v>
      </c>
      <c r="C1245" s="30" t="str">
        <f ca="1">IFERROR(__xludf.DUMMYFUNCTION("""COMPUTED_VALUE"""),"Mendoza")</f>
        <v>Mendoza</v>
      </c>
      <c r="D1245" s="30" t="str">
        <f ca="1">IFERROR(__xludf.DUMMYFUNCTION("""COMPUTED_VALUE"""),"50")</f>
        <v>50</v>
      </c>
      <c r="E1245" s="30" t="str">
        <f ca="1">IFERROR(__xludf.DUMMYFUNCTION("""COMPUTED_VALUE"""),"")</f>
        <v/>
      </c>
      <c r="F1245" s="29"/>
      <c r="G1245" s="29"/>
      <c r="H1245" s="30" t="str">
        <f ca="1">IFERROR(__xludf.DUMMYFUNCTION("""COMPUTED_VALUE"""),"inactivo")</f>
        <v>inactivo</v>
      </c>
      <c r="I1245" s="30" t="str">
        <f ca="1">IFERROR(__xludf.DUMMYFUNCTION("""COMPUTED_VALUE"""),"Se dio de baja en el CAI 2021, por pedido de la provincia con nota enviada el 15/3/2021")</f>
        <v>Se dio de baja en el CAI 2021, por pedido de la provincia con nota enviada el 15/3/2021</v>
      </c>
      <c r="J1245" s="29"/>
      <c r="K1245" s="29"/>
      <c r="L1245" s="30" t="str">
        <f ca="1">IFERROR(__xludf.DUMMYFUNCTION("""COMPUTED_VALUE"""),"No")</f>
        <v>No</v>
      </c>
      <c r="M1245" s="30" t="str">
        <f ca="1">IFERROR(__xludf.DUMMYFUNCTION("""COMPUTED_VALUE"""),"50112060000")</f>
        <v>50112060000</v>
      </c>
      <c r="N1245" s="30" t="str">
        <f ca="1">IFERROR(__xludf.DUMMYFUNCTION("""COMPUTED_VALUE"""),"SANTA ROSA")</f>
        <v>SANTA ROSA</v>
      </c>
      <c r="O1245" s="30" t="str">
        <f ca="1">IFERROR(__xludf.DUMMYFUNCTION("""COMPUTED_VALUE"""),"50112")</f>
        <v>50112</v>
      </c>
      <c r="P1245" s="30" t="str">
        <f ca="1">IFERROR(__xludf.DUMMYFUNCTION("""COMPUTED_VALUE"""),"SANTA ROSA")</f>
        <v>SANTA ROSA</v>
      </c>
      <c r="Q1245" s="30" t="str">
        <f ca="1">IFERROR(__xludf.DUMMYFUNCTION("""COMPUTED_VALUE"""),"-33.25408925")</f>
        <v>-33.25408925</v>
      </c>
      <c r="R1245" s="30" t="str">
        <f ca="1">IFERROR(__xludf.DUMMYFUNCTION("""COMPUTED_VALUE"""),"-68.14490497")</f>
        <v>-68.14490497</v>
      </c>
      <c r="S1245" s="30" t="str">
        <f ca="1">IFERROR(__xludf.DUMMYFUNCTION("""COMPUTED_VALUE"""),"Provincial")</f>
        <v>Provincial</v>
      </c>
      <c r="T1245" s="30" t="str">
        <f ca="1">IFERROR(__xludf.DUMMYFUNCTION("""COMPUTED_VALUE"""),"-")</f>
        <v>-</v>
      </c>
    </row>
    <row r="1246" spans="1:20" ht="15.75" customHeight="1" x14ac:dyDescent="0.25">
      <c r="A1246" s="30" t="str">
        <f ca="1">IFERROR(__xludf.DUMMYFUNCTION("""COMPUTED_VALUE"""),"15500492157076")</f>
        <v>15500492157076</v>
      </c>
      <c r="B1246" s="30" t="str">
        <f ca="1">IFERROR(__xludf.DUMMYFUNCTION("""COMPUTED_VALUE"""),"HOSPITAL HECTOR E. GAILHAC.-")</f>
        <v>HOSPITAL HECTOR E. GAILHAC.-</v>
      </c>
      <c r="C1246" s="30" t="str">
        <f ca="1">IFERROR(__xludf.DUMMYFUNCTION("""COMPUTED_VALUE"""),"Mendoza")</f>
        <v>Mendoza</v>
      </c>
      <c r="D1246" s="30" t="str">
        <f ca="1">IFERROR(__xludf.DUMMYFUNCTION("""COMPUTED_VALUE"""),"50")</f>
        <v>50</v>
      </c>
      <c r="E1246" s="30" t="str">
        <f ca="1">IFERROR(__xludf.DUMMYFUNCTION("""COMPUTED_VALUE"""),"si")</f>
        <v>si</v>
      </c>
      <c r="F1246" s="29"/>
      <c r="G1246" s="29"/>
      <c r="H1246" s="30" t="str">
        <f ca="1">IFERROR(__xludf.DUMMYFUNCTION("""COMPUTED_VALUE"""),"activo")</f>
        <v>activo</v>
      </c>
      <c r="I1246" s="29"/>
      <c r="J1246" s="29"/>
      <c r="K1246" s="29"/>
      <c r="L1246" s="30" t="str">
        <f ca="1">IFERROR(__xludf.DUMMYFUNCTION("""COMPUTED_VALUE"""),"No")</f>
        <v>No</v>
      </c>
      <c r="M1246" s="30" t="str">
        <f ca="1">IFERROR(__xludf.DUMMYFUNCTION("""COMPUTED_VALUE"""),"50049050003")</f>
        <v>50049050003</v>
      </c>
      <c r="N1246" s="30" t="str">
        <f ca="1">IFERROR(__xludf.DUMMYFUNCTION("""COMPUTED_VALUE"""),"EL ALGARROBAL")</f>
        <v>EL ALGARROBAL</v>
      </c>
      <c r="O1246" s="30" t="str">
        <f ca="1">IFERROR(__xludf.DUMMYFUNCTION("""COMPUTED_VALUE"""),"5049")</f>
        <v>5049</v>
      </c>
      <c r="P1246" s="30" t="str">
        <f ca="1">IFERROR(__xludf.DUMMYFUNCTION("""COMPUTED_VALUE"""),"LAS HERAS")</f>
        <v>LAS HERAS</v>
      </c>
      <c r="Q1246" s="30" t="str">
        <f ca="1">IFERROR(__xludf.DUMMYFUNCTION("""COMPUTED_VALUE"""),"-32.84267363")</f>
        <v>-32.84267363</v>
      </c>
      <c r="R1246" s="30" t="str">
        <f ca="1">IFERROR(__xludf.DUMMYFUNCTION("""COMPUTED_VALUE"""),"-68.77299786")</f>
        <v>-68.77299786</v>
      </c>
      <c r="S1246" s="30" t="str">
        <f ca="1">IFERROR(__xludf.DUMMYFUNCTION("""COMPUTED_VALUE"""),"Provincial")</f>
        <v>Provincial</v>
      </c>
      <c r="T1246" s="30" t="str">
        <f ca="1">IFERROR(__xludf.DUMMYFUNCTION("""COMPUTED_VALUE"""),"-")</f>
        <v>-</v>
      </c>
    </row>
    <row r="1247" spans="1:20" ht="15.75" customHeight="1" x14ac:dyDescent="0.25">
      <c r="A1247" s="30" t="str">
        <f ca="1">IFERROR(__xludf.DUMMYFUNCTION("""COMPUTED_VALUE"""),"15501052157075")</f>
        <v>15501052157075</v>
      </c>
      <c r="B1247" s="30" t="str">
        <f ca="1">IFERROR(__xludf.DUMMYFUNCTION("""COMPUTED_VALUE"""),"HOSPITAL EVA PERON.-")</f>
        <v>HOSPITAL EVA PERON.-</v>
      </c>
      <c r="C1247" s="30" t="str">
        <f ca="1">IFERROR(__xludf.DUMMYFUNCTION("""COMPUTED_VALUE"""),"Mendoza")</f>
        <v>Mendoza</v>
      </c>
      <c r="D1247" s="30" t="str">
        <f ca="1">IFERROR(__xludf.DUMMYFUNCTION("""COMPUTED_VALUE"""),"50")</f>
        <v>50</v>
      </c>
      <c r="E1247" s="30" t="str">
        <f ca="1">IFERROR(__xludf.DUMMYFUNCTION("""COMPUTED_VALUE"""),"")</f>
        <v/>
      </c>
      <c r="F1247" s="29"/>
      <c r="G1247" s="29"/>
      <c r="H1247" s="30" t="str">
        <f ca="1">IFERROR(__xludf.DUMMYFUNCTION("""COMPUTED_VALUE"""),"inactivo")</f>
        <v>inactivo</v>
      </c>
      <c r="I1247" s="30" t="str">
        <f ca="1">IFERROR(__xludf.DUMMYFUNCTION("""COMPUTED_VALUE"""),"Se dio de baja en el CAI 2021, por pedido de la provincia con nota enviada el 15/3/2021")</f>
        <v>Se dio de baja en el CAI 2021, por pedido de la provincia con nota enviada el 15/3/2021</v>
      </c>
      <c r="J1247" s="29"/>
      <c r="K1247" s="29"/>
      <c r="L1247" s="30" t="str">
        <f ca="1">IFERROR(__xludf.DUMMYFUNCTION("""COMPUTED_VALUE"""),"No")</f>
        <v>No</v>
      </c>
      <c r="M1247" s="30" t="str">
        <f ca="1">IFERROR(__xludf.DUMMYFUNCTION("""COMPUTED_VALUE"""),"50105110000")</f>
        <v>50105110000</v>
      </c>
      <c r="N1247" s="30" t="str">
        <f ca="1">IFERROR(__xludf.DUMMYFUNCTION("""COMPUTED_VALUE"""),"JAIME PRATS")</f>
        <v>JAIME PRATS</v>
      </c>
      <c r="O1247" s="30" t="str">
        <f ca="1">IFERROR(__xludf.DUMMYFUNCTION("""COMPUTED_VALUE"""),"50105")</f>
        <v>50105</v>
      </c>
      <c r="P1247" s="30" t="str">
        <f ca="1">IFERROR(__xludf.DUMMYFUNCTION("""COMPUTED_VALUE"""),"SAN RAFAEL")</f>
        <v>SAN RAFAEL</v>
      </c>
      <c r="Q1247" s="30" t="str">
        <f ca="1">IFERROR(__xludf.DUMMYFUNCTION("""COMPUTED_VALUE"""),"-34.90853924")</f>
        <v>-34.90853924</v>
      </c>
      <c r="R1247" s="30" t="str">
        <f ca="1">IFERROR(__xludf.DUMMYFUNCTION("""COMPUTED_VALUE"""),"-67.8154546")</f>
        <v>-67.8154546</v>
      </c>
      <c r="S1247" s="30" t="str">
        <f ca="1">IFERROR(__xludf.DUMMYFUNCTION("""COMPUTED_VALUE"""),"Provincial")</f>
        <v>Provincial</v>
      </c>
      <c r="T1247" s="30" t="str">
        <f ca="1">IFERROR(__xludf.DUMMYFUNCTION("""COMPUTED_VALUE"""),"-")</f>
        <v>-</v>
      </c>
    </row>
    <row r="1248" spans="1:20" ht="15.75" customHeight="1" x14ac:dyDescent="0.25">
      <c r="A1248" s="30" t="str">
        <f ca="1">IFERROR(__xludf.DUMMYFUNCTION("""COMPUTED_VALUE"""),"50500072257833")</f>
        <v>50500072257833</v>
      </c>
      <c r="B1248" s="30" t="str">
        <f ca="1">IFERROR(__xludf.DUMMYFUNCTION("""COMPUTED_VALUE"""),"C.A.P.S. 367 CENTRO MUNICIPAL BARRIO ANDINO.-")</f>
        <v>C.A.P.S. 367 CENTRO MUNICIPAL BARRIO ANDINO.-</v>
      </c>
      <c r="C1248" s="30" t="str">
        <f ca="1">IFERROR(__xludf.DUMMYFUNCTION("""COMPUTED_VALUE"""),"Mendoza")</f>
        <v>Mendoza</v>
      </c>
      <c r="D1248" s="30" t="str">
        <f ca="1">IFERROR(__xludf.DUMMYFUNCTION("""COMPUTED_VALUE"""),"50")</f>
        <v>50</v>
      </c>
      <c r="E1248" s="30" t="str">
        <f ca="1">IFERROR(__xludf.DUMMYFUNCTION("""COMPUTED_VALUE"""),"")</f>
        <v/>
      </c>
      <c r="F1248" s="29"/>
      <c r="G1248" s="29"/>
      <c r="H1248" s="30" t="str">
        <f ca="1">IFERROR(__xludf.DUMMYFUNCTION("""COMPUTED_VALUE"""),"activo")</f>
        <v>activo</v>
      </c>
      <c r="I1248" s="29"/>
      <c r="J1248" s="29"/>
      <c r="K1248" s="29"/>
      <c r="L1248" s="30" t="str">
        <f ca="1">IFERROR(__xludf.DUMMYFUNCTION("""COMPUTED_VALUE"""),"No")</f>
        <v>No</v>
      </c>
      <c r="M1248" s="30" t="str">
        <f ca="1">IFERROR(__xludf.DUMMYFUNCTION("""COMPUTED_VALUE"""),"50007010011")</f>
        <v>50007010011</v>
      </c>
      <c r="N1248" s="30" t="str">
        <f ca="1">IFERROR(__xludf.DUMMYFUNCTION("""COMPUTED_VALUE"""),"11A. SECCION")</f>
        <v>11A. SECCION</v>
      </c>
      <c r="O1248" s="30" t="str">
        <f ca="1">IFERROR(__xludf.DUMMYFUNCTION("""COMPUTED_VALUE"""),"507")</f>
        <v>507</v>
      </c>
      <c r="P1248" s="30" t="str">
        <f ca="1">IFERROR(__xludf.DUMMYFUNCTION("""COMPUTED_VALUE"""),"CAPITAL")</f>
        <v>CAPITAL</v>
      </c>
      <c r="Q1248" s="30" t="str">
        <f ca="1">IFERROR(__xludf.DUMMYFUNCTION("""COMPUTED_VALUE"""),"-32.88841675")</f>
        <v>-32.88841675</v>
      </c>
      <c r="R1248" s="30" t="str">
        <f ca="1">IFERROR(__xludf.DUMMYFUNCTION("""COMPUTED_VALUE"""),"-68.91313791")</f>
        <v>-68.91313791</v>
      </c>
      <c r="S1248" s="30" t="str">
        <f ca="1">IFERROR(__xludf.DUMMYFUNCTION("""COMPUTED_VALUE"""),"Municipal")</f>
        <v>Municipal</v>
      </c>
      <c r="T1248" s="29"/>
    </row>
    <row r="1249" spans="1:20" ht="15.75" customHeight="1" x14ac:dyDescent="0.25">
      <c r="A1249" s="30" t="str">
        <f ca="1">IFERROR(__xludf.DUMMYFUNCTION("""COMPUTED_VALUE"""),"50500142158564")</f>
        <v>50500142158564</v>
      </c>
      <c r="B1249" s="30" t="str">
        <f ca="1">IFERROR(__xludf.DUMMYFUNCTION("""COMPUTED_VALUE"""),"C.A.P.S. 120 ALVEAR OESTE.-")</f>
        <v>C.A.P.S. 120 ALVEAR OESTE.-</v>
      </c>
      <c r="C1249" s="30" t="str">
        <f ca="1">IFERROR(__xludf.DUMMYFUNCTION("""COMPUTED_VALUE"""),"Mendoza")</f>
        <v>Mendoza</v>
      </c>
      <c r="D1249" s="30" t="str">
        <f ca="1">IFERROR(__xludf.DUMMYFUNCTION("""COMPUTED_VALUE"""),"50")</f>
        <v>50</v>
      </c>
      <c r="E1249" s="30" t="str">
        <f ca="1">IFERROR(__xludf.DUMMYFUNCTION("""COMPUTED_VALUE"""),"")</f>
        <v/>
      </c>
      <c r="F1249" s="29"/>
      <c r="G1249" s="29"/>
      <c r="H1249" s="30" t="str">
        <f ca="1">IFERROR(__xludf.DUMMYFUNCTION("""COMPUTED_VALUE"""),"activo")</f>
        <v>activo</v>
      </c>
      <c r="I1249" s="29"/>
      <c r="J1249" s="29"/>
      <c r="K1249" s="29"/>
      <c r="L1249" s="30" t="str">
        <f ca="1">IFERROR(__xludf.DUMMYFUNCTION("""COMPUTED_VALUE"""),"No")</f>
        <v>No</v>
      </c>
      <c r="M1249" s="30" t="str">
        <f ca="1">IFERROR(__xludf.DUMMYFUNCTION("""COMPUTED_VALUE"""),"50014080")</f>
        <v>50014080</v>
      </c>
      <c r="N1249" s="30" t="str">
        <f ca="1">IFERROR(__xludf.DUMMYFUNCTION("""COMPUTED_VALUE"""),"COLONIA ALVEAR OESTE")</f>
        <v>COLONIA ALVEAR OESTE</v>
      </c>
      <c r="O1249" s="30" t="str">
        <f ca="1">IFERROR(__xludf.DUMMYFUNCTION("""COMPUTED_VALUE"""),"5014")</f>
        <v>5014</v>
      </c>
      <c r="P1249" s="30" t="str">
        <f ca="1">IFERROR(__xludf.DUMMYFUNCTION("""COMPUTED_VALUE"""),"GENERAL ALVEAR")</f>
        <v>GENERAL ALVEAR</v>
      </c>
      <c r="Q1249" s="30" t="str">
        <f ca="1">IFERROR(__xludf.DUMMYFUNCTION("""COMPUTED_VALUE"""),"-34.998729")</f>
        <v>-34.998729</v>
      </c>
      <c r="R1249" s="30" t="str">
        <f ca="1">IFERROR(__xludf.DUMMYFUNCTION("""COMPUTED_VALUE"""),"-67.652469")</f>
        <v>-67.652469</v>
      </c>
      <c r="S1249" s="30" t="str">
        <f ca="1">IFERROR(__xludf.DUMMYFUNCTION("""COMPUTED_VALUE"""),"Provincial")</f>
        <v>Provincial</v>
      </c>
      <c r="T1249" s="30" t="str">
        <f ca="1">IFERROR(__xludf.DUMMYFUNCTION("""COMPUTED_VALUE"""),"-")</f>
        <v>-</v>
      </c>
    </row>
    <row r="1250" spans="1:20" ht="15.75" customHeight="1" x14ac:dyDescent="0.25">
      <c r="A1250" s="30" t="str">
        <f ca="1">IFERROR(__xludf.DUMMYFUNCTION("""COMPUTED_VALUE"""),"50500212157101")</f>
        <v>50500212157101</v>
      </c>
      <c r="B1250" s="30" t="str">
        <f ca="1">IFERROR(__xludf.DUMMYFUNCTION("""COMPUTED_VALUE"""),"C.A.P.S. 204 BARRIO SARMIENTO.-")</f>
        <v>C.A.P.S. 204 BARRIO SARMIENTO.-</v>
      </c>
      <c r="C1250" s="30" t="str">
        <f ca="1">IFERROR(__xludf.DUMMYFUNCTION("""COMPUTED_VALUE"""),"Mendoza")</f>
        <v>Mendoza</v>
      </c>
      <c r="D1250" s="30" t="str">
        <f ca="1">IFERROR(__xludf.DUMMYFUNCTION("""COMPUTED_VALUE"""),"50")</f>
        <v>50</v>
      </c>
      <c r="E1250" s="30" t="str">
        <f ca="1">IFERROR(__xludf.DUMMYFUNCTION("""COMPUTED_VALUE"""),"")</f>
        <v/>
      </c>
      <c r="F1250" s="29"/>
      <c r="G1250" s="29"/>
      <c r="H1250" s="30" t="str">
        <f ca="1">IFERROR(__xludf.DUMMYFUNCTION("""COMPUTED_VALUE"""),"activo")</f>
        <v>activo</v>
      </c>
      <c r="I1250" s="29"/>
      <c r="J1250" s="29"/>
      <c r="K1250" s="29"/>
      <c r="L1250" s="30" t="str">
        <f ca="1">IFERROR(__xludf.DUMMYFUNCTION("""COMPUTED_VALUE"""),"No")</f>
        <v>No</v>
      </c>
      <c r="M1250" s="30" t="str">
        <f ca="1">IFERROR(__xludf.DUMMYFUNCTION("""COMPUTED_VALUE"""),"50021010004")</f>
        <v>50021010004</v>
      </c>
      <c r="N1250" s="30" t="str">
        <f ca="1">IFERROR(__xludf.DUMMYFUNCTION("""COMPUTED_VALUE"""),"PRESIDENTE SARMIENTO")</f>
        <v>PRESIDENTE SARMIENTO</v>
      </c>
      <c r="O1250" s="30" t="str">
        <f ca="1">IFERROR(__xludf.DUMMYFUNCTION("""COMPUTED_VALUE"""),"5021")</f>
        <v>5021</v>
      </c>
      <c r="P1250" s="30" t="str">
        <f ca="1">IFERROR(__xludf.DUMMYFUNCTION("""COMPUTED_VALUE"""),"GODOY CRUZ")</f>
        <v>GODOY CRUZ</v>
      </c>
      <c r="Q1250" s="30" t="str">
        <f ca="1">IFERROR(__xludf.DUMMYFUNCTION("""COMPUTED_VALUE"""),"-32.93237133")</f>
        <v>-32.93237133</v>
      </c>
      <c r="R1250" s="30" t="str">
        <f ca="1">IFERROR(__xludf.DUMMYFUNCTION("""COMPUTED_VALUE"""),"-68.87333393")</f>
        <v>-68.87333393</v>
      </c>
      <c r="S1250" s="30" t="str">
        <f ca="1">IFERROR(__xludf.DUMMYFUNCTION("""COMPUTED_VALUE"""),"Provincial")</f>
        <v>Provincial</v>
      </c>
      <c r="T1250" s="30" t="str">
        <f ca="1">IFERROR(__xludf.DUMMYFUNCTION("""COMPUTED_VALUE"""),"-")</f>
        <v>-</v>
      </c>
    </row>
    <row r="1251" spans="1:20" ht="15.75" customHeight="1" x14ac:dyDescent="0.25">
      <c r="A1251" s="30" t="str">
        <f ca="1">IFERROR(__xludf.DUMMYFUNCTION("""COMPUTED_VALUE"""),"50500212157125")</f>
        <v>50500212157125</v>
      </c>
      <c r="B1251" s="30" t="str">
        <f ca="1">IFERROR(__xludf.DUMMYFUNCTION("""COMPUTED_VALUE"""),"C.A.P.S. 168 BARRIO LA ESTANZUELA.-")</f>
        <v>C.A.P.S. 168 BARRIO LA ESTANZUELA.-</v>
      </c>
      <c r="C1251" s="30" t="str">
        <f ca="1">IFERROR(__xludf.DUMMYFUNCTION("""COMPUTED_VALUE"""),"Mendoza")</f>
        <v>Mendoza</v>
      </c>
      <c r="D1251" s="30" t="str">
        <f ca="1">IFERROR(__xludf.DUMMYFUNCTION("""COMPUTED_VALUE"""),"50")</f>
        <v>50</v>
      </c>
      <c r="E1251" s="30" t="str">
        <f ca="1">IFERROR(__xludf.DUMMYFUNCTION("""COMPUTED_VALUE"""),"")</f>
        <v/>
      </c>
      <c r="F1251" s="29"/>
      <c r="G1251" s="29"/>
      <c r="H1251" s="30" t="str">
        <f ca="1">IFERROR(__xludf.DUMMYFUNCTION("""COMPUTED_VALUE"""),"activo")</f>
        <v>activo</v>
      </c>
      <c r="I1251" s="29"/>
      <c r="J1251" s="29"/>
      <c r="K1251" s="29"/>
      <c r="L1251" s="30" t="str">
        <f ca="1">IFERROR(__xludf.DUMMYFUNCTION("""COMPUTED_VALUE"""),"No")</f>
        <v>No</v>
      </c>
      <c r="M1251" s="30" t="str">
        <f ca="1">IFERROR(__xludf.DUMMYFUNCTION("""COMPUTED_VALUE"""),"50021010004")</f>
        <v>50021010004</v>
      </c>
      <c r="N1251" s="30" t="str">
        <f ca="1">IFERROR(__xludf.DUMMYFUNCTION("""COMPUTED_VALUE"""),"PRESIDENTE SARMIENTO")</f>
        <v>PRESIDENTE SARMIENTO</v>
      </c>
      <c r="O1251" s="30" t="str">
        <f ca="1">IFERROR(__xludf.DUMMYFUNCTION("""COMPUTED_VALUE"""),"5021")</f>
        <v>5021</v>
      </c>
      <c r="P1251" s="30" t="str">
        <f ca="1">IFERROR(__xludf.DUMMYFUNCTION("""COMPUTED_VALUE"""),"GODOY CRUZ")</f>
        <v>GODOY CRUZ</v>
      </c>
      <c r="Q1251" s="30" t="str">
        <f ca="1">IFERROR(__xludf.DUMMYFUNCTION("""COMPUTED_VALUE"""),"-32.94558601")</f>
        <v>-32.94558601</v>
      </c>
      <c r="R1251" s="30" t="str">
        <f ca="1">IFERROR(__xludf.DUMMYFUNCTION("""COMPUTED_VALUE"""),"-68.87028694")</f>
        <v>-68.87028694</v>
      </c>
      <c r="S1251" s="30" t="str">
        <f ca="1">IFERROR(__xludf.DUMMYFUNCTION("""COMPUTED_VALUE"""),"Provincial")</f>
        <v>Provincial</v>
      </c>
      <c r="T1251" s="30" t="str">
        <f ca="1">IFERROR(__xludf.DUMMYFUNCTION("""COMPUTED_VALUE"""),"-")</f>
        <v>-</v>
      </c>
    </row>
    <row r="1252" spans="1:20" ht="15.75" customHeight="1" x14ac:dyDescent="0.25">
      <c r="A1252" s="30" t="str">
        <f ca="1">IFERROR(__xludf.DUMMYFUNCTION("""COMPUTED_VALUE"""),"50500212157192")</f>
        <v>50500212157192</v>
      </c>
      <c r="B1252" s="30" t="str">
        <f ca="1">IFERROR(__xludf.DUMMYFUNCTION("""COMPUTED_VALUE"""),"C.A.P.S. 134 JORGE J. A. CONTRERAS.-")</f>
        <v>C.A.P.S. 134 JORGE J. A. CONTRERAS.-</v>
      </c>
      <c r="C1252" s="30" t="str">
        <f ca="1">IFERROR(__xludf.DUMMYFUNCTION("""COMPUTED_VALUE"""),"Mendoza")</f>
        <v>Mendoza</v>
      </c>
      <c r="D1252" s="30" t="str">
        <f ca="1">IFERROR(__xludf.DUMMYFUNCTION("""COMPUTED_VALUE"""),"50")</f>
        <v>50</v>
      </c>
      <c r="E1252" s="30" t="str">
        <f ca="1">IFERROR(__xludf.DUMMYFUNCTION("""COMPUTED_VALUE"""),"")</f>
        <v/>
      </c>
      <c r="F1252" s="29"/>
      <c r="G1252" s="29"/>
      <c r="H1252" s="30" t="str">
        <f ca="1">IFERROR(__xludf.DUMMYFUNCTION("""COMPUTED_VALUE"""),"activo")</f>
        <v>activo</v>
      </c>
      <c r="I1252" s="29"/>
      <c r="J1252" s="29"/>
      <c r="K1252" s="29"/>
      <c r="L1252" s="30" t="str">
        <f ca="1">IFERROR(__xludf.DUMMYFUNCTION("""COMPUTED_VALUE"""),"No")</f>
        <v>No</v>
      </c>
      <c r="M1252" s="30" t="str">
        <f ca="1">IFERROR(__xludf.DUMMYFUNCTION("""COMPUTED_VALUE"""),"50021010005")</f>
        <v>50021010005</v>
      </c>
      <c r="N1252" s="30" t="str">
        <f ca="1">IFERROR(__xludf.DUMMYFUNCTION("""COMPUTED_VALUE"""),"SAN FRANCISCO DEL MONTE")</f>
        <v>SAN FRANCISCO DEL MONTE</v>
      </c>
      <c r="O1252" s="30" t="str">
        <f ca="1">IFERROR(__xludf.DUMMYFUNCTION("""COMPUTED_VALUE"""),"5021")</f>
        <v>5021</v>
      </c>
      <c r="P1252" s="30" t="str">
        <f ca="1">IFERROR(__xludf.DUMMYFUNCTION("""COMPUTED_VALUE"""),"GODOY CRUZ")</f>
        <v>GODOY CRUZ</v>
      </c>
      <c r="Q1252" s="30" t="str">
        <f ca="1">IFERROR(__xludf.DUMMYFUNCTION("""COMPUTED_VALUE"""),"-32.9383618")</f>
        <v>-32.9383618</v>
      </c>
      <c r="R1252" s="30" t="str">
        <f ca="1">IFERROR(__xludf.DUMMYFUNCTION("""COMPUTED_VALUE"""),"-68.8324234")</f>
        <v>-68.8324234</v>
      </c>
      <c r="S1252" s="30" t="str">
        <f ca="1">IFERROR(__xludf.DUMMYFUNCTION("""COMPUTED_VALUE"""),"Provincial")</f>
        <v>Provincial</v>
      </c>
      <c r="T1252" s="30" t="str">
        <f ca="1">IFERROR(__xludf.DUMMYFUNCTION("""COMPUTED_VALUE"""),"-")</f>
        <v>-</v>
      </c>
    </row>
    <row r="1253" spans="1:20" ht="15.75" customHeight="1" x14ac:dyDescent="0.25">
      <c r="A1253" s="30" t="str">
        <f ca="1">IFERROR(__xludf.DUMMYFUNCTION("""COMPUTED_VALUE"""),"50500142157245")</f>
        <v>50500142157245</v>
      </c>
      <c r="B1253" s="30" t="str">
        <f ca="1">IFERROR(__xludf.DUMMYFUNCTION("""COMPUTED_VALUE"""),"C.A.P.S. 121 BOWEN.-")</f>
        <v>C.A.P.S. 121 BOWEN.-</v>
      </c>
      <c r="C1253" s="30" t="str">
        <f ca="1">IFERROR(__xludf.DUMMYFUNCTION("""COMPUTED_VALUE"""),"Mendoza")</f>
        <v>Mendoza</v>
      </c>
      <c r="D1253" s="30" t="str">
        <f ca="1">IFERROR(__xludf.DUMMYFUNCTION("""COMPUTED_VALUE"""),"50")</f>
        <v>50</v>
      </c>
      <c r="E1253" s="30" t="str">
        <f ca="1">IFERROR(__xludf.DUMMYFUNCTION("""COMPUTED_VALUE"""),"")</f>
        <v/>
      </c>
      <c r="F1253" s="29"/>
      <c r="G1253" s="29"/>
      <c r="H1253" s="30" t="str">
        <f ca="1">IFERROR(__xludf.DUMMYFUNCTION("""COMPUTED_VALUE"""),"activo")</f>
        <v>activo</v>
      </c>
      <c r="I1253" s="29"/>
      <c r="J1253" s="29"/>
      <c r="K1253" s="29"/>
      <c r="L1253" s="30" t="str">
        <f ca="1">IFERROR(__xludf.DUMMYFUNCTION("""COMPUTED_VALUE"""),"No")</f>
        <v>No</v>
      </c>
      <c r="M1253" s="30" t="str">
        <f ca="1">IFERROR(__xludf.DUMMYFUNCTION("""COMPUTED_VALUE"""),"50014010000")</f>
        <v>50014010000</v>
      </c>
      <c r="N1253" s="30" t="str">
        <f ca="1">IFERROR(__xludf.DUMMYFUNCTION("""COMPUTED_VALUE"""),"BOWEN")</f>
        <v>BOWEN</v>
      </c>
      <c r="O1253" s="30" t="str">
        <f ca="1">IFERROR(__xludf.DUMMYFUNCTION("""COMPUTED_VALUE"""),"5014")</f>
        <v>5014</v>
      </c>
      <c r="P1253" s="30" t="str">
        <f ca="1">IFERROR(__xludf.DUMMYFUNCTION("""COMPUTED_VALUE"""),"GENERAL ALVEAR")</f>
        <v>GENERAL ALVEAR</v>
      </c>
      <c r="Q1253" s="30" t="str">
        <f ca="1">IFERROR(__xludf.DUMMYFUNCTION("""COMPUTED_VALUE"""),"-34.99994284")</f>
        <v>-34.99994284</v>
      </c>
      <c r="R1253" s="30" t="str">
        <f ca="1">IFERROR(__xludf.DUMMYFUNCTION("""COMPUTED_VALUE"""),"-67.50845432")</f>
        <v>-67.50845432</v>
      </c>
      <c r="S1253" s="30" t="str">
        <f ca="1">IFERROR(__xludf.DUMMYFUNCTION("""COMPUTED_VALUE"""),"Provincial")</f>
        <v>Provincial</v>
      </c>
      <c r="T1253" s="30" t="str">
        <f ca="1">IFERROR(__xludf.DUMMYFUNCTION("""COMPUTED_VALUE"""),"-")</f>
        <v>-</v>
      </c>
    </row>
    <row r="1254" spans="1:20" ht="15.75" customHeight="1" x14ac:dyDescent="0.25">
      <c r="A1254" s="30" t="str">
        <f ca="1">IFERROR(__xludf.DUMMYFUNCTION("""COMPUTED_VALUE"""),"50500212157282")</f>
        <v>50500212157282</v>
      </c>
      <c r="B1254" s="30" t="str">
        <f ca="1">IFERROR(__xludf.DUMMYFUNCTION("""COMPUTED_VALUE"""),"C.A.P.S. 030 ALDO M. DAPAS.-")</f>
        <v>C.A.P.S. 030 ALDO M. DAPAS.-</v>
      </c>
      <c r="C1254" s="30" t="str">
        <f ca="1">IFERROR(__xludf.DUMMYFUNCTION("""COMPUTED_VALUE"""),"Mendoza")</f>
        <v>Mendoza</v>
      </c>
      <c r="D1254" s="30" t="str">
        <f ca="1">IFERROR(__xludf.DUMMYFUNCTION("""COMPUTED_VALUE"""),"50")</f>
        <v>50</v>
      </c>
      <c r="E1254" s="30" t="str">
        <f ca="1">IFERROR(__xludf.DUMMYFUNCTION("""COMPUTED_VALUE"""),"")</f>
        <v/>
      </c>
      <c r="F1254" s="29"/>
      <c r="G1254" s="29"/>
      <c r="H1254" s="30" t="str">
        <f ca="1">IFERROR(__xludf.DUMMYFUNCTION("""COMPUTED_VALUE"""),"activo")</f>
        <v>activo</v>
      </c>
      <c r="I1254" s="29"/>
      <c r="J1254" s="29"/>
      <c r="K1254" s="29"/>
      <c r="L1254" s="30" t="str">
        <f ca="1">IFERROR(__xludf.DUMMYFUNCTION("""COMPUTED_VALUE"""),"No")</f>
        <v>No</v>
      </c>
      <c r="M1254" s="30" t="str">
        <f ca="1">IFERROR(__xludf.DUMMYFUNCTION("""COMPUTED_VALUE"""),"50021010001")</f>
        <v>50021010001</v>
      </c>
      <c r="N1254" s="30" t="str">
        <f ca="1">IFERROR(__xludf.DUMMYFUNCTION("""COMPUTED_VALUE"""),"GODOY CRUZ")</f>
        <v>GODOY CRUZ</v>
      </c>
      <c r="O1254" s="30" t="str">
        <f ca="1">IFERROR(__xludf.DUMMYFUNCTION("""COMPUTED_VALUE"""),"5021")</f>
        <v>5021</v>
      </c>
      <c r="P1254" s="30" t="str">
        <f ca="1">IFERROR(__xludf.DUMMYFUNCTION("""COMPUTED_VALUE"""),"GODOY CRUZ")</f>
        <v>GODOY CRUZ</v>
      </c>
      <c r="Q1254" s="30" t="str">
        <f ca="1">IFERROR(__xludf.DUMMYFUNCTION("""COMPUTED_VALUE"""),"-32.92873329")</f>
        <v>-32.92873329</v>
      </c>
      <c r="R1254" s="30" t="str">
        <f ca="1">IFERROR(__xludf.DUMMYFUNCTION("""COMPUTED_VALUE"""),"-68.84634018")</f>
        <v>-68.84634018</v>
      </c>
      <c r="S1254" s="30" t="str">
        <f ca="1">IFERROR(__xludf.DUMMYFUNCTION("""COMPUTED_VALUE"""),"Provincial")</f>
        <v>Provincial</v>
      </c>
      <c r="T1254" s="30" t="str">
        <f ca="1">IFERROR(__xludf.DUMMYFUNCTION("""COMPUTED_VALUE"""),"-")</f>
        <v>-</v>
      </c>
    </row>
    <row r="1255" spans="1:20" ht="15.75" customHeight="1" x14ac:dyDescent="0.25">
      <c r="A1255" s="30" t="str">
        <f ca="1">IFERROR(__xludf.DUMMYFUNCTION("""COMPUTED_VALUE"""),"50500212157286")</f>
        <v>50500212157286</v>
      </c>
      <c r="B1255" s="30" t="str">
        <f ca="1">IFERROR(__xludf.DUMMYFUNCTION("""COMPUTED_VALUE"""),"CENTRO DE SALUD MUNICIPAL 304 ARTURO OÑATIVIA.-")</f>
        <v>CENTRO DE SALUD MUNICIPAL 304 ARTURO OÑATIVIA.-</v>
      </c>
      <c r="C1255" s="30" t="str">
        <f ca="1">IFERROR(__xludf.DUMMYFUNCTION("""COMPUTED_VALUE"""),"Mendoza")</f>
        <v>Mendoza</v>
      </c>
      <c r="D1255" s="30" t="str">
        <f ca="1">IFERROR(__xludf.DUMMYFUNCTION("""COMPUTED_VALUE"""),"50")</f>
        <v>50</v>
      </c>
      <c r="E1255" s="30" t="str">
        <f ca="1">IFERROR(__xludf.DUMMYFUNCTION("""COMPUTED_VALUE"""),"")</f>
        <v/>
      </c>
      <c r="F1255" s="29"/>
      <c r="G1255" s="29"/>
      <c r="H1255" s="30" t="str">
        <f ca="1">IFERROR(__xludf.DUMMYFUNCTION("""COMPUTED_VALUE"""),"activo")</f>
        <v>activo</v>
      </c>
      <c r="I1255" s="30" t="str">
        <f ca="1">IFERROR(__xludf.DUMMYFUNCTION("""COMPUTED_VALUE"""),"Lo llaman barrio fuchs")</f>
        <v>Lo llaman barrio fuchs</v>
      </c>
      <c r="J1255" s="29"/>
      <c r="K1255" s="29"/>
      <c r="L1255" s="30" t="str">
        <f ca="1">IFERROR(__xludf.DUMMYFUNCTION("""COMPUTED_VALUE"""),"No")</f>
        <v>No</v>
      </c>
      <c r="M1255" s="30" t="str">
        <f ca="1">IFERROR(__xludf.DUMMYFUNCTION("""COMPUTED_VALUE"""),"50021010002")</f>
        <v>50021010002</v>
      </c>
      <c r="N1255" s="30" t="str">
        <f ca="1">IFERROR(__xludf.DUMMYFUNCTION("""COMPUTED_VALUE"""),"GOBERNADOR BENEGAS")</f>
        <v>GOBERNADOR BENEGAS</v>
      </c>
      <c r="O1255" s="30" t="str">
        <f ca="1">IFERROR(__xludf.DUMMYFUNCTION("""COMPUTED_VALUE"""),"5021")</f>
        <v>5021</v>
      </c>
      <c r="P1255" s="30" t="str">
        <f ca="1">IFERROR(__xludf.DUMMYFUNCTION("""COMPUTED_VALUE"""),"GODOY CRUZ")</f>
        <v>GODOY CRUZ</v>
      </c>
      <c r="Q1255" s="30" t="str">
        <f ca="1">IFERROR(__xludf.DUMMYFUNCTION("""COMPUTED_VALUE"""),"-32.9462635")</f>
        <v>-32.9462635</v>
      </c>
      <c r="R1255" s="30" t="str">
        <f ca="1">IFERROR(__xludf.DUMMYFUNCTION("""COMPUTED_VALUE"""),"-68.8587894")</f>
        <v>-68.8587894</v>
      </c>
      <c r="S1255" s="30" t="str">
        <f ca="1">IFERROR(__xludf.DUMMYFUNCTION("""COMPUTED_VALUE"""),"Municipal")</f>
        <v>Municipal</v>
      </c>
      <c r="T1255" s="29"/>
    </row>
    <row r="1256" spans="1:20" ht="15.75" customHeight="1" x14ac:dyDescent="0.25">
      <c r="A1256" s="30" t="str">
        <f ca="1">IFERROR(__xludf.DUMMYFUNCTION("""COMPUTED_VALUE"""),"50500212157287")</f>
        <v>50500212157287</v>
      </c>
      <c r="B1256" s="30" t="str">
        <f ca="1">IFERROR(__xludf.DUMMYFUNCTION("""COMPUTED_VALUE"""),"CENTRO DE SALUD MUNICIPAL 305 ANDRES MARTIN.-")</f>
        <v>CENTRO DE SALUD MUNICIPAL 305 ANDRES MARTIN.-</v>
      </c>
      <c r="C1256" s="30" t="str">
        <f ca="1">IFERROR(__xludf.DUMMYFUNCTION("""COMPUTED_VALUE"""),"Mendoza")</f>
        <v>Mendoza</v>
      </c>
      <c r="D1256" s="30" t="str">
        <f ca="1">IFERROR(__xludf.DUMMYFUNCTION("""COMPUTED_VALUE"""),"50")</f>
        <v>50</v>
      </c>
      <c r="E1256" s="30" t="str">
        <f ca="1">IFERROR(__xludf.DUMMYFUNCTION("""COMPUTED_VALUE"""),"")</f>
        <v/>
      </c>
      <c r="F1256" s="29"/>
      <c r="G1256" s="29"/>
      <c r="H1256" s="30" t="str">
        <f ca="1">IFERROR(__xludf.DUMMYFUNCTION("""COMPUTED_VALUE"""),"activo")</f>
        <v>activo</v>
      </c>
      <c r="I1256" s="29"/>
      <c r="J1256" s="29"/>
      <c r="K1256" s="29"/>
      <c r="L1256" s="30" t="str">
        <f ca="1">IFERROR(__xludf.DUMMYFUNCTION("""COMPUTED_VALUE"""),"No")</f>
        <v>No</v>
      </c>
      <c r="M1256" s="30" t="str">
        <f ca="1">IFERROR(__xludf.DUMMYFUNCTION("""COMPUTED_VALUE"""),"50021010004")</f>
        <v>50021010004</v>
      </c>
      <c r="N1256" s="30" t="str">
        <f ca="1">IFERROR(__xludf.DUMMYFUNCTION("""COMPUTED_VALUE"""),"PRESIDENTE SARMIENTO")</f>
        <v>PRESIDENTE SARMIENTO</v>
      </c>
      <c r="O1256" s="30" t="str">
        <f ca="1">IFERROR(__xludf.DUMMYFUNCTION("""COMPUTED_VALUE"""),"5021")</f>
        <v>5021</v>
      </c>
      <c r="P1256" s="30" t="str">
        <f ca="1">IFERROR(__xludf.DUMMYFUNCTION("""COMPUTED_VALUE"""),"GODOY CRUZ")</f>
        <v>GODOY CRUZ</v>
      </c>
      <c r="Q1256" s="30" t="str">
        <f ca="1">IFERROR(__xludf.DUMMYFUNCTION("""COMPUTED_VALUE"""),"-32.9357772")</f>
        <v>-32.9357772</v>
      </c>
      <c r="R1256" s="30" t="str">
        <f ca="1">IFERROR(__xludf.DUMMYFUNCTION("""COMPUTED_VALUE"""),"-68.87406349")</f>
        <v>-68.87406349</v>
      </c>
      <c r="S1256" s="30" t="str">
        <f ca="1">IFERROR(__xludf.DUMMYFUNCTION("""COMPUTED_VALUE"""),"Municipal")</f>
        <v>Municipal</v>
      </c>
      <c r="T1256" s="29"/>
    </row>
    <row r="1257" spans="1:20" ht="15.75" customHeight="1" x14ac:dyDescent="0.25">
      <c r="A1257" s="30" t="str">
        <f ca="1">IFERROR(__xludf.DUMMYFUNCTION("""COMPUTED_VALUE"""),"50500212158492")</f>
        <v>50500212158492</v>
      </c>
      <c r="B1257" s="30" t="str">
        <f ca="1">IFERROR(__xludf.DUMMYFUNCTION("""COMPUTED_VALUE"""),"C.A.P.S. 172 BARRIO ALICIA M. DE JUSTO.-")</f>
        <v>C.A.P.S. 172 BARRIO ALICIA M. DE JUSTO.-</v>
      </c>
      <c r="C1257" s="30" t="str">
        <f ca="1">IFERROR(__xludf.DUMMYFUNCTION("""COMPUTED_VALUE"""),"Mendoza")</f>
        <v>Mendoza</v>
      </c>
      <c r="D1257" s="30" t="str">
        <f ca="1">IFERROR(__xludf.DUMMYFUNCTION("""COMPUTED_VALUE"""),"50")</f>
        <v>50</v>
      </c>
      <c r="E1257" s="30" t="str">
        <f ca="1">IFERROR(__xludf.DUMMYFUNCTION("""COMPUTED_VALUE"""),"si")</f>
        <v>si</v>
      </c>
      <c r="F1257" s="29"/>
      <c r="G1257" s="29"/>
      <c r="H1257" s="30" t="str">
        <f ca="1">IFERROR(__xludf.DUMMYFUNCTION("""COMPUTED_VALUE"""),"activo")</f>
        <v>activo</v>
      </c>
      <c r="I1257" s="29"/>
      <c r="J1257" s="29"/>
      <c r="K1257" s="29"/>
      <c r="L1257" s="30" t="str">
        <f ca="1">IFERROR(__xludf.DUMMYFUNCTION("""COMPUTED_VALUE"""),"No")</f>
        <v>No</v>
      </c>
      <c r="M1257" s="30" t="str">
        <f ca="1">IFERROR(__xludf.DUMMYFUNCTION("""COMPUTED_VALUE"""),"50021010003")</f>
        <v>50021010003</v>
      </c>
      <c r="N1257" s="30" t="str">
        <f ca="1">IFERROR(__xludf.DUMMYFUNCTION("""COMPUTED_VALUE"""),"LAS TORTUGAS")</f>
        <v>LAS TORTUGAS</v>
      </c>
      <c r="O1257" s="30" t="str">
        <f ca="1">IFERROR(__xludf.DUMMYFUNCTION("""COMPUTED_VALUE"""),"5021")</f>
        <v>5021</v>
      </c>
      <c r="P1257" s="30" t="str">
        <f ca="1">IFERROR(__xludf.DUMMYFUNCTION("""COMPUTED_VALUE"""),"GODOY CRUZ")</f>
        <v>GODOY CRUZ</v>
      </c>
      <c r="Q1257" s="30" t="str">
        <f ca="1">IFERROR(__xludf.DUMMYFUNCTION("""COMPUTED_VALUE"""),"-32.95255541")</f>
        <v>-32.95255541</v>
      </c>
      <c r="R1257" s="30" t="str">
        <f ca="1">IFERROR(__xludf.DUMMYFUNCTION("""COMPUTED_VALUE"""),"-68.82464139")</f>
        <v>-68.82464139</v>
      </c>
      <c r="S1257" s="30" t="str">
        <f ca="1">IFERROR(__xludf.DUMMYFUNCTION("""COMPUTED_VALUE"""),"Provincial")</f>
        <v>Provincial</v>
      </c>
      <c r="T1257" s="30" t="str">
        <f ca="1">IFERROR(__xludf.DUMMYFUNCTION("""COMPUTED_VALUE"""),"-")</f>
        <v>-</v>
      </c>
    </row>
    <row r="1258" spans="1:20" ht="15.75" customHeight="1" x14ac:dyDescent="0.25">
      <c r="A1258" s="30" t="str">
        <f ca="1">IFERROR(__xludf.DUMMYFUNCTION("""COMPUTED_VALUE"""),"50500282157097")</f>
        <v>50500282157097</v>
      </c>
      <c r="B1258" s="30" t="str">
        <f ca="1">IFERROR(__xludf.DUMMYFUNCTION("""COMPUTED_VALUE"""),"C.A.P.S. 179 EUGENIO L. CARBONARI.-")</f>
        <v>C.A.P.S. 179 EUGENIO L. CARBONARI.-</v>
      </c>
      <c r="C1258" s="30" t="str">
        <f ca="1">IFERROR(__xludf.DUMMYFUNCTION("""COMPUTED_VALUE"""),"Mendoza")</f>
        <v>Mendoza</v>
      </c>
      <c r="D1258" s="30" t="str">
        <f ca="1">IFERROR(__xludf.DUMMYFUNCTION("""COMPUTED_VALUE"""),"50")</f>
        <v>50</v>
      </c>
      <c r="E1258" s="30" t="str">
        <f ca="1">IFERROR(__xludf.DUMMYFUNCTION("""COMPUTED_VALUE"""),"")</f>
        <v/>
      </c>
      <c r="F1258" s="29"/>
      <c r="G1258" s="29"/>
      <c r="H1258" s="30" t="str">
        <f ca="1">IFERROR(__xludf.DUMMYFUNCTION("""COMPUTED_VALUE"""),"activo")</f>
        <v>activo</v>
      </c>
      <c r="I1258" s="29"/>
      <c r="J1258" s="29"/>
      <c r="K1258" s="29"/>
      <c r="L1258" s="30" t="str">
        <f ca="1">IFERROR(__xludf.DUMMYFUNCTION("""COMPUTED_VALUE"""),"No")</f>
        <v>No</v>
      </c>
      <c r="M1258" s="30" t="str">
        <f ca="1">IFERROR(__xludf.DUMMYFUNCTION("""COMPUTED_VALUE"""),"50028020007")</f>
        <v>50028020007</v>
      </c>
      <c r="N1258" s="30" t="str">
        <f ca="1">IFERROR(__xludf.DUMMYFUNCTION("""COMPUTED_VALUE"""),"JESUS NAZARENO")</f>
        <v>JESUS NAZARENO</v>
      </c>
      <c r="O1258" s="30" t="str">
        <f ca="1">IFERROR(__xludf.DUMMYFUNCTION("""COMPUTED_VALUE"""),"5028")</f>
        <v>5028</v>
      </c>
      <c r="P1258" s="30" t="str">
        <f ca="1">IFERROR(__xludf.DUMMYFUNCTION("""COMPUTED_VALUE"""),"GUAYMALLÉN")</f>
        <v>GUAYMALLÉN</v>
      </c>
      <c r="Q1258" s="30" t="str">
        <f ca="1">IFERROR(__xludf.DUMMYFUNCTION("""COMPUTED_VALUE"""),"-32.92457223")</f>
        <v>-32.92457223</v>
      </c>
      <c r="R1258" s="30" t="str">
        <f ca="1">IFERROR(__xludf.DUMMYFUNCTION("""COMPUTED_VALUE"""),"-68.78305757")</f>
        <v>-68.78305757</v>
      </c>
      <c r="S1258" s="30" t="str">
        <f ca="1">IFERROR(__xludf.DUMMYFUNCTION("""COMPUTED_VALUE"""),"Provincial")</f>
        <v>Provincial</v>
      </c>
      <c r="T1258" s="30" t="str">
        <f ca="1">IFERROR(__xludf.DUMMYFUNCTION("""COMPUTED_VALUE"""),"-")</f>
        <v>-</v>
      </c>
    </row>
    <row r="1259" spans="1:20" ht="15.75" customHeight="1" x14ac:dyDescent="0.25">
      <c r="A1259" s="30" t="str">
        <f ca="1">IFERROR(__xludf.DUMMYFUNCTION("""COMPUTED_VALUE"""),"50500282157243")</f>
        <v>50500282157243</v>
      </c>
      <c r="B1259" s="30" t="str">
        <f ca="1">IFERROR(__xludf.DUMMYFUNCTION("""COMPUTED_VALUE"""),"C.A.P.S. 012 BERMEJO.-")</f>
        <v>C.A.P.S. 012 BERMEJO.-</v>
      </c>
      <c r="C1259" s="30" t="str">
        <f ca="1">IFERROR(__xludf.DUMMYFUNCTION("""COMPUTED_VALUE"""),"Mendoza")</f>
        <v>Mendoza</v>
      </c>
      <c r="D1259" s="30" t="str">
        <f ca="1">IFERROR(__xludf.DUMMYFUNCTION("""COMPUTED_VALUE"""),"50")</f>
        <v>50</v>
      </c>
      <c r="E1259" s="30" t="str">
        <f ca="1">IFERROR(__xludf.DUMMYFUNCTION("""COMPUTED_VALUE"""),"")</f>
        <v/>
      </c>
      <c r="F1259" s="29"/>
      <c r="G1259" s="29"/>
      <c r="H1259" s="30" t="str">
        <f ca="1">IFERROR(__xludf.DUMMYFUNCTION("""COMPUTED_VALUE"""),"activo")</f>
        <v>activo</v>
      </c>
      <c r="I1259" s="29"/>
      <c r="J1259" s="29"/>
      <c r="K1259" s="29"/>
      <c r="L1259" s="30" t="str">
        <f ca="1">IFERROR(__xludf.DUMMYFUNCTION("""COMPUTED_VALUE"""),"No")</f>
        <v>No</v>
      </c>
      <c r="M1259" s="30" t="str">
        <f ca="1">IFERROR(__xludf.DUMMYFUNCTION("""COMPUTED_VALUE"""),"50028020001")</f>
        <v>50028020001</v>
      </c>
      <c r="N1259" s="30" t="str">
        <f ca="1">IFERROR(__xludf.DUMMYFUNCTION("""COMPUTED_VALUE"""),"BERMEJO")</f>
        <v>BERMEJO</v>
      </c>
      <c r="O1259" s="30" t="str">
        <f ca="1">IFERROR(__xludf.DUMMYFUNCTION("""COMPUTED_VALUE"""),"5028")</f>
        <v>5028</v>
      </c>
      <c r="P1259" s="30" t="str">
        <f ca="1">IFERROR(__xludf.DUMMYFUNCTION("""COMPUTED_VALUE"""),"GUAYMALLÉN")</f>
        <v>GUAYMALLÉN</v>
      </c>
      <c r="Q1259" s="30" t="str">
        <f ca="1">IFERROR(__xludf.DUMMYFUNCTION("""COMPUTED_VALUE"""),"-32.86724892")</f>
        <v>-32.86724892</v>
      </c>
      <c r="R1259" s="30" t="str">
        <f ca="1">IFERROR(__xludf.DUMMYFUNCTION("""COMPUTED_VALUE"""),"-68.78580809")</f>
        <v>-68.78580809</v>
      </c>
      <c r="S1259" s="30" t="str">
        <f ca="1">IFERROR(__xludf.DUMMYFUNCTION("""COMPUTED_VALUE"""),"Provincial")</f>
        <v>Provincial</v>
      </c>
      <c r="T1259" s="30" t="str">
        <f ca="1">IFERROR(__xludf.DUMMYFUNCTION("""COMPUTED_VALUE"""),"-")</f>
        <v>-</v>
      </c>
    </row>
    <row r="1260" spans="1:20" ht="15.75" customHeight="1" x14ac:dyDescent="0.25">
      <c r="A1260" s="30" t="str">
        <f ca="1">IFERROR(__xludf.DUMMYFUNCTION("""COMPUTED_VALUE"""),"50500282157256")</f>
        <v>50500282157256</v>
      </c>
      <c r="B1260" s="30" t="str">
        <f ca="1">IFERROR(__xludf.DUMMYFUNCTION("""COMPUTED_VALUE"""),"C.A.P.S. 015 EJERCITO DE LOS ANDES.-")</f>
        <v>C.A.P.S. 015 EJERCITO DE LOS ANDES.-</v>
      </c>
      <c r="C1260" s="30" t="str">
        <f ca="1">IFERROR(__xludf.DUMMYFUNCTION("""COMPUTED_VALUE"""),"Mendoza")</f>
        <v>Mendoza</v>
      </c>
      <c r="D1260" s="30" t="str">
        <f ca="1">IFERROR(__xludf.DUMMYFUNCTION("""COMPUTED_VALUE"""),"50")</f>
        <v>50</v>
      </c>
      <c r="E1260" s="30" t="str">
        <f ca="1">IFERROR(__xludf.DUMMYFUNCTION("""COMPUTED_VALUE"""),"")</f>
        <v/>
      </c>
      <c r="F1260" s="29"/>
      <c r="G1260" s="29"/>
      <c r="H1260" s="30" t="str">
        <f ca="1">IFERROR(__xludf.DUMMYFUNCTION("""COMPUTED_VALUE"""),"activo")</f>
        <v>activo</v>
      </c>
      <c r="I1260" s="29"/>
      <c r="J1260" s="29"/>
      <c r="K1260" s="29"/>
      <c r="L1260" s="30" t="str">
        <f ca="1">IFERROR(__xludf.DUMMYFUNCTION("""COMPUTED_VALUE"""),"No")</f>
        <v>No</v>
      </c>
      <c r="M1260" s="30" t="str">
        <f ca="1">IFERROR(__xludf.DUMMYFUNCTION("""COMPUTED_VALUE"""),"50028020004")</f>
        <v>50028020004</v>
      </c>
      <c r="N1260" s="30" t="str">
        <f ca="1">IFERROR(__xludf.DUMMYFUNCTION("""COMPUTED_VALUE"""),"DORREGO")</f>
        <v>DORREGO</v>
      </c>
      <c r="O1260" s="30" t="str">
        <f ca="1">IFERROR(__xludf.DUMMYFUNCTION("""COMPUTED_VALUE"""),"5028")</f>
        <v>5028</v>
      </c>
      <c r="P1260" s="30" t="str">
        <f ca="1">IFERROR(__xludf.DUMMYFUNCTION("""COMPUTED_VALUE"""),"GUAYMALLÉN")</f>
        <v>GUAYMALLÉN</v>
      </c>
      <c r="Q1260" s="30" t="str">
        <f ca="1">IFERROR(__xludf.DUMMYFUNCTION("""COMPUTED_VALUE"""),"-32.9100719")</f>
        <v>-32.9100719</v>
      </c>
      <c r="R1260" s="30" t="str">
        <f ca="1">IFERROR(__xludf.DUMMYFUNCTION("""COMPUTED_VALUE"""),"-68.83006204")</f>
        <v>-68.83006204</v>
      </c>
      <c r="S1260" s="30" t="str">
        <f ca="1">IFERROR(__xludf.DUMMYFUNCTION("""COMPUTED_VALUE"""),"Provincial")</f>
        <v>Provincial</v>
      </c>
      <c r="T1260" s="30" t="str">
        <f ca="1">IFERROR(__xludf.DUMMYFUNCTION("""COMPUTED_VALUE"""),"-")</f>
        <v>-</v>
      </c>
    </row>
    <row r="1261" spans="1:20" ht="15.75" customHeight="1" x14ac:dyDescent="0.25">
      <c r="A1261" s="30" t="str">
        <f ca="1">IFERROR(__xludf.DUMMYFUNCTION("""COMPUTED_VALUE"""),"50500282157259")</f>
        <v>50500282157259</v>
      </c>
      <c r="B1261" s="30" t="str">
        <f ca="1">IFERROR(__xludf.DUMMYFUNCTION("""COMPUTED_VALUE"""),"C.A.P.S. 016 VILLA NUEVA.-")</f>
        <v>C.A.P.S. 016 VILLA NUEVA.-</v>
      </c>
      <c r="C1261" s="30" t="str">
        <f ca="1">IFERROR(__xludf.DUMMYFUNCTION("""COMPUTED_VALUE"""),"Mendoza")</f>
        <v>Mendoza</v>
      </c>
      <c r="D1261" s="30" t="str">
        <f ca="1">IFERROR(__xludf.DUMMYFUNCTION("""COMPUTED_VALUE"""),"50")</f>
        <v>50</v>
      </c>
      <c r="E1261" s="30" t="str">
        <f ca="1">IFERROR(__xludf.DUMMYFUNCTION("""COMPUTED_VALUE"""),"")</f>
        <v/>
      </c>
      <c r="F1261" s="29"/>
      <c r="G1261" s="29"/>
      <c r="H1261" s="30" t="str">
        <f ca="1">IFERROR(__xludf.DUMMYFUNCTION("""COMPUTED_VALUE"""),"activo")</f>
        <v>activo</v>
      </c>
      <c r="I1261" s="29"/>
      <c r="J1261" s="29"/>
      <c r="K1261" s="29"/>
      <c r="L1261" s="30" t="str">
        <f ca="1">IFERROR(__xludf.DUMMYFUNCTION("""COMPUTED_VALUE"""),"No")</f>
        <v>No</v>
      </c>
      <c r="M1261" s="30" t="str">
        <f ca="1">IFERROR(__xludf.DUMMYFUNCTION("""COMPUTED_VALUE"""),"50028020014")</f>
        <v>50028020014</v>
      </c>
      <c r="N1261" s="30" t="str">
        <f ca="1">IFERROR(__xludf.DUMMYFUNCTION("""COMPUTED_VALUE"""),"VILLA NUEVA")</f>
        <v>VILLA NUEVA</v>
      </c>
      <c r="O1261" s="30" t="str">
        <f ca="1">IFERROR(__xludf.DUMMYFUNCTION("""COMPUTED_VALUE"""),"5028")</f>
        <v>5028</v>
      </c>
      <c r="P1261" s="30" t="str">
        <f ca="1">IFERROR(__xludf.DUMMYFUNCTION("""COMPUTED_VALUE"""),"GUAYMALLÉN")</f>
        <v>GUAYMALLÉN</v>
      </c>
      <c r="Q1261" s="30" t="str">
        <f ca="1">IFERROR(__xludf.DUMMYFUNCTION("""COMPUTED_VALUE"""),"-32.89749145")</f>
        <v>-32.89749145</v>
      </c>
      <c r="R1261" s="30" t="str">
        <f ca="1">IFERROR(__xludf.DUMMYFUNCTION("""COMPUTED_VALUE"""),"-68.7812081")</f>
        <v>-68.7812081</v>
      </c>
      <c r="S1261" s="30" t="str">
        <f ca="1">IFERROR(__xludf.DUMMYFUNCTION("""COMPUTED_VALUE"""),"Provincial")</f>
        <v>Provincial</v>
      </c>
      <c r="T1261" s="30" t="str">
        <f ca="1">IFERROR(__xludf.DUMMYFUNCTION("""COMPUTED_VALUE"""),"-")</f>
        <v>-</v>
      </c>
    </row>
    <row r="1262" spans="1:20" ht="15.75" customHeight="1" x14ac:dyDescent="0.25">
      <c r="A1262" s="30" t="str">
        <f ca="1">IFERROR(__xludf.DUMMYFUNCTION("""COMPUTED_VALUE"""),"50500282157263")</f>
        <v>50500282157263</v>
      </c>
      <c r="B1262" s="30" t="str">
        <f ca="1">IFERROR(__xludf.DUMMYFUNCTION("""COMPUTED_VALUE"""),"C.A.P.S. 185 JUAN FOUCAULT.-")</f>
        <v>C.A.P.S. 185 JUAN FOUCAULT.-</v>
      </c>
      <c r="C1262" s="30" t="str">
        <f ca="1">IFERROR(__xludf.DUMMYFUNCTION("""COMPUTED_VALUE"""),"Mendoza")</f>
        <v>Mendoza</v>
      </c>
      <c r="D1262" s="30" t="str">
        <f ca="1">IFERROR(__xludf.DUMMYFUNCTION("""COMPUTED_VALUE"""),"50")</f>
        <v>50</v>
      </c>
      <c r="E1262" s="30" t="str">
        <f ca="1">IFERROR(__xludf.DUMMYFUNCTION("""COMPUTED_VALUE"""),"si")</f>
        <v>si</v>
      </c>
      <c r="F1262" s="29"/>
      <c r="G1262" s="29"/>
      <c r="H1262" s="30" t="str">
        <f ca="1">IFERROR(__xludf.DUMMYFUNCTION("""COMPUTED_VALUE"""),"activo")</f>
        <v>activo</v>
      </c>
      <c r="I1262" s="29"/>
      <c r="J1262" s="29"/>
      <c r="K1262" s="29"/>
      <c r="L1262" s="30" t="str">
        <f ca="1">IFERROR(__xludf.DUMMYFUNCTION("""COMPUTED_VALUE"""),"No")</f>
        <v>No</v>
      </c>
      <c r="M1262" s="30" t="str">
        <f ca="1">IFERROR(__xludf.DUMMYFUNCTION("""COMPUTED_VALUE"""),"50028030000")</f>
        <v>50028030000</v>
      </c>
      <c r="N1262" s="30" t="str">
        <f ca="1">IFERROR(__xludf.DUMMYFUNCTION("""COMPUTED_VALUE"""),"LA PRIMAVERA")</f>
        <v>LA PRIMAVERA</v>
      </c>
      <c r="O1262" s="30" t="str">
        <f ca="1">IFERROR(__xludf.DUMMYFUNCTION("""COMPUTED_VALUE"""),"5028")</f>
        <v>5028</v>
      </c>
      <c r="P1262" s="30" t="str">
        <f ca="1">IFERROR(__xludf.DUMMYFUNCTION("""COMPUTED_VALUE"""),"GUAYMALLÉN")</f>
        <v>GUAYMALLÉN</v>
      </c>
      <c r="Q1262" s="30" t="str">
        <f ca="1">IFERROR(__xludf.DUMMYFUNCTION("""COMPUTED_VALUE"""),"-32.92095664")</f>
        <v>-32.92095664</v>
      </c>
      <c r="R1262" s="30" t="str">
        <f ca="1">IFERROR(__xludf.DUMMYFUNCTION("""COMPUTED_VALUE"""),"-68.67299045")</f>
        <v>-68.67299045</v>
      </c>
      <c r="S1262" s="30" t="str">
        <f ca="1">IFERROR(__xludf.DUMMYFUNCTION("""COMPUTED_VALUE"""),"Provincial")</f>
        <v>Provincial</v>
      </c>
      <c r="T1262" s="30" t="str">
        <f ca="1">IFERROR(__xludf.DUMMYFUNCTION("""COMPUTED_VALUE"""),"-")</f>
        <v>-</v>
      </c>
    </row>
    <row r="1263" spans="1:20" ht="15.75" customHeight="1" x14ac:dyDescent="0.25">
      <c r="A1263" s="30" t="str">
        <f ca="1">IFERROR(__xludf.DUMMYFUNCTION("""COMPUTED_VALUE"""),"50500282157271")</f>
        <v>50500282157271</v>
      </c>
      <c r="B1263" s="30" t="str">
        <f ca="1">IFERROR(__xludf.DUMMYFUNCTION("""COMPUTED_VALUE"""),"C.I.C. 904 BARRIO PARAGUAY.-")</f>
        <v>C.I.C. 904 BARRIO PARAGUAY.-</v>
      </c>
      <c r="C1263" s="30" t="str">
        <f ca="1">IFERROR(__xludf.DUMMYFUNCTION("""COMPUTED_VALUE"""),"Mendoza")</f>
        <v>Mendoza</v>
      </c>
      <c r="D1263" s="30" t="str">
        <f ca="1">IFERROR(__xludf.DUMMYFUNCTION("""COMPUTED_VALUE"""),"50")</f>
        <v>50</v>
      </c>
      <c r="E1263" s="30" t="str">
        <f ca="1">IFERROR(__xludf.DUMMYFUNCTION("""COMPUTED_VALUE"""),"")</f>
        <v/>
      </c>
      <c r="F1263" s="29"/>
      <c r="G1263" s="29"/>
      <c r="H1263" s="30" t="str">
        <f ca="1">IFERROR(__xludf.DUMMYFUNCTION("""COMPUTED_VALUE"""),"activo")</f>
        <v>activo</v>
      </c>
      <c r="I1263" s="29"/>
      <c r="J1263" s="29"/>
      <c r="K1263" s="29"/>
      <c r="L1263" s="30" t="str">
        <f ca="1">IFERROR(__xludf.DUMMYFUNCTION("""COMPUTED_VALUE"""),"No")</f>
        <v>No</v>
      </c>
      <c r="M1263" s="30" t="str">
        <f ca="1">IFERROR(__xludf.DUMMYFUNCTION("""COMPUTED_VALUE"""),"50028020005")</f>
        <v>50028020005</v>
      </c>
      <c r="N1263" s="30" t="str">
        <f ca="1">IFERROR(__xludf.DUMMYFUNCTION("""COMPUTED_VALUE"""),"EL SAUCE")</f>
        <v>EL SAUCE</v>
      </c>
      <c r="O1263" s="30" t="str">
        <f ca="1">IFERROR(__xludf.DUMMYFUNCTION("""COMPUTED_VALUE"""),"5028")</f>
        <v>5028</v>
      </c>
      <c r="P1263" s="30" t="str">
        <f ca="1">IFERROR(__xludf.DUMMYFUNCTION("""COMPUTED_VALUE"""),"GUAYMALLÉN")</f>
        <v>GUAYMALLÉN</v>
      </c>
      <c r="Q1263" s="30" t="str">
        <f ca="1">IFERROR(__xludf.DUMMYFUNCTION("""COMPUTED_VALUE"""),"-32.88299687")</f>
        <v>-32.88299687</v>
      </c>
      <c r="R1263" s="30" t="str">
        <f ca="1">IFERROR(__xludf.DUMMYFUNCTION("""COMPUTED_VALUE"""),"-68.7600242")</f>
        <v>-68.7600242</v>
      </c>
      <c r="S1263" s="30" t="str">
        <f ca="1">IFERROR(__xludf.DUMMYFUNCTION("""COMPUTED_VALUE"""),"Provincial")</f>
        <v>Provincial</v>
      </c>
      <c r="T1263" s="30" t="str">
        <f ca="1">IFERROR(__xludf.DUMMYFUNCTION("""COMPUTED_VALUE"""),"-")</f>
        <v>-</v>
      </c>
    </row>
    <row r="1264" spans="1:20" ht="15.75" customHeight="1" x14ac:dyDescent="0.25">
      <c r="A1264" s="30" t="str">
        <f ca="1">IFERROR(__xludf.DUMMYFUNCTION("""COMPUTED_VALUE"""),"50500282157303")</f>
        <v>50500282157303</v>
      </c>
      <c r="B1264" s="30" t="str">
        <f ca="1">IFERROR(__xludf.DUMMYFUNCTION("""COMPUTED_VALUE"""),"C.A.P.S. 005 PASCUAL LAURIENTE.-")</f>
        <v>C.A.P.S. 005 PASCUAL LAURIENTE.-</v>
      </c>
      <c r="C1264" s="30" t="str">
        <f ca="1">IFERROR(__xludf.DUMMYFUNCTION("""COMPUTED_VALUE"""),"Mendoza")</f>
        <v>Mendoza</v>
      </c>
      <c r="D1264" s="30" t="str">
        <f ca="1">IFERROR(__xludf.DUMMYFUNCTION("""COMPUTED_VALUE"""),"50")</f>
        <v>50</v>
      </c>
      <c r="E1264" s="30" t="str">
        <f ca="1">IFERROR(__xludf.DUMMYFUNCTION("""COMPUTED_VALUE"""),"")</f>
        <v/>
      </c>
      <c r="F1264" s="29"/>
      <c r="G1264" s="29"/>
      <c r="H1264" s="30" t="str">
        <f ca="1">IFERROR(__xludf.DUMMYFUNCTION("""COMPUTED_VALUE"""),"activo")</f>
        <v>activo</v>
      </c>
      <c r="I1264" s="29"/>
      <c r="J1264" s="29"/>
      <c r="K1264" s="29"/>
      <c r="L1264" s="30" t="str">
        <f ca="1">IFERROR(__xludf.DUMMYFUNCTION("""COMPUTED_VALUE"""),"No")</f>
        <v>No</v>
      </c>
      <c r="M1264" s="30" t="str">
        <f ca="1">IFERROR(__xludf.DUMMYFUNCTION("""COMPUTED_VALUE"""),"50028020011")</f>
        <v>50028020011</v>
      </c>
      <c r="N1264" s="30" t="str">
        <f ca="1">IFERROR(__xludf.DUMMYFUNCTION("""COMPUTED_VALUE"""),"RODEO DE LA CRUZ")</f>
        <v>RODEO DE LA CRUZ</v>
      </c>
      <c r="O1264" s="30" t="str">
        <f ca="1">IFERROR(__xludf.DUMMYFUNCTION("""COMPUTED_VALUE"""),"5028")</f>
        <v>5028</v>
      </c>
      <c r="P1264" s="30" t="str">
        <f ca="1">IFERROR(__xludf.DUMMYFUNCTION("""COMPUTED_VALUE"""),"GUAYMALLÉN")</f>
        <v>GUAYMALLÉN</v>
      </c>
      <c r="Q1264" s="30" t="str">
        <f ca="1">IFERROR(__xludf.DUMMYFUNCTION("""COMPUTED_VALUE"""),"-32.91778887")</f>
        <v>-32.91778887</v>
      </c>
      <c r="R1264" s="30" t="str">
        <f ca="1">IFERROR(__xludf.DUMMYFUNCTION("""COMPUTED_VALUE"""),"-68.74366522")</f>
        <v>-68.74366522</v>
      </c>
      <c r="S1264" s="30" t="str">
        <f ca="1">IFERROR(__xludf.DUMMYFUNCTION("""COMPUTED_VALUE"""),"Provincial")</f>
        <v>Provincial</v>
      </c>
      <c r="T1264" s="30" t="str">
        <f ca="1">IFERROR(__xludf.DUMMYFUNCTION("""COMPUTED_VALUE"""),"-")</f>
        <v>-</v>
      </c>
    </row>
    <row r="1265" spans="1:20" ht="15.75" customHeight="1" x14ac:dyDescent="0.25">
      <c r="A1265" s="30" t="str">
        <f ca="1">IFERROR(__xludf.DUMMYFUNCTION("""COMPUTED_VALUE"""),"50500282158581")</f>
        <v>50500282158581</v>
      </c>
      <c r="B1265" s="30" t="str">
        <f ca="1">IFERROR(__xludf.DUMMYFUNCTION("""COMPUTED_VALUE"""),"C.A.P.S. 014 PEDRO MOLINA.-")</f>
        <v>C.A.P.S. 014 PEDRO MOLINA.-</v>
      </c>
      <c r="C1265" s="30" t="str">
        <f ca="1">IFERROR(__xludf.DUMMYFUNCTION("""COMPUTED_VALUE"""),"Mendoza")</f>
        <v>Mendoza</v>
      </c>
      <c r="D1265" s="30" t="str">
        <f ca="1">IFERROR(__xludf.DUMMYFUNCTION("""COMPUTED_VALUE"""),"50")</f>
        <v>50</v>
      </c>
      <c r="E1265" s="30" t="str">
        <f ca="1">IFERROR(__xludf.DUMMYFUNCTION("""COMPUTED_VALUE"""),"si")</f>
        <v>si</v>
      </c>
      <c r="F1265" s="29"/>
      <c r="G1265" s="29"/>
      <c r="H1265" s="30" t="str">
        <f ca="1">IFERROR(__xludf.DUMMYFUNCTION("""COMPUTED_VALUE"""),"activo")</f>
        <v>activo</v>
      </c>
      <c r="I1265" s="29"/>
      <c r="J1265" s="29"/>
      <c r="K1265" s="29"/>
      <c r="L1265" s="30" t="str">
        <f ca="1">IFERROR(__xludf.DUMMYFUNCTION("""COMPUTED_VALUE"""),"No")</f>
        <v>No</v>
      </c>
      <c r="M1265" s="30" t="str">
        <f ca="1">IFERROR(__xludf.DUMMYFUNCTION("""COMPUTED_VALUE"""),"50028020006")</f>
        <v>50028020006</v>
      </c>
      <c r="N1265" s="30" t="str">
        <f ca="1">IFERROR(__xludf.DUMMYFUNCTION("""COMPUTED_VALUE"""),"GENERAL BELGRANO")</f>
        <v>GENERAL BELGRANO</v>
      </c>
      <c r="O1265" s="30" t="str">
        <f ca="1">IFERROR(__xludf.DUMMYFUNCTION("""COMPUTED_VALUE"""),"5028")</f>
        <v>5028</v>
      </c>
      <c r="P1265" s="30" t="str">
        <f ca="1">IFERROR(__xludf.DUMMYFUNCTION("""COMPUTED_VALUE"""),"GUAYMALLÉN")</f>
        <v>GUAYMALLÉN</v>
      </c>
      <c r="Q1265" s="30" t="str">
        <f ca="1">IFERROR(__xludf.DUMMYFUNCTION("""COMPUTED_VALUE"""),"-32.88417326")</f>
        <v>-32.88417326</v>
      </c>
      <c r="R1265" s="30" t="str">
        <f ca="1">IFERROR(__xludf.DUMMYFUNCTION("""COMPUTED_VALUE"""),"-68.79188061")</f>
        <v>-68.79188061</v>
      </c>
      <c r="S1265" s="30" t="str">
        <f ca="1">IFERROR(__xludf.DUMMYFUNCTION("""COMPUTED_VALUE"""),"Provincial")</f>
        <v>Provincial</v>
      </c>
      <c r="T1265" s="30" t="str">
        <f ca="1">IFERROR(__xludf.DUMMYFUNCTION("""COMPUTED_VALUE"""),"-")</f>
        <v>-</v>
      </c>
    </row>
    <row r="1266" spans="1:20" ht="15.75" customHeight="1" x14ac:dyDescent="0.25">
      <c r="A1266" s="30" t="str">
        <f ca="1">IFERROR(__xludf.DUMMYFUNCTION("""COMPUTED_VALUE"""),"50500282158908")</f>
        <v>50500282158908</v>
      </c>
      <c r="B1266" s="30" t="str">
        <f ca="1">IFERROR(__xludf.DUMMYFUNCTION("""COMPUTED_VALUE"""),"C.A.P.S. 011 BARRIO SANTA ELVIRA.-")</f>
        <v>C.A.P.S. 011 BARRIO SANTA ELVIRA.-</v>
      </c>
      <c r="C1266" s="30" t="str">
        <f ca="1">IFERROR(__xludf.DUMMYFUNCTION("""COMPUTED_VALUE"""),"Mendoza")</f>
        <v>Mendoza</v>
      </c>
      <c r="D1266" s="30" t="str">
        <f ca="1">IFERROR(__xludf.DUMMYFUNCTION("""COMPUTED_VALUE"""),"50")</f>
        <v>50</v>
      </c>
      <c r="E1266" s="30" t="str">
        <f ca="1">IFERROR(__xludf.DUMMYFUNCTION("""COMPUTED_VALUE"""),"")</f>
        <v/>
      </c>
      <c r="F1266" s="29"/>
      <c r="G1266" s="29"/>
      <c r="H1266" s="30" t="str">
        <f ca="1">IFERROR(__xludf.DUMMYFUNCTION("""COMPUTED_VALUE"""),"activo")</f>
        <v>activo</v>
      </c>
      <c r="I1266" s="29"/>
      <c r="J1266" s="29"/>
      <c r="K1266" s="29"/>
      <c r="L1266" s="30" t="str">
        <f ca="1">IFERROR(__xludf.DUMMYFUNCTION("""COMPUTED_VALUE"""),"No")</f>
        <v>No</v>
      </c>
      <c r="M1266" s="30" t="str">
        <f ca="1">IFERROR(__xludf.DUMMYFUNCTION("""COMPUTED_VALUE"""),"50028020004")</f>
        <v>50028020004</v>
      </c>
      <c r="N1266" s="30" t="str">
        <f ca="1">IFERROR(__xludf.DUMMYFUNCTION("""COMPUTED_VALUE"""),"DORREGO")</f>
        <v>DORREGO</v>
      </c>
      <c r="O1266" s="30" t="str">
        <f ca="1">IFERROR(__xludf.DUMMYFUNCTION("""COMPUTED_VALUE"""),"5028")</f>
        <v>5028</v>
      </c>
      <c r="P1266" s="30" t="str">
        <f ca="1">IFERROR(__xludf.DUMMYFUNCTION("""COMPUTED_VALUE"""),"GUAYMALLÉN")</f>
        <v>GUAYMALLÉN</v>
      </c>
      <c r="Q1266" s="30" t="str">
        <f ca="1">IFERROR(__xludf.DUMMYFUNCTION("""COMPUTED_VALUE"""),"-32.90506749")</f>
        <v>-32.90506749</v>
      </c>
      <c r="R1266" s="30" t="str">
        <f ca="1">IFERROR(__xludf.DUMMYFUNCTION("""COMPUTED_VALUE"""),"-68.80822599")</f>
        <v>-68.80822599</v>
      </c>
      <c r="S1266" s="30" t="str">
        <f ca="1">IFERROR(__xludf.DUMMYFUNCTION("""COMPUTED_VALUE"""),"Provincial")</f>
        <v>Provincial</v>
      </c>
      <c r="T1266" s="30" t="str">
        <f ca="1">IFERROR(__xludf.DUMMYFUNCTION("""COMPUTED_VALUE"""),"-")</f>
        <v>-</v>
      </c>
    </row>
    <row r="1267" spans="1:20" ht="15.75" customHeight="1" x14ac:dyDescent="0.25">
      <c r="A1267" s="30" t="str">
        <f ca="1">IFERROR(__xludf.DUMMYFUNCTION("""COMPUTED_VALUE"""),"50500282257377")</f>
        <v>50500282257377</v>
      </c>
      <c r="B1267" s="30" t="str">
        <f ca="1">IFERROR(__xludf.DUMMYFUNCTION("""COMPUTED_VALUE"""),"C.A.P.S. 308 PUENTE DE HIERRO - GUAYMALLEN")</f>
        <v>C.A.P.S. 308 PUENTE DE HIERRO - GUAYMALLEN</v>
      </c>
      <c r="C1267" s="30" t="str">
        <f ca="1">IFERROR(__xludf.DUMMYFUNCTION("""COMPUTED_VALUE"""),"Mendoza")</f>
        <v>Mendoza</v>
      </c>
      <c r="D1267" s="30" t="str">
        <f ca="1">IFERROR(__xludf.DUMMYFUNCTION("""COMPUTED_VALUE"""),"50")</f>
        <v>50</v>
      </c>
      <c r="E1267" s="30" t="str">
        <f ca="1">IFERROR(__xludf.DUMMYFUNCTION("""COMPUTED_VALUE"""),"si")</f>
        <v>si</v>
      </c>
      <c r="F1267" s="29"/>
      <c r="G1267" s="29"/>
      <c r="H1267" s="30" t="str">
        <f ca="1">IFERROR(__xludf.DUMMYFUNCTION("""COMPUTED_VALUE"""),"inactivo")</f>
        <v>inactivo</v>
      </c>
      <c r="I1267" s="30" t="str">
        <f ca="1">IFERROR(__xludf.DUMMYFUNCTION("""COMPUTED_VALUE"""),"2020 (sisa temporal). no coincide sisa y nombre 10500282161184, C.A.P.S. 308 PUENTE DE HIERRO - GUAYMALLEN de acuerdo a  circular 2")</f>
        <v>2020 (sisa temporal). no coincide sisa y nombre 10500282161184, C.A.P.S. 308 PUENTE DE HIERRO - GUAYMALLEN de acuerdo a  circular 2</v>
      </c>
      <c r="J1267" s="29"/>
      <c r="K1267" s="29"/>
      <c r="L1267" s="30" t="str">
        <f ca="1">IFERROR(__xludf.DUMMYFUNCTION("""COMPUTED_VALUE"""),"No")</f>
        <v>No</v>
      </c>
      <c r="M1267" s="30" t="str">
        <f ca="1">IFERROR(__xludf.DUMMYFUNCTION("""COMPUTED_VALUE"""),"#N/A")</f>
        <v>#N/A</v>
      </c>
      <c r="N1267" s="30" t="str">
        <f ca="1">IFERROR(__xludf.DUMMYFUNCTION("""COMPUTED_VALUE"""),"#N/A")</f>
        <v>#N/A</v>
      </c>
      <c r="O1267" s="30" t="str">
        <f ca="1">IFERROR(__xludf.DUMMYFUNCTION("""COMPUTED_VALUE"""),"#N/A")</f>
        <v>#N/A</v>
      </c>
      <c r="P1267" s="30" t="str">
        <f ca="1">IFERROR(__xludf.DUMMYFUNCTION("""COMPUTED_VALUE"""),"Guaymallén")</f>
        <v>Guaymallén</v>
      </c>
      <c r="Q1267" s="30" t="str">
        <f ca="1">IFERROR(__xludf.DUMMYFUNCTION("""COMPUTED_VALUE"""),"#N/A")</f>
        <v>#N/A</v>
      </c>
      <c r="R1267" s="30" t="str">
        <f ca="1">IFERROR(__xludf.DUMMYFUNCTION("""COMPUTED_VALUE"""),"#N/A")</f>
        <v>#N/A</v>
      </c>
      <c r="S1267" s="30" t="str">
        <f ca="1">IFERROR(__xludf.DUMMYFUNCTION("""COMPUTED_VALUE"""),"#N/A")</f>
        <v>#N/A</v>
      </c>
      <c r="T1267" s="29"/>
    </row>
    <row r="1268" spans="1:20" ht="15.75" customHeight="1" x14ac:dyDescent="0.25">
      <c r="A1268" s="30" t="str">
        <f ca="1">IFERROR(__xludf.DUMMYFUNCTION("""COMPUTED_VALUE"""),"50500352157077")</f>
        <v>50500352157077</v>
      </c>
      <c r="B1268" s="30" t="str">
        <f ca="1">IFERROR(__xludf.DUMMYFUNCTION("""COMPUTED_VALUE"""),"C.A.P.S. 062 OSCAR A. DE LELLIS.-")</f>
        <v>C.A.P.S. 062 OSCAR A. DE LELLIS.-</v>
      </c>
      <c r="C1268" s="30" t="str">
        <f ca="1">IFERROR(__xludf.DUMMYFUNCTION("""COMPUTED_VALUE"""),"Mendoza")</f>
        <v>Mendoza</v>
      </c>
      <c r="D1268" s="30" t="str">
        <f ca="1">IFERROR(__xludf.DUMMYFUNCTION("""COMPUTED_VALUE"""),"50")</f>
        <v>50</v>
      </c>
      <c r="E1268" s="30" t="str">
        <f ca="1">IFERROR(__xludf.DUMMYFUNCTION("""COMPUTED_VALUE"""),"")</f>
        <v/>
      </c>
      <c r="F1268" s="29"/>
      <c r="G1268" s="29"/>
      <c r="H1268" s="30" t="str">
        <f ca="1">IFERROR(__xludf.DUMMYFUNCTION("""COMPUTED_VALUE"""),"activo")</f>
        <v>activo</v>
      </c>
      <c r="I1268" s="29"/>
      <c r="J1268" s="29"/>
      <c r="K1268" s="29"/>
      <c r="L1268" s="30" t="str">
        <f ca="1">IFERROR(__xludf.DUMMYFUNCTION("""COMPUTED_VALUE"""),"No")</f>
        <v>No</v>
      </c>
      <c r="M1268" s="30" t="str">
        <f ca="1">IFERROR(__xludf.DUMMYFUNCTION("""COMPUTED_VALUE"""),"50035020000")</f>
        <v>50035020000</v>
      </c>
      <c r="N1268" s="30" t="str">
        <f ca="1">IFERROR(__xludf.DUMMYFUNCTION("""COMPUTED_VALUE"""),"JUNIN")</f>
        <v>JUNIN</v>
      </c>
      <c r="O1268" s="30" t="str">
        <f ca="1">IFERROR(__xludf.DUMMYFUNCTION("""COMPUTED_VALUE"""),"5035")</f>
        <v>5035</v>
      </c>
      <c r="P1268" s="30" t="str">
        <f ca="1">IFERROR(__xludf.DUMMYFUNCTION("""COMPUTED_VALUE"""),"JUNÍN")</f>
        <v>JUNÍN</v>
      </c>
      <c r="Q1268" s="30" t="str">
        <f ca="1">IFERROR(__xludf.DUMMYFUNCTION("""COMPUTED_VALUE"""),"-33.14100094")</f>
        <v>-33.14100094</v>
      </c>
      <c r="R1268" s="30" t="str">
        <f ca="1">IFERROR(__xludf.DUMMYFUNCTION("""COMPUTED_VALUE"""),"-68.48602295")</f>
        <v>-68.48602295</v>
      </c>
      <c r="S1268" s="30" t="str">
        <f ca="1">IFERROR(__xludf.DUMMYFUNCTION("""COMPUTED_VALUE"""),"Provincial")</f>
        <v>Provincial</v>
      </c>
      <c r="T1268" s="30" t="str">
        <f ca="1">IFERROR(__xludf.DUMMYFUNCTION("""COMPUTED_VALUE"""),"-")</f>
        <v>-</v>
      </c>
    </row>
    <row r="1269" spans="1:20" ht="15.75" customHeight="1" x14ac:dyDescent="0.25">
      <c r="A1269" s="30" t="str">
        <f ca="1">IFERROR(__xludf.DUMMYFUNCTION("""COMPUTED_VALUE"""),"50500352157318")</f>
        <v>50500352157318</v>
      </c>
      <c r="B1269" s="30" t="str">
        <f ca="1">IFERROR(__xludf.DUMMYFUNCTION("""COMPUTED_VALUE"""),"C.A.P.S. 169 LA COLONIA - JUNIN")</f>
        <v>C.A.P.S. 169 LA COLONIA - JUNIN</v>
      </c>
      <c r="C1269" s="30" t="str">
        <f ca="1">IFERROR(__xludf.DUMMYFUNCTION("""COMPUTED_VALUE"""),"Mendoza")</f>
        <v>Mendoza</v>
      </c>
      <c r="D1269" s="30" t="str">
        <f ca="1">IFERROR(__xludf.DUMMYFUNCTION("""COMPUTED_VALUE"""),"50")</f>
        <v>50</v>
      </c>
      <c r="E1269" s="30" t="str">
        <f ca="1">IFERROR(__xludf.DUMMYFUNCTION("""COMPUTED_VALUE"""),"")</f>
        <v/>
      </c>
      <c r="F1269" s="29"/>
      <c r="G1269" s="29"/>
      <c r="H1269" s="30" t="str">
        <f ca="1">IFERROR(__xludf.DUMMYFUNCTION("""COMPUTED_VALUE"""),"inactivo")</f>
        <v>inactivo</v>
      </c>
      <c r="I1269" s="30" t="str">
        <f ca="1">IFERROR(__xludf.DUMMYFUNCTION("""COMPUTED_VALUE"""),"no coincide sisa y nombre 50500352260955, C.A.P.S. 169 la colonia - junin de acuerdo a circular 2")</f>
        <v>no coincide sisa y nombre 50500352260955, C.A.P.S. 169 la colonia - junin de acuerdo a circular 2</v>
      </c>
      <c r="J1269" s="29"/>
      <c r="K1269" s="29"/>
      <c r="L1269" s="30" t="str">
        <f ca="1">IFERROR(__xludf.DUMMYFUNCTION("""COMPUTED_VALUE"""),"No")</f>
        <v>No</v>
      </c>
      <c r="M1269" s="30" t="str">
        <f ca="1">IFERROR(__xludf.DUMMYFUNCTION("""COMPUTED_VALUE"""),"#N/A")</f>
        <v>#N/A</v>
      </c>
      <c r="N1269" s="30" t="str">
        <f ca="1">IFERROR(__xludf.DUMMYFUNCTION("""COMPUTED_VALUE"""),"#N/A")</f>
        <v>#N/A</v>
      </c>
      <c r="O1269" s="30" t="str">
        <f ca="1">IFERROR(__xludf.DUMMYFUNCTION("""COMPUTED_VALUE"""),"#N/A")</f>
        <v>#N/A</v>
      </c>
      <c r="P1269" s="30" t="str">
        <f ca="1">IFERROR(__xludf.DUMMYFUNCTION("""COMPUTED_VALUE"""),"Junín")</f>
        <v>Junín</v>
      </c>
      <c r="Q1269" s="30" t="str">
        <f ca="1">IFERROR(__xludf.DUMMYFUNCTION("""COMPUTED_VALUE"""),"#N/A")</f>
        <v>#N/A</v>
      </c>
      <c r="R1269" s="30" t="str">
        <f ca="1">IFERROR(__xludf.DUMMYFUNCTION("""COMPUTED_VALUE"""),"#N/A")</f>
        <v>#N/A</v>
      </c>
      <c r="S1269" s="30" t="str">
        <f ca="1">IFERROR(__xludf.DUMMYFUNCTION("""COMPUTED_VALUE"""),"#N/A")</f>
        <v>#N/A</v>
      </c>
      <c r="T1269" s="29"/>
    </row>
    <row r="1270" spans="1:20" ht="15.75" customHeight="1" x14ac:dyDescent="0.25">
      <c r="A1270" s="30" t="str">
        <f ca="1">IFERROR(__xludf.DUMMYFUNCTION("""COMPUTED_VALUE"""),"50500492157105")</f>
        <v>50500492157105</v>
      </c>
      <c r="B1270" s="30" t="str">
        <f ca="1">IFERROR(__xludf.DUMMYFUNCTION("""COMPUTED_VALUE"""),"C.A.P.S. 025 MONTEAVARO.-")</f>
        <v>C.A.P.S. 025 MONTEAVARO.-</v>
      </c>
      <c r="C1270" s="30" t="str">
        <f ca="1">IFERROR(__xludf.DUMMYFUNCTION("""COMPUTED_VALUE"""),"Mendoza")</f>
        <v>Mendoza</v>
      </c>
      <c r="D1270" s="30" t="str">
        <f ca="1">IFERROR(__xludf.DUMMYFUNCTION("""COMPUTED_VALUE"""),"50")</f>
        <v>50</v>
      </c>
      <c r="E1270" s="30" t="str">
        <f ca="1">IFERROR(__xludf.DUMMYFUNCTION("""COMPUTED_VALUE"""),"si")</f>
        <v>si</v>
      </c>
      <c r="F1270" s="29"/>
      <c r="G1270" s="29"/>
      <c r="H1270" s="30" t="str">
        <f ca="1">IFERROR(__xludf.DUMMYFUNCTION("""COMPUTED_VALUE"""),"activo")</f>
        <v>activo</v>
      </c>
      <c r="I1270" s="29"/>
      <c r="J1270" s="29"/>
      <c r="K1270" s="29"/>
      <c r="L1270" s="30" t="str">
        <f ca="1">IFERROR(__xludf.DUMMYFUNCTION("""COMPUTED_VALUE"""),"No")</f>
        <v>No</v>
      </c>
      <c r="M1270" s="30" t="str">
        <f ca="1">IFERROR(__xludf.DUMMYFUNCTION("""COMPUTED_VALUE"""),"50049050009")</f>
        <v>50049050009</v>
      </c>
      <c r="N1270" s="30" t="str">
        <f ca="1">IFERROR(__xludf.DUMMYFUNCTION("""COMPUTED_VALUE"""),"EL ZAPALLAR")</f>
        <v>EL ZAPALLAR</v>
      </c>
      <c r="O1270" s="30" t="str">
        <f ca="1">IFERROR(__xludf.DUMMYFUNCTION("""COMPUTED_VALUE"""),"5049")</f>
        <v>5049</v>
      </c>
      <c r="P1270" s="30" t="str">
        <f ca="1">IFERROR(__xludf.DUMMYFUNCTION("""COMPUTED_VALUE"""),"LAS HERAS")</f>
        <v>LAS HERAS</v>
      </c>
      <c r="Q1270" s="30" t="str">
        <f ca="1">IFERROR(__xludf.DUMMYFUNCTION("""COMPUTED_VALUE"""),"-32.8641191")</f>
        <v>-32.8641191</v>
      </c>
      <c r="R1270" s="30" t="str">
        <f ca="1">IFERROR(__xludf.DUMMYFUNCTION("""COMPUTED_VALUE"""),"-68.8125765")</f>
        <v>-68.8125765</v>
      </c>
      <c r="S1270" s="30" t="str">
        <f ca="1">IFERROR(__xludf.DUMMYFUNCTION("""COMPUTED_VALUE"""),"Provincial")</f>
        <v>Provincial</v>
      </c>
      <c r="T1270" s="30" t="str">
        <f ca="1">IFERROR(__xludf.DUMMYFUNCTION("""COMPUTED_VALUE"""),"-")</f>
        <v>-</v>
      </c>
    </row>
    <row r="1271" spans="1:20" ht="15.75" customHeight="1" x14ac:dyDescent="0.25">
      <c r="A1271" s="30" t="str">
        <f ca="1">IFERROR(__xludf.DUMMYFUNCTION("""COMPUTED_VALUE"""),"50500492157249")</f>
        <v>50500492157249</v>
      </c>
      <c r="B1271" s="30" t="str">
        <f ca="1">IFERROR(__xludf.DUMMYFUNCTION("""COMPUTED_VALUE"""),"C.A.P.S. 136 JUAN MINETTI.-")</f>
        <v>C.A.P.S. 136 JUAN MINETTI.-</v>
      </c>
      <c r="C1271" s="30" t="str">
        <f ca="1">IFERROR(__xludf.DUMMYFUNCTION("""COMPUTED_VALUE"""),"Mendoza")</f>
        <v>Mendoza</v>
      </c>
      <c r="D1271" s="30" t="str">
        <f ca="1">IFERROR(__xludf.DUMMYFUNCTION("""COMPUTED_VALUE"""),"50")</f>
        <v>50</v>
      </c>
      <c r="E1271" s="30" t="str">
        <f ca="1">IFERROR(__xludf.DUMMYFUNCTION("""COMPUTED_VALUE"""),"")</f>
        <v/>
      </c>
      <c r="F1271" s="29"/>
      <c r="G1271" s="29"/>
      <c r="H1271" s="30" t="str">
        <f ca="1">IFERROR(__xludf.DUMMYFUNCTION("""COMPUTED_VALUE"""),"activo")</f>
        <v>activo</v>
      </c>
      <c r="I1271" s="29"/>
      <c r="J1271" s="29"/>
      <c r="K1271" s="29"/>
      <c r="L1271" s="30" t="str">
        <f ca="1">IFERROR(__xludf.DUMMYFUNCTION("""COMPUTED_VALUE"""),"No")</f>
        <v>No</v>
      </c>
      <c r="M1271" s="30" t="str">
        <f ca="1">IFERROR(__xludf.DUMMYFUNCTION("""COMPUTED_VALUE"""),"50049050008")</f>
        <v>50049050008</v>
      </c>
      <c r="N1271" s="30" t="str">
        <f ca="1">IFERROR(__xludf.DUMMYFUNCTION("""COMPUTED_VALUE"""),"EL RESGUARDO")</f>
        <v>EL RESGUARDO</v>
      </c>
      <c r="O1271" s="30" t="str">
        <f ca="1">IFERROR(__xludf.DUMMYFUNCTION("""COMPUTED_VALUE"""),"5049")</f>
        <v>5049</v>
      </c>
      <c r="P1271" s="30" t="str">
        <f ca="1">IFERROR(__xludf.DUMMYFUNCTION("""COMPUTED_VALUE"""),"LAS HERAS")</f>
        <v>LAS HERAS</v>
      </c>
      <c r="Q1271" s="30" t="str">
        <f ca="1">IFERROR(__xludf.DUMMYFUNCTION("""COMPUTED_VALUE"""),"-32.80474932")</f>
        <v>-32.80474932</v>
      </c>
      <c r="R1271" s="30" t="str">
        <f ca="1">IFERROR(__xludf.DUMMYFUNCTION("""COMPUTED_VALUE"""),"-68.82438898")</f>
        <v>-68.82438898</v>
      </c>
      <c r="S1271" s="30" t="str">
        <f ca="1">IFERROR(__xludf.DUMMYFUNCTION("""COMPUTED_VALUE"""),"Provincial")</f>
        <v>Provincial</v>
      </c>
      <c r="T1271" s="30" t="str">
        <f ca="1">IFERROR(__xludf.DUMMYFUNCTION("""COMPUTED_VALUE"""),"-")</f>
        <v>-</v>
      </c>
    </row>
    <row r="1272" spans="1:20" ht="15.75" customHeight="1" x14ac:dyDescent="0.25">
      <c r="A1272" s="30" t="str">
        <f ca="1">IFERROR(__xludf.DUMMYFUNCTION("""COMPUTED_VALUE"""),"50500492157252")</f>
        <v>50500492157252</v>
      </c>
      <c r="B1272" s="30" t="str">
        <f ca="1">IFERROR(__xludf.DUMMYFUNCTION("""COMPUTED_VALUE"""),"C.A.P.S. 139 BARRIO MUNICIPAL.-")</f>
        <v>C.A.P.S. 139 BARRIO MUNICIPAL.-</v>
      </c>
      <c r="C1272" s="30" t="str">
        <f ca="1">IFERROR(__xludf.DUMMYFUNCTION("""COMPUTED_VALUE"""),"Mendoza")</f>
        <v>Mendoza</v>
      </c>
      <c r="D1272" s="30" t="str">
        <f ca="1">IFERROR(__xludf.DUMMYFUNCTION("""COMPUTED_VALUE"""),"50")</f>
        <v>50</v>
      </c>
      <c r="E1272" s="30" t="str">
        <f ca="1">IFERROR(__xludf.DUMMYFUNCTION("""COMPUTED_VALUE"""),"si")</f>
        <v>si</v>
      </c>
      <c r="F1272" s="29"/>
      <c r="G1272" s="29"/>
      <c r="H1272" s="30" t="str">
        <f ca="1">IFERROR(__xludf.DUMMYFUNCTION("""COMPUTED_VALUE"""),"activo")</f>
        <v>activo</v>
      </c>
      <c r="I1272" s="29"/>
      <c r="J1272" s="29"/>
      <c r="K1272" s="29"/>
      <c r="L1272" s="30" t="str">
        <f ca="1">IFERROR(__xludf.DUMMYFUNCTION("""COMPUTED_VALUE"""),"No")</f>
        <v>No</v>
      </c>
      <c r="M1272" s="30" t="str">
        <f ca="1">IFERROR(__xludf.DUMMYFUNCTION("""COMPUTED_VALUE"""),"50049050005")</f>
        <v>50049050005</v>
      </c>
      <c r="N1272" s="30" t="str">
        <f ca="1">IFERROR(__xludf.DUMMYFUNCTION("""COMPUTED_VALUE"""),"EL CHALLAO")</f>
        <v>EL CHALLAO</v>
      </c>
      <c r="O1272" s="30" t="str">
        <f ca="1">IFERROR(__xludf.DUMMYFUNCTION("""COMPUTED_VALUE"""),"5049")</f>
        <v>5049</v>
      </c>
      <c r="P1272" s="30" t="str">
        <f ca="1">IFERROR(__xludf.DUMMYFUNCTION("""COMPUTED_VALUE"""),"LAS HERAS")</f>
        <v>LAS HERAS</v>
      </c>
      <c r="Q1272" s="30" t="str">
        <f ca="1">IFERROR(__xludf.DUMMYFUNCTION("""COMPUTED_VALUE"""),"-32.8440819")</f>
        <v>-32.8440819</v>
      </c>
      <c r="R1272" s="30" t="str">
        <f ca="1">IFERROR(__xludf.DUMMYFUNCTION("""COMPUTED_VALUE"""),"-68.86955738")</f>
        <v>-68.86955738</v>
      </c>
      <c r="S1272" s="30" t="str">
        <f ca="1">IFERROR(__xludf.DUMMYFUNCTION("""COMPUTED_VALUE"""),"Provincial")</f>
        <v>Provincial</v>
      </c>
      <c r="T1272" s="30" t="str">
        <f ca="1">IFERROR(__xludf.DUMMYFUNCTION("""COMPUTED_VALUE"""),"-")</f>
        <v>-</v>
      </c>
    </row>
    <row r="1273" spans="1:20" ht="15.75" customHeight="1" x14ac:dyDescent="0.25">
      <c r="A1273" s="30" t="str">
        <f ca="1">IFERROR(__xludf.DUMMYFUNCTION("""COMPUTED_VALUE"""),"50500492157260")</f>
        <v>50500492157260</v>
      </c>
      <c r="B1273" s="30" t="str">
        <f ca="1">IFERROR(__xludf.DUMMYFUNCTION("""COMPUTED_VALUE"""),"C.A.P.S. 017 CARLOS EVANS.-")</f>
        <v>C.A.P.S. 017 CARLOS EVANS.-</v>
      </c>
      <c r="C1273" s="30" t="str">
        <f ca="1">IFERROR(__xludf.DUMMYFUNCTION("""COMPUTED_VALUE"""),"Mendoza")</f>
        <v>Mendoza</v>
      </c>
      <c r="D1273" s="30" t="str">
        <f ca="1">IFERROR(__xludf.DUMMYFUNCTION("""COMPUTED_VALUE"""),"50")</f>
        <v>50</v>
      </c>
      <c r="E1273" s="30" t="str">
        <f ca="1">IFERROR(__xludf.DUMMYFUNCTION("""COMPUTED_VALUE"""),"")</f>
        <v/>
      </c>
      <c r="F1273" s="29"/>
      <c r="G1273" s="29"/>
      <c r="H1273" s="30" t="str">
        <f ca="1">IFERROR(__xludf.DUMMYFUNCTION("""COMPUTED_VALUE"""),"activo")</f>
        <v>activo</v>
      </c>
      <c r="I1273" s="29"/>
      <c r="J1273" s="29"/>
      <c r="K1273" s="29"/>
      <c r="L1273" s="30" t="str">
        <f ca="1">IFERROR(__xludf.DUMMYFUNCTION("""COMPUTED_VALUE"""),"No")</f>
        <v>No</v>
      </c>
      <c r="M1273" s="30" t="str">
        <f ca="1">IFERROR(__xludf.DUMMYFUNCTION("""COMPUTED_VALUE"""),"50049050002")</f>
        <v>50049050002</v>
      </c>
      <c r="N1273" s="30" t="str">
        <f ca="1">IFERROR(__xludf.DUMMYFUNCTION("""COMPUTED_VALUE"""),"LAS HERAS")</f>
        <v>LAS HERAS</v>
      </c>
      <c r="O1273" s="30" t="str">
        <f ca="1">IFERROR(__xludf.DUMMYFUNCTION("""COMPUTED_VALUE"""),"5049")</f>
        <v>5049</v>
      </c>
      <c r="P1273" s="30" t="str">
        <f ca="1">IFERROR(__xludf.DUMMYFUNCTION("""COMPUTED_VALUE"""),"LAS HERAS")</f>
        <v>LAS HERAS</v>
      </c>
      <c r="Q1273" s="30" t="str">
        <f ca="1">IFERROR(__xludf.DUMMYFUNCTION("""COMPUTED_VALUE"""),"-32.84338573")</f>
        <v>-32.84338573</v>
      </c>
      <c r="R1273" s="30" t="str">
        <f ca="1">IFERROR(__xludf.DUMMYFUNCTION("""COMPUTED_VALUE"""),"-68.83208156")</f>
        <v>-68.83208156</v>
      </c>
      <c r="S1273" s="30" t="str">
        <f ca="1">IFERROR(__xludf.DUMMYFUNCTION("""COMPUTED_VALUE"""),"Provincial")</f>
        <v>Provincial</v>
      </c>
      <c r="T1273" s="30" t="str">
        <f ca="1">IFERROR(__xludf.DUMMYFUNCTION("""COMPUTED_VALUE"""),"-")</f>
        <v>-</v>
      </c>
    </row>
    <row r="1274" spans="1:20" ht="15.75" customHeight="1" x14ac:dyDescent="0.25">
      <c r="A1274" s="30" t="str">
        <f ca="1">IFERROR(__xludf.DUMMYFUNCTION("""COMPUTED_VALUE"""),"50500492157262")</f>
        <v>50500492157262</v>
      </c>
      <c r="B1274" s="30" t="str">
        <f ca="1">IFERROR(__xludf.DUMMYFUNCTION("""COMPUTED_VALUE"""),"C.A.P.S. 018 RAFAEL ESPECHE Y MERCEDES DE ESPECHE.-")</f>
        <v>C.A.P.S. 018 RAFAEL ESPECHE Y MERCEDES DE ESPECHE.-</v>
      </c>
      <c r="C1274" s="30" t="str">
        <f ca="1">IFERROR(__xludf.DUMMYFUNCTION("""COMPUTED_VALUE"""),"Mendoza")</f>
        <v>Mendoza</v>
      </c>
      <c r="D1274" s="30" t="str">
        <f ca="1">IFERROR(__xludf.DUMMYFUNCTION("""COMPUTED_VALUE"""),"50")</f>
        <v>50</v>
      </c>
      <c r="E1274" s="30" t="str">
        <f ca="1">IFERROR(__xludf.DUMMYFUNCTION("""COMPUTED_VALUE"""),"")</f>
        <v/>
      </c>
      <c r="F1274" s="29"/>
      <c r="G1274" s="29"/>
      <c r="H1274" s="30" t="str">
        <f ca="1">IFERROR(__xludf.DUMMYFUNCTION("""COMPUTED_VALUE"""),"activo")</f>
        <v>activo</v>
      </c>
      <c r="I1274" s="29"/>
      <c r="J1274" s="29"/>
      <c r="K1274" s="29"/>
      <c r="L1274" s="30" t="str">
        <f ca="1">IFERROR(__xludf.DUMMYFUNCTION("""COMPUTED_VALUE"""),"No")</f>
        <v>No</v>
      </c>
      <c r="M1274" s="30" t="str">
        <f ca="1">IFERROR(__xludf.DUMMYFUNCTION("""COMPUTED_VALUE"""),"50049050007")</f>
        <v>50049050007</v>
      </c>
      <c r="N1274" s="30" t="str">
        <f ca="1">IFERROR(__xludf.DUMMYFUNCTION("""COMPUTED_VALUE"""),"EL PLUMERILLO")</f>
        <v>EL PLUMERILLO</v>
      </c>
      <c r="O1274" s="30" t="str">
        <f ca="1">IFERROR(__xludf.DUMMYFUNCTION("""COMPUTED_VALUE"""),"5049")</f>
        <v>5049</v>
      </c>
      <c r="P1274" s="30" t="str">
        <f ca="1">IFERROR(__xludf.DUMMYFUNCTION("""COMPUTED_VALUE"""),"LAS HERAS")</f>
        <v>LAS HERAS</v>
      </c>
      <c r="Q1274" s="30" t="str">
        <f ca="1">IFERROR(__xludf.DUMMYFUNCTION("""COMPUTED_VALUE"""),"-32.83974457")</f>
        <v>-32.83974457</v>
      </c>
      <c r="R1274" s="30" t="str">
        <f ca="1">IFERROR(__xludf.DUMMYFUNCTION("""COMPUTED_VALUE"""),"-68.8225463")</f>
        <v>-68.8225463</v>
      </c>
      <c r="S1274" s="30" t="str">
        <f ca="1">IFERROR(__xludf.DUMMYFUNCTION("""COMPUTED_VALUE"""),"Provincial")</f>
        <v>Provincial</v>
      </c>
      <c r="T1274" s="30" t="str">
        <f ca="1">IFERROR(__xludf.DUMMYFUNCTION("""COMPUTED_VALUE"""),"-")</f>
        <v>-</v>
      </c>
    </row>
    <row r="1275" spans="1:20" ht="15.75" customHeight="1" x14ac:dyDescent="0.25">
      <c r="A1275" s="30" t="str">
        <f ca="1">IFERROR(__xludf.DUMMYFUNCTION("""COMPUTED_VALUE"""),"50500492157267")</f>
        <v>50500492157267</v>
      </c>
      <c r="B1275" s="30" t="str">
        <f ca="1">IFERROR(__xludf.DUMMYFUNCTION("""COMPUTED_VALUE"""),"C.A.P.S. 020 BARRIO 26 DE ENERO.-")</f>
        <v>C.A.P.S. 020 BARRIO 26 DE ENERO.-</v>
      </c>
      <c r="C1275" s="30" t="str">
        <f ca="1">IFERROR(__xludf.DUMMYFUNCTION("""COMPUTED_VALUE"""),"Mendoza")</f>
        <v>Mendoza</v>
      </c>
      <c r="D1275" s="30" t="str">
        <f ca="1">IFERROR(__xludf.DUMMYFUNCTION("""COMPUTED_VALUE"""),"50")</f>
        <v>50</v>
      </c>
      <c r="E1275" s="30" t="str">
        <f ca="1">IFERROR(__xludf.DUMMYFUNCTION("""COMPUTED_VALUE"""),"")</f>
        <v/>
      </c>
      <c r="F1275" s="29"/>
      <c r="G1275" s="29"/>
      <c r="H1275" s="30" t="str">
        <f ca="1">IFERROR(__xludf.DUMMYFUNCTION("""COMPUTED_VALUE"""),"activo")</f>
        <v>activo</v>
      </c>
      <c r="I1275" s="29"/>
      <c r="J1275" s="29"/>
      <c r="K1275" s="29"/>
      <c r="L1275" s="30" t="str">
        <f ca="1">IFERROR(__xludf.DUMMYFUNCTION("""COMPUTED_VALUE"""),"No")</f>
        <v>No</v>
      </c>
      <c r="M1275" s="30" t="str">
        <f ca="1">IFERROR(__xludf.DUMMYFUNCTION("""COMPUTED_VALUE"""),"50049050008")</f>
        <v>50049050008</v>
      </c>
      <c r="N1275" s="30" t="str">
        <f ca="1">IFERROR(__xludf.DUMMYFUNCTION("""COMPUTED_VALUE"""),"EL RESGUARDO")</f>
        <v>EL RESGUARDO</v>
      </c>
      <c r="O1275" s="30" t="str">
        <f ca="1">IFERROR(__xludf.DUMMYFUNCTION("""COMPUTED_VALUE"""),"5049")</f>
        <v>5049</v>
      </c>
      <c r="P1275" s="30" t="str">
        <f ca="1">IFERROR(__xludf.DUMMYFUNCTION("""COMPUTED_VALUE"""),"LAS HERAS")</f>
        <v>LAS HERAS</v>
      </c>
      <c r="Q1275" s="30" t="str">
        <f ca="1">IFERROR(__xludf.DUMMYFUNCTION("""COMPUTED_VALUE"""),"-32.83904994")</f>
        <v>-32.83904994</v>
      </c>
      <c r="R1275" s="30" t="str">
        <f ca="1">IFERROR(__xludf.DUMMYFUNCTION("""COMPUTED_VALUE"""),"-68.82907748")</f>
        <v>-68.82907748</v>
      </c>
      <c r="S1275" s="30" t="str">
        <f ca="1">IFERROR(__xludf.DUMMYFUNCTION("""COMPUTED_VALUE"""),"Provincial")</f>
        <v>Provincial</v>
      </c>
      <c r="T1275" s="30" t="str">
        <f ca="1">IFERROR(__xludf.DUMMYFUNCTION("""COMPUTED_VALUE"""),"-")</f>
        <v>-</v>
      </c>
    </row>
    <row r="1276" spans="1:20" ht="15.75" customHeight="1" x14ac:dyDescent="0.25">
      <c r="A1276" s="30" t="str">
        <f ca="1">IFERROR(__xludf.DUMMYFUNCTION("""COMPUTED_VALUE"""),"50500212157255")</f>
        <v>50500212157255</v>
      </c>
      <c r="B1276" s="30" t="str">
        <f ca="1">IFERROR(__xludf.DUMMYFUNCTION("""COMPUTED_VALUE"""),"C.A.P.S. 149 RAMON CARRILLO.-")</f>
        <v>C.A.P.S. 149 RAMON CARRILLO.-</v>
      </c>
      <c r="C1276" s="30" t="str">
        <f ca="1">IFERROR(__xludf.DUMMYFUNCTION("""COMPUTED_VALUE"""),"Mendoza")</f>
        <v>Mendoza</v>
      </c>
      <c r="D1276" s="30" t="str">
        <f ca="1">IFERROR(__xludf.DUMMYFUNCTION("""COMPUTED_VALUE"""),"50")</f>
        <v>50</v>
      </c>
      <c r="E1276" s="30" t="str">
        <f ca="1">IFERROR(__xludf.DUMMYFUNCTION("""COMPUTED_VALUE"""),"")</f>
        <v/>
      </c>
      <c r="F1276" s="29"/>
      <c r="G1276" s="29"/>
      <c r="H1276" s="30" t="str">
        <f ca="1">IFERROR(__xludf.DUMMYFUNCTION("""COMPUTED_VALUE"""),"activo")</f>
        <v>activo</v>
      </c>
      <c r="I1276" s="29"/>
      <c r="J1276" s="29"/>
      <c r="K1276" s="29"/>
      <c r="L1276" s="30" t="str">
        <f ca="1">IFERROR(__xludf.DUMMYFUNCTION("""COMPUTED_VALUE"""),"No")</f>
        <v>No</v>
      </c>
      <c r="M1276" s="30" t="str">
        <f ca="1">IFERROR(__xludf.DUMMYFUNCTION("""COMPUTED_VALUE"""),"50021010001")</f>
        <v>50021010001</v>
      </c>
      <c r="N1276" s="30" t="str">
        <f ca="1">IFERROR(__xludf.DUMMYFUNCTION("""COMPUTED_VALUE"""),"GODOY CRUZ")</f>
        <v>GODOY CRUZ</v>
      </c>
      <c r="O1276" s="30" t="str">
        <f ca="1">IFERROR(__xludf.DUMMYFUNCTION("""COMPUTED_VALUE"""),"5021")</f>
        <v>5021</v>
      </c>
      <c r="P1276" s="30" t="str">
        <f ca="1">IFERROR(__xludf.DUMMYFUNCTION("""COMPUTED_VALUE"""),"GODOY CRUZ")</f>
        <v>GODOY CRUZ</v>
      </c>
      <c r="Q1276" s="30" t="str">
        <f ca="1">IFERROR(__xludf.DUMMYFUNCTION("""COMPUTED_VALUE"""),"-32.92267085")</f>
        <v>-32.92267085</v>
      </c>
      <c r="R1276" s="30" t="str">
        <f ca="1">IFERROR(__xludf.DUMMYFUNCTION("""COMPUTED_VALUE"""),"-68.86500299")</f>
        <v>-68.86500299</v>
      </c>
      <c r="S1276" s="30" t="str">
        <f ca="1">IFERROR(__xludf.DUMMYFUNCTION("""COMPUTED_VALUE"""),"Provincial")</f>
        <v>Provincial</v>
      </c>
      <c r="T1276" s="30" t="str">
        <f ca="1">IFERROR(__xludf.DUMMYFUNCTION("""COMPUTED_VALUE"""),"-")</f>
        <v>-</v>
      </c>
    </row>
    <row r="1277" spans="1:20" ht="15.75" customHeight="1" x14ac:dyDescent="0.25">
      <c r="A1277" s="30" t="str">
        <f ca="1">IFERROR(__xludf.DUMMYFUNCTION("""COMPUTED_VALUE"""),"50500492257291")</f>
        <v>50500492257291</v>
      </c>
      <c r="B1277" s="30" t="str">
        <f ca="1">IFERROR(__xludf.DUMMYFUNCTION("""COMPUTED_VALUE"""),"C.A.P.S. 333 CENTRO DE SALUD MUNICIPAL RENE G. FAVALORO.-")</f>
        <v>C.A.P.S. 333 CENTRO DE SALUD MUNICIPAL RENE G. FAVALORO.-</v>
      </c>
      <c r="C1277" s="30" t="str">
        <f ca="1">IFERROR(__xludf.DUMMYFUNCTION("""COMPUTED_VALUE"""),"Mendoza")</f>
        <v>Mendoza</v>
      </c>
      <c r="D1277" s="30" t="str">
        <f ca="1">IFERROR(__xludf.DUMMYFUNCTION("""COMPUTED_VALUE"""),"50")</f>
        <v>50</v>
      </c>
      <c r="E1277" s="30" t="str">
        <f ca="1">IFERROR(__xludf.DUMMYFUNCTION("""COMPUTED_VALUE"""),"")</f>
        <v/>
      </c>
      <c r="F1277" s="29"/>
      <c r="G1277" s="29"/>
      <c r="H1277" s="30" t="str">
        <f ca="1">IFERROR(__xludf.DUMMYFUNCTION("""COMPUTED_VALUE"""),"activo")</f>
        <v>activo</v>
      </c>
      <c r="I1277" s="29"/>
      <c r="J1277" s="29"/>
      <c r="K1277" s="29"/>
      <c r="L1277" s="30" t="str">
        <f ca="1">IFERROR(__xludf.DUMMYFUNCTION("""COMPUTED_VALUE"""),"No")</f>
        <v>No</v>
      </c>
      <c r="M1277" s="30" t="str">
        <f ca="1">IFERROR(__xludf.DUMMYFUNCTION("""COMPUTED_VALUE"""),"50049050011")</f>
        <v>50049050011</v>
      </c>
      <c r="N1277" s="30" t="str">
        <f ca="1">IFERROR(__xludf.DUMMYFUNCTION("""COMPUTED_VALUE"""),"PANQUEHUA")</f>
        <v>PANQUEHUA</v>
      </c>
      <c r="O1277" s="30" t="str">
        <f ca="1">IFERROR(__xludf.DUMMYFUNCTION("""COMPUTED_VALUE"""),"5049")</f>
        <v>5049</v>
      </c>
      <c r="P1277" s="30" t="str">
        <f ca="1">IFERROR(__xludf.DUMMYFUNCTION("""COMPUTED_VALUE"""),"LAS HERAS")</f>
        <v>LAS HERAS</v>
      </c>
      <c r="Q1277" s="30" t="str">
        <f ca="1">IFERROR(__xludf.DUMMYFUNCTION("""COMPUTED_VALUE"""),"-32.835691")</f>
        <v>-32.835691</v>
      </c>
      <c r="R1277" s="30" t="str">
        <f ca="1">IFERROR(__xludf.DUMMYFUNCTION("""COMPUTED_VALUE"""),"-68.84349")</f>
        <v>-68.84349</v>
      </c>
      <c r="S1277" s="30" t="str">
        <f ca="1">IFERROR(__xludf.DUMMYFUNCTION("""COMPUTED_VALUE"""),"Municipal")</f>
        <v>Municipal</v>
      </c>
      <c r="T1277" s="29"/>
    </row>
    <row r="1278" spans="1:20" ht="15.75" customHeight="1" x14ac:dyDescent="0.25">
      <c r="A1278" s="30" t="str">
        <f ca="1">IFERROR(__xludf.DUMMYFUNCTION("""COMPUTED_VALUE"""),"50500492257295")</f>
        <v>50500492257295</v>
      </c>
      <c r="B1278" s="30" t="str">
        <f ca="1">IFERROR(__xludf.DUMMYFUNCTION("""COMPUTED_VALUE"""),"C.A.P.S. 353 CENTRO DE SALUD MUNICIPAL CESAR ORTIZ GUEVARA.-")</f>
        <v>C.A.P.S. 353 CENTRO DE SALUD MUNICIPAL CESAR ORTIZ GUEVARA.-</v>
      </c>
      <c r="C1278" s="30" t="str">
        <f ca="1">IFERROR(__xludf.DUMMYFUNCTION("""COMPUTED_VALUE"""),"Mendoza")</f>
        <v>Mendoza</v>
      </c>
      <c r="D1278" s="30" t="str">
        <f ca="1">IFERROR(__xludf.DUMMYFUNCTION("""COMPUTED_VALUE"""),"50")</f>
        <v>50</v>
      </c>
      <c r="E1278" s="30" t="str">
        <f ca="1">IFERROR(__xludf.DUMMYFUNCTION("""COMPUTED_VALUE"""),"")</f>
        <v/>
      </c>
      <c r="F1278" s="29"/>
      <c r="G1278" s="29"/>
      <c r="H1278" s="30" t="str">
        <f ca="1">IFERROR(__xludf.DUMMYFUNCTION("""COMPUTED_VALUE"""),"activo")</f>
        <v>activo</v>
      </c>
      <c r="I1278" s="29"/>
      <c r="J1278" s="29"/>
      <c r="K1278" s="29"/>
      <c r="L1278" s="30" t="str">
        <f ca="1">IFERROR(__xludf.DUMMYFUNCTION("""COMPUTED_VALUE"""),"No")</f>
        <v>No</v>
      </c>
      <c r="M1278" s="30" t="str">
        <f ca="1">IFERROR(__xludf.DUMMYFUNCTION("""COMPUTED_VALUE"""),"50049050007")</f>
        <v>50049050007</v>
      </c>
      <c r="N1278" s="30" t="str">
        <f ca="1">IFERROR(__xludf.DUMMYFUNCTION("""COMPUTED_VALUE"""),"EL PLUMERILLO")</f>
        <v>EL PLUMERILLO</v>
      </c>
      <c r="O1278" s="30" t="str">
        <f ca="1">IFERROR(__xludf.DUMMYFUNCTION("""COMPUTED_VALUE"""),"5049")</f>
        <v>5049</v>
      </c>
      <c r="P1278" s="30" t="str">
        <f ca="1">IFERROR(__xludf.DUMMYFUNCTION("""COMPUTED_VALUE"""),"LAS HERAS")</f>
        <v>LAS HERAS</v>
      </c>
      <c r="Q1278" s="30" t="str">
        <f ca="1">IFERROR(__xludf.DUMMYFUNCTION("""COMPUTED_VALUE"""),"-32.83803207")</f>
        <v>-32.83803207</v>
      </c>
      <c r="R1278" s="30" t="str">
        <f ca="1">IFERROR(__xludf.DUMMYFUNCTION("""COMPUTED_VALUE"""),"-68.80824745")</f>
        <v>-68.80824745</v>
      </c>
      <c r="S1278" s="30" t="str">
        <f ca="1">IFERROR(__xludf.DUMMYFUNCTION("""COMPUTED_VALUE"""),"Municipal")</f>
        <v>Municipal</v>
      </c>
      <c r="T1278" s="29"/>
    </row>
    <row r="1279" spans="1:20" ht="15.75" customHeight="1" x14ac:dyDescent="0.25">
      <c r="A1279" s="30" t="str">
        <f ca="1">IFERROR(__xludf.DUMMYFUNCTION("""COMPUTED_VALUE"""),"50500492257296")</f>
        <v>50500492257296</v>
      </c>
      <c r="B1279" s="30" t="str">
        <f ca="1">IFERROR(__xludf.DUMMYFUNCTION("""COMPUTED_VALUE"""),"CENTRO DE SALUD 355 LA RIOJITA.-")</f>
        <v>CENTRO DE SALUD 355 LA RIOJITA.-</v>
      </c>
      <c r="C1279" s="30" t="str">
        <f ca="1">IFERROR(__xludf.DUMMYFUNCTION("""COMPUTED_VALUE"""),"Mendoza")</f>
        <v>Mendoza</v>
      </c>
      <c r="D1279" s="30" t="str">
        <f ca="1">IFERROR(__xludf.DUMMYFUNCTION("""COMPUTED_VALUE"""),"50")</f>
        <v>50</v>
      </c>
      <c r="E1279" s="30" t="str">
        <f ca="1">IFERROR(__xludf.DUMMYFUNCTION("""COMPUTED_VALUE"""),"")</f>
        <v/>
      </c>
      <c r="F1279" s="29"/>
      <c r="G1279" s="29"/>
      <c r="H1279" s="30" t="str">
        <f ca="1">IFERROR(__xludf.DUMMYFUNCTION("""COMPUTED_VALUE"""),"activo")</f>
        <v>activo</v>
      </c>
      <c r="I1279" s="30" t="str">
        <f ca="1">IFERROR(__xludf.DUMMYFUNCTION("""COMPUTED_VALUE"""),"cuando se actualizó el auxiliar de REFES, este efector desapareció. Habria que ver con la provincia si sigue exisitiendo.")</f>
        <v>cuando se actualizó el auxiliar de REFES, este efector desapareció. Habria que ver con la provincia si sigue exisitiendo.</v>
      </c>
      <c r="J1279" s="29"/>
      <c r="K1279" s="29"/>
      <c r="L1279" s="30" t="str">
        <f ca="1">IFERROR(__xludf.DUMMYFUNCTION("""COMPUTED_VALUE"""),"No")</f>
        <v>No</v>
      </c>
      <c r="M1279" s="30" t="str">
        <f ca="1">IFERROR(__xludf.DUMMYFUNCTION("""COMPUTED_VALUE"""),"#N/A")</f>
        <v>#N/A</v>
      </c>
      <c r="N1279" s="30" t="str">
        <f ca="1">IFERROR(__xludf.DUMMYFUNCTION("""COMPUTED_VALUE"""),"#N/A")</f>
        <v>#N/A</v>
      </c>
      <c r="O1279" s="30" t="str">
        <f ca="1">IFERROR(__xludf.DUMMYFUNCTION("""COMPUTED_VALUE"""),"#N/A")</f>
        <v>#N/A</v>
      </c>
      <c r="P1279" s="30" t="str">
        <f ca="1">IFERROR(__xludf.DUMMYFUNCTION("""COMPUTED_VALUE"""),"#N/A")</f>
        <v>#N/A</v>
      </c>
      <c r="Q1279" s="30" t="str">
        <f ca="1">IFERROR(__xludf.DUMMYFUNCTION("""COMPUTED_VALUE"""),"#N/A")</f>
        <v>#N/A</v>
      </c>
      <c r="R1279" s="30" t="str">
        <f ca="1">IFERROR(__xludf.DUMMYFUNCTION("""COMPUTED_VALUE"""),"#N/A")</f>
        <v>#N/A</v>
      </c>
      <c r="S1279" s="30" t="str">
        <f ca="1">IFERROR(__xludf.DUMMYFUNCTION("""COMPUTED_VALUE"""),"#N/A")</f>
        <v>#N/A</v>
      </c>
      <c r="T1279" s="29"/>
    </row>
    <row r="1280" spans="1:20" ht="15.75" customHeight="1" x14ac:dyDescent="0.25">
      <c r="A1280" s="30" t="str">
        <f ca="1">IFERROR(__xludf.DUMMYFUNCTION("""COMPUTED_VALUE"""),"50500492257298")</f>
        <v>50500492257298</v>
      </c>
      <c r="B1280" s="30" t="str">
        <f ca="1">IFERROR(__xludf.DUMMYFUNCTION("""COMPUTED_VALUE"""),"C.A.P.S. 362 CENTRO DE SALUD MUNICIPAL ANTONIO HUESPE.-")</f>
        <v>C.A.P.S. 362 CENTRO DE SALUD MUNICIPAL ANTONIO HUESPE.-</v>
      </c>
      <c r="C1280" s="30" t="str">
        <f ca="1">IFERROR(__xludf.DUMMYFUNCTION("""COMPUTED_VALUE"""),"Mendoza")</f>
        <v>Mendoza</v>
      </c>
      <c r="D1280" s="30" t="str">
        <f ca="1">IFERROR(__xludf.DUMMYFUNCTION("""COMPUTED_VALUE"""),"50")</f>
        <v>50</v>
      </c>
      <c r="E1280" s="30" t="str">
        <f ca="1">IFERROR(__xludf.DUMMYFUNCTION("""COMPUTED_VALUE"""),"")</f>
        <v/>
      </c>
      <c r="F1280" s="29"/>
      <c r="G1280" s="29"/>
      <c r="H1280" s="30" t="str">
        <f ca="1">IFERROR(__xludf.DUMMYFUNCTION("""COMPUTED_VALUE"""),"activo")</f>
        <v>activo</v>
      </c>
      <c r="I1280" s="29"/>
      <c r="J1280" s="29"/>
      <c r="K1280" s="29"/>
      <c r="L1280" s="30" t="str">
        <f ca="1">IFERROR(__xludf.DUMMYFUNCTION("""COMPUTED_VALUE"""),"No")</f>
        <v>No</v>
      </c>
      <c r="M1280" s="30" t="str">
        <f ca="1">IFERROR(__xludf.DUMMYFUNCTION("""COMPUTED_VALUE"""),"50049050002")</f>
        <v>50049050002</v>
      </c>
      <c r="N1280" s="30" t="str">
        <f ca="1">IFERROR(__xludf.DUMMYFUNCTION("""COMPUTED_VALUE"""),"LAS HERAS")</f>
        <v>LAS HERAS</v>
      </c>
      <c r="O1280" s="30" t="str">
        <f ca="1">IFERROR(__xludf.DUMMYFUNCTION("""COMPUTED_VALUE"""),"5049")</f>
        <v>5049</v>
      </c>
      <c r="P1280" s="30" t="str">
        <f ca="1">IFERROR(__xludf.DUMMYFUNCTION("""COMPUTED_VALUE"""),"LAS HERAS")</f>
        <v>LAS HERAS</v>
      </c>
      <c r="Q1280" s="30" t="str">
        <f ca="1">IFERROR(__xludf.DUMMYFUNCTION("""COMPUTED_VALUE"""),"-32.8542163")</f>
        <v>-32.8542163</v>
      </c>
      <c r="R1280" s="30" t="str">
        <f ca="1">IFERROR(__xludf.DUMMYFUNCTION("""COMPUTED_VALUE"""),"-68.8384544")</f>
        <v>-68.8384544</v>
      </c>
      <c r="S1280" s="30" t="str">
        <f ca="1">IFERROR(__xludf.DUMMYFUNCTION("""COMPUTED_VALUE"""),"Municipal")</f>
        <v>Municipal</v>
      </c>
      <c r="T1280" s="29"/>
    </row>
    <row r="1281" spans="1:20" ht="15.75" customHeight="1" x14ac:dyDescent="0.25">
      <c r="A1281" s="30" t="str">
        <f ca="1">IFERROR(__xludf.DUMMYFUNCTION("""COMPUTED_VALUE"""),"50500772157089")</f>
        <v>50500772157089</v>
      </c>
      <c r="B1281" s="30" t="str">
        <f ca="1">IFERROR(__xludf.DUMMYFUNCTION("""COMPUTED_VALUE"""),"C.A.P.S. 129 BARRIO G. BASTIAS.-")</f>
        <v>C.A.P.S. 129 BARRIO G. BASTIAS.-</v>
      </c>
      <c r="C1281" s="30" t="str">
        <f ca="1">IFERROR(__xludf.DUMMYFUNCTION("""COMPUTED_VALUE"""),"Mendoza")</f>
        <v>Mendoza</v>
      </c>
      <c r="D1281" s="30" t="str">
        <f ca="1">IFERROR(__xludf.DUMMYFUNCTION("""COMPUTED_VALUE"""),"50")</f>
        <v>50</v>
      </c>
      <c r="E1281" s="30" t="str">
        <f ca="1">IFERROR(__xludf.DUMMYFUNCTION("""COMPUTED_VALUE"""),"si")</f>
        <v>si</v>
      </c>
      <c r="F1281" s="29"/>
      <c r="G1281" s="29"/>
      <c r="H1281" s="30" t="str">
        <f ca="1">IFERROR(__xludf.DUMMYFUNCTION("""COMPUTED_VALUE"""),"activo")</f>
        <v>activo</v>
      </c>
      <c r="I1281" s="29"/>
      <c r="J1281" s="29"/>
      <c r="K1281" s="29"/>
      <c r="L1281" s="30" t="str">
        <f ca="1">IFERROR(__xludf.DUMMYFUNCTION("""COMPUTED_VALUE"""),"No")</f>
        <v>No</v>
      </c>
      <c r="M1281" s="30" t="str">
        <f ca="1">IFERROR(__xludf.DUMMYFUNCTION("""COMPUTED_VALUE"""),"50077040000")</f>
        <v>50077040000</v>
      </c>
      <c r="N1281" s="30" t="str">
        <f ca="1">IFERROR(__xludf.DUMMYFUNCTION("""COMPUTED_VALUE"""),"MALARGUE")</f>
        <v>MALARGUE</v>
      </c>
      <c r="O1281" s="30" t="str">
        <f ca="1">IFERROR(__xludf.DUMMYFUNCTION("""COMPUTED_VALUE"""),"5077")</f>
        <v>5077</v>
      </c>
      <c r="P1281" s="30" t="str">
        <f ca="1">IFERROR(__xludf.DUMMYFUNCTION("""COMPUTED_VALUE"""),"MALARGÜE")</f>
        <v>MALARGÜE</v>
      </c>
      <c r="Q1281" s="30" t="str">
        <f ca="1">IFERROR(__xludf.DUMMYFUNCTION("""COMPUTED_VALUE"""),"-35.4824")</f>
        <v>-35.4824</v>
      </c>
      <c r="R1281" s="30" t="str">
        <f ca="1">IFERROR(__xludf.DUMMYFUNCTION("""COMPUTED_VALUE"""),"-69.590515")</f>
        <v>-69.590515</v>
      </c>
      <c r="S1281" s="30" t="str">
        <f ca="1">IFERROR(__xludf.DUMMYFUNCTION("""COMPUTED_VALUE"""),"Provincial")</f>
        <v>Provincial</v>
      </c>
      <c r="T1281" s="30" t="str">
        <f ca="1">IFERROR(__xludf.DUMMYFUNCTION("""COMPUTED_VALUE"""),"-")</f>
        <v>-</v>
      </c>
    </row>
    <row r="1282" spans="1:20" ht="15.75" customHeight="1" x14ac:dyDescent="0.25">
      <c r="A1282" s="30" t="str">
        <f ca="1">IFERROR(__xludf.DUMMYFUNCTION("""COMPUTED_VALUE"""),"50500632157215")</f>
        <v>50500632157215</v>
      </c>
      <c r="B1282" s="30" t="str">
        <f ca="1">IFERROR(__xludf.DUMMYFUNCTION("""COMPUTED_VALUE"""),"C.A.P.S. 218 LOS ALERCES.-")</f>
        <v>C.A.P.S. 218 LOS ALERCES.-</v>
      </c>
      <c r="C1282" s="30" t="str">
        <f ca="1">IFERROR(__xludf.DUMMYFUNCTION("""COMPUTED_VALUE"""),"Mendoza")</f>
        <v>Mendoza</v>
      </c>
      <c r="D1282" s="30" t="str">
        <f ca="1">IFERROR(__xludf.DUMMYFUNCTION("""COMPUTED_VALUE"""),"50")</f>
        <v>50</v>
      </c>
      <c r="E1282" s="30" t="str">
        <f ca="1">IFERROR(__xludf.DUMMYFUNCTION("""COMPUTED_VALUE"""),"")</f>
        <v/>
      </c>
      <c r="F1282" s="29"/>
      <c r="G1282" s="29"/>
      <c r="H1282" s="30" t="str">
        <f ca="1">IFERROR(__xludf.DUMMYFUNCTION("""COMPUTED_VALUE"""),"inactivo")</f>
        <v>inactivo</v>
      </c>
      <c r="I1282" s="30" t="str">
        <f ca="1">IFERROR(__xludf.DUMMYFUNCTION("""COMPUTED_VALUE""")," se da de baja segun nota que envia la provincai el 17 06 2021 (recibida en el area el 09/11/2021")</f>
        <v xml:space="preserve"> se da de baja segun nota que envia la provincai el 17 06 2021 (recibida en el area el 09/11/2021</v>
      </c>
      <c r="J1282" s="29"/>
      <c r="K1282" s="29"/>
      <c r="L1282" s="30" t="str">
        <f ca="1">IFERROR(__xludf.DUMMYFUNCTION("""COMPUTED_VALUE"""),"No")</f>
        <v>No</v>
      </c>
      <c r="M1282" s="30" t="str">
        <f ca="1">IFERROR(__xludf.DUMMYFUNCTION("""COMPUTED_VALUE"""),"50063090001")</f>
        <v>50063090001</v>
      </c>
      <c r="N1282" s="30" t="str">
        <f ca="1">IFERROR(__xludf.DUMMYFUNCTION("""COMPUTED_VALUE"""),"CARRODILLA")</f>
        <v>CARRODILLA</v>
      </c>
      <c r="O1282" s="30" t="str">
        <f ca="1">IFERROR(__xludf.DUMMYFUNCTION("""COMPUTED_VALUE"""),"5063")</f>
        <v>5063</v>
      </c>
      <c r="P1282" s="30" t="str">
        <f ca="1">IFERROR(__xludf.DUMMYFUNCTION("""COMPUTED_VALUE"""),"LUJÁN DE CUYO")</f>
        <v>LUJÁN DE CUYO</v>
      </c>
      <c r="Q1282" s="30" t="str">
        <f ca="1">IFERROR(__xludf.DUMMYFUNCTION("""COMPUTED_VALUE"""),"-32.9901203")</f>
        <v>-32.9901203</v>
      </c>
      <c r="R1282" s="30" t="str">
        <f ca="1">IFERROR(__xludf.DUMMYFUNCTION("""COMPUTED_VALUE"""),"-68.8447138")</f>
        <v>-68.8447138</v>
      </c>
      <c r="S1282" s="30" t="str">
        <f ca="1">IFERROR(__xludf.DUMMYFUNCTION("""COMPUTED_VALUE"""),"Provincial")</f>
        <v>Provincial</v>
      </c>
      <c r="T1282" s="30" t="str">
        <f ca="1">IFERROR(__xludf.DUMMYFUNCTION("""COMPUTED_VALUE"""),"-")</f>
        <v>-</v>
      </c>
    </row>
    <row r="1283" spans="1:20" ht="15.75" customHeight="1" x14ac:dyDescent="0.25">
      <c r="A1283" s="30" t="str">
        <f ca="1">IFERROR(__xludf.DUMMYFUNCTION("""COMPUTED_VALUE"""),"50500632157240")</f>
        <v>50500632157240</v>
      </c>
      <c r="B1283" s="30" t="str">
        <f ca="1">IFERROR(__xludf.DUMMYFUNCTION("""COMPUTED_VALUE"""),"C.A.P.S. 039 UGARTECHE.-")</f>
        <v>C.A.P.S. 039 UGARTECHE.-</v>
      </c>
      <c r="C1283" s="30" t="str">
        <f ca="1">IFERROR(__xludf.DUMMYFUNCTION("""COMPUTED_VALUE"""),"Mendoza")</f>
        <v>Mendoza</v>
      </c>
      <c r="D1283" s="30" t="str">
        <f ca="1">IFERROR(__xludf.DUMMYFUNCTION("""COMPUTED_VALUE"""),"50")</f>
        <v>50</v>
      </c>
      <c r="E1283" s="30" t="str">
        <f ca="1">IFERROR(__xludf.DUMMYFUNCTION("""COMPUTED_VALUE"""),"si")</f>
        <v>si</v>
      </c>
      <c r="F1283" s="29"/>
      <c r="G1283" s="29"/>
      <c r="H1283" s="30" t="str">
        <f ca="1">IFERROR(__xludf.DUMMYFUNCTION("""COMPUTED_VALUE"""),"activo")</f>
        <v>activo</v>
      </c>
      <c r="I1283" s="29"/>
      <c r="J1283" s="29"/>
      <c r="K1283" s="29"/>
      <c r="L1283" s="30" t="str">
        <f ca="1">IFERROR(__xludf.DUMMYFUNCTION("""COMPUTED_VALUE"""),"No")</f>
        <v>No</v>
      </c>
      <c r="M1283" s="30" t="str">
        <f ca="1">IFERROR(__xludf.DUMMYFUNCTION("""COMPUTED_VALUE"""),"50063120000")</f>
        <v>50063120000</v>
      </c>
      <c r="N1283" s="30" t="str">
        <f ca="1">IFERROR(__xludf.DUMMYFUNCTION("""COMPUTED_VALUE"""),"UGARTECHE")</f>
        <v>UGARTECHE</v>
      </c>
      <c r="O1283" s="30" t="str">
        <f ca="1">IFERROR(__xludf.DUMMYFUNCTION("""COMPUTED_VALUE"""),"5063")</f>
        <v>5063</v>
      </c>
      <c r="P1283" s="30" t="str">
        <f ca="1">IFERROR(__xludf.DUMMYFUNCTION("""COMPUTED_VALUE"""),"LUJÁN DE CUYO")</f>
        <v>LUJÁN DE CUYO</v>
      </c>
      <c r="Q1283" s="30" t="str">
        <f ca="1">IFERROR(__xludf.DUMMYFUNCTION("""COMPUTED_VALUE"""),"-33.20909228")</f>
        <v>-33.20909228</v>
      </c>
      <c r="R1283" s="30" t="str">
        <f ca="1">IFERROR(__xludf.DUMMYFUNCTION("""COMPUTED_VALUE"""),"-68.88363361")</f>
        <v>-68.88363361</v>
      </c>
      <c r="S1283" s="30" t="str">
        <f ca="1">IFERROR(__xludf.DUMMYFUNCTION("""COMPUTED_VALUE"""),"Provincial")</f>
        <v>Provincial</v>
      </c>
      <c r="T1283" s="30" t="str">
        <f ca="1">IFERROR(__xludf.DUMMYFUNCTION("""COMPUTED_VALUE"""),"-")</f>
        <v>-</v>
      </c>
    </row>
    <row r="1284" spans="1:20" ht="15.75" customHeight="1" x14ac:dyDescent="0.25">
      <c r="A1284" s="30" t="str">
        <f ca="1">IFERROR(__xludf.DUMMYFUNCTION("""COMPUTED_VALUE"""),"50500632157288")</f>
        <v>50500632157288</v>
      </c>
      <c r="B1284" s="30" t="str">
        <f ca="1">IFERROR(__xludf.DUMMYFUNCTION("""COMPUTED_VALUE"""),"C.A.P.S. 031 DAVID BUSANA.-")</f>
        <v>C.A.P.S. 031 DAVID BUSANA.-</v>
      </c>
      <c r="C1284" s="30" t="str">
        <f ca="1">IFERROR(__xludf.DUMMYFUNCTION("""COMPUTED_VALUE"""),"Mendoza")</f>
        <v>Mendoza</v>
      </c>
      <c r="D1284" s="30" t="str">
        <f ca="1">IFERROR(__xludf.DUMMYFUNCTION("""COMPUTED_VALUE"""),"50")</f>
        <v>50</v>
      </c>
      <c r="E1284" s="30" t="str">
        <f ca="1">IFERROR(__xludf.DUMMYFUNCTION("""COMPUTED_VALUE"""),"")</f>
        <v/>
      </c>
      <c r="F1284" s="29"/>
      <c r="G1284" s="29"/>
      <c r="H1284" s="30" t="str">
        <f ca="1">IFERROR(__xludf.DUMMYFUNCTION("""COMPUTED_VALUE"""),"activo")</f>
        <v>activo</v>
      </c>
      <c r="I1284" s="29"/>
      <c r="J1284" s="29"/>
      <c r="K1284" s="29"/>
      <c r="L1284" s="30" t="str">
        <f ca="1">IFERROR(__xludf.DUMMYFUNCTION("""COMPUTED_VALUE"""),"No")</f>
        <v>No</v>
      </c>
      <c r="M1284" s="30" t="str">
        <f ca="1">IFERROR(__xludf.DUMMYFUNCTION("""COMPUTED_VALUE"""),"50063090003")</f>
        <v>50063090003</v>
      </c>
      <c r="N1284" s="30" t="str">
        <f ca="1">IFERROR(__xludf.DUMMYFUNCTION("""COMPUTED_VALUE"""),"LUJAN DE CUYO")</f>
        <v>LUJAN DE CUYO</v>
      </c>
      <c r="O1284" s="30" t="str">
        <f ca="1">IFERROR(__xludf.DUMMYFUNCTION("""COMPUTED_VALUE"""),"5063")</f>
        <v>5063</v>
      </c>
      <c r="P1284" s="30" t="str">
        <f ca="1">IFERROR(__xludf.DUMMYFUNCTION("""COMPUTED_VALUE"""),"LUJÁN DE CUYO")</f>
        <v>LUJÁN DE CUYO</v>
      </c>
      <c r="Q1284" s="30" t="str">
        <f ca="1">IFERROR(__xludf.DUMMYFUNCTION("""COMPUTED_VALUE"""),"-33.038367")</f>
        <v>-33.038367</v>
      </c>
      <c r="R1284" s="30" t="str">
        <f ca="1">IFERROR(__xludf.DUMMYFUNCTION("""COMPUTED_VALUE"""),"-68.888074")</f>
        <v>-68.888074</v>
      </c>
      <c r="S1284" s="30" t="str">
        <f ca="1">IFERROR(__xludf.DUMMYFUNCTION("""COMPUTED_VALUE"""),"Provincial")</f>
        <v>Provincial</v>
      </c>
      <c r="T1284" s="30" t="str">
        <f ca="1">IFERROR(__xludf.DUMMYFUNCTION("""COMPUTED_VALUE"""),"-")</f>
        <v>-</v>
      </c>
    </row>
    <row r="1285" spans="1:20" ht="15.75" customHeight="1" x14ac:dyDescent="0.25">
      <c r="A1285" s="30" t="str">
        <f ca="1">IFERROR(__xludf.DUMMYFUNCTION("""COMPUTED_VALUE"""),"50500632157312")</f>
        <v>50500632157312</v>
      </c>
      <c r="B1285" s="30" t="str">
        <f ca="1">IFERROR(__xludf.DUMMYFUNCTION("""COMPUTED_VALUE"""),"C.A.P.S. 003 FLORENCIO P. CASALE.-")</f>
        <v>C.A.P.S. 003 FLORENCIO P. CASALE.-</v>
      </c>
      <c r="C1285" s="30" t="str">
        <f ca="1">IFERROR(__xludf.DUMMYFUNCTION("""COMPUTED_VALUE"""),"Mendoza")</f>
        <v>Mendoza</v>
      </c>
      <c r="D1285" s="30" t="str">
        <f ca="1">IFERROR(__xludf.DUMMYFUNCTION("""COMPUTED_VALUE"""),"50")</f>
        <v>50</v>
      </c>
      <c r="E1285" s="30" t="str">
        <f ca="1">IFERROR(__xludf.DUMMYFUNCTION("""COMPUTED_VALUE"""),"")</f>
        <v/>
      </c>
      <c r="F1285" s="29"/>
      <c r="G1285" s="29"/>
      <c r="H1285" s="30" t="str">
        <f ca="1">IFERROR(__xludf.DUMMYFUNCTION("""COMPUTED_VALUE"""),"inactivo")</f>
        <v>inactivo</v>
      </c>
      <c r="I1285" s="29"/>
      <c r="J1285" s="29"/>
      <c r="K1285" s="29"/>
      <c r="L1285" s="30" t="str">
        <f ca="1">IFERROR(__xludf.DUMMYFUNCTION("""COMPUTED_VALUE"""),"No")</f>
        <v>No</v>
      </c>
      <c r="M1285" s="30" t="str">
        <f ca="1">IFERROR(__xludf.DUMMYFUNCTION("""COMPUTED_VALUE"""),"50063090001")</f>
        <v>50063090001</v>
      </c>
      <c r="N1285" s="30" t="str">
        <f ca="1">IFERROR(__xludf.DUMMYFUNCTION("""COMPUTED_VALUE"""),"CARRODILLA")</f>
        <v>CARRODILLA</v>
      </c>
      <c r="O1285" s="30" t="str">
        <f ca="1">IFERROR(__xludf.DUMMYFUNCTION("""COMPUTED_VALUE"""),"5063")</f>
        <v>5063</v>
      </c>
      <c r="P1285" s="30" t="str">
        <f ca="1">IFERROR(__xludf.DUMMYFUNCTION("""COMPUTED_VALUE"""),"LUJÁN DE CUYO")</f>
        <v>LUJÁN DE CUYO</v>
      </c>
      <c r="Q1285" s="30" t="str">
        <f ca="1">IFERROR(__xludf.DUMMYFUNCTION("""COMPUTED_VALUE"""),"-32.968629")</f>
        <v>-32.968629</v>
      </c>
      <c r="R1285" s="30" t="str">
        <f ca="1">IFERROR(__xludf.DUMMYFUNCTION("""COMPUTED_VALUE"""),"-68.847224")</f>
        <v>-68.847224</v>
      </c>
      <c r="S1285" s="30" t="str">
        <f ca="1">IFERROR(__xludf.DUMMYFUNCTION("""COMPUTED_VALUE"""),"Provincial")</f>
        <v>Provincial</v>
      </c>
      <c r="T1285" s="30" t="str">
        <f ca="1">IFERROR(__xludf.DUMMYFUNCTION("""COMPUTED_VALUE"""),"-")</f>
        <v>-</v>
      </c>
    </row>
    <row r="1286" spans="1:20" ht="15.75" customHeight="1" x14ac:dyDescent="0.25">
      <c r="A1286" s="30" t="str">
        <f ca="1">IFERROR(__xludf.DUMMYFUNCTION("""COMPUTED_VALUE"""),"50500702157100")</f>
        <v>50500702157100</v>
      </c>
      <c r="B1286" s="30" t="str">
        <f ca="1">IFERROR(__xludf.DUMMYFUNCTION("""COMPUTED_VALUE"""),"C.A.P.S. 199 BARRIO ANTARTIDA ARGENTINA.-")</f>
        <v>C.A.P.S. 199 BARRIO ANTARTIDA ARGENTINA.-</v>
      </c>
      <c r="C1286" s="30" t="str">
        <f ca="1">IFERROR(__xludf.DUMMYFUNCTION("""COMPUTED_VALUE"""),"Mendoza")</f>
        <v>Mendoza</v>
      </c>
      <c r="D1286" s="30" t="str">
        <f ca="1">IFERROR(__xludf.DUMMYFUNCTION("""COMPUTED_VALUE"""),"50")</f>
        <v>50</v>
      </c>
      <c r="E1286" s="30" t="str">
        <f ca="1">IFERROR(__xludf.DUMMYFUNCTION("""COMPUTED_VALUE"""),"")</f>
        <v/>
      </c>
      <c r="F1286" s="29"/>
      <c r="G1286" s="29"/>
      <c r="H1286" s="30" t="str">
        <f ca="1">IFERROR(__xludf.DUMMYFUNCTION("""COMPUTED_VALUE"""),"activo")</f>
        <v>activo</v>
      </c>
      <c r="I1286" s="29"/>
      <c r="J1286" s="29"/>
      <c r="K1286" s="29"/>
      <c r="L1286" s="30" t="str">
        <f ca="1">IFERROR(__xludf.DUMMYFUNCTION("""COMPUTED_VALUE"""),"No")</f>
        <v>No</v>
      </c>
      <c r="M1286" s="30" t="str">
        <f ca="1">IFERROR(__xludf.DUMMYFUNCTION("""COMPUTED_VALUE"""),"50070060003")</f>
        <v>50070060003</v>
      </c>
      <c r="N1286" s="30" t="str">
        <f ca="1">IFERROR(__xludf.DUMMYFUNCTION("""COMPUTED_VALUE"""),"LUZURIAGA")</f>
        <v>LUZURIAGA</v>
      </c>
      <c r="O1286" s="30" t="str">
        <f ca="1">IFERROR(__xludf.DUMMYFUNCTION("""COMPUTED_VALUE"""),"5070")</f>
        <v>5070</v>
      </c>
      <c r="P1286" s="30" t="str">
        <f ca="1">IFERROR(__xludf.DUMMYFUNCTION("""COMPUTED_VALUE"""),"MAIPÚ")</f>
        <v>MAIPÚ</v>
      </c>
      <c r="Q1286" s="30" t="str">
        <f ca="1">IFERROR(__xludf.DUMMYFUNCTION("""COMPUTED_VALUE"""),"-32.94553544")</f>
        <v>-32.94553544</v>
      </c>
      <c r="R1286" s="30" t="str">
        <f ca="1">IFERROR(__xludf.DUMMYFUNCTION("""COMPUTED_VALUE"""),"-68.83483887")</f>
        <v>-68.83483887</v>
      </c>
      <c r="S1286" s="30" t="str">
        <f ca="1">IFERROR(__xludf.DUMMYFUNCTION("""COMPUTED_VALUE"""),"Provincial")</f>
        <v>Provincial</v>
      </c>
      <c r="T1286" s="30" t="str">
        <f ca="1">IFERROR(__xludf.DUMMYFUNCTION("""COMPUTED_VALUE"""),"-")</f>
        <v>-</v>
      </c>
    </row>
    <row r="1287" spans="1:20" ht="15.75" customHeight="1" x14ac:dyDescent="0.25">
      <c r="A1287" s="30" t="str">
        <f ca="1">IFERROR(__xludf.DUMMYFUNCTION("""COMPUTED_VALUE"""),"50500702157165")</f>
        <v>50500702157165</v>
      </c>
      <c r="B1287" s="30" t="str">
        <f ca="1">IFERROR(__xludf.DUMMYFUNCTION("""COMPUTED_VALUE"""),"C.A.P.S. 056 RODEO DEL MEDIO.-")</f>
        <v>C.A.P.S. 056 RODEO DEL MEDIO.-</v>
      </c>
      <c r="C1287" s="30" t="str">
        <f ca="1">IFERROR(__xludf.DUMMYFUNCTION("""COMPUTED_VALUE"""),"Mendoza")</f>
        <v>Mendoza</v>
      </c>
      <c r="D1287" s="30" t="str">
        <f ca="1">IFERROR(__xludf.DUMMYFUNCTION("""COMPUTED_VALUE"""),"50")</f>
        <v>50</v>
      </c>
      <c r="E1287" s="30" t="str">
        <f ca="1">IFERROR(__xludf.DUMMYFUNCTION("""COMPUTED_VALUE"""),"")</f>
        <v/>
      </c>
      <c r="F1287" s="29"/>
      <c r="G1287" s="29"/>
      <c r="H1287" s="30" t="str">
        <f ca="1">IFERROR(__xludf.DUMMYFUNCTION("""COMPUTED_VALUE"""),"inactivo")</f>
        <v>inactivo</v>
      </c>
      <c r="I1287" s="30" t="str">
        <f ca="1">IFERROR(__xludf.DUMMYFUNCTION("""COMPUTED_VALUE"""),"Se dio de baja en el CAI 2021, por pedido de la provincia con nota enviada el 15/3/2021")</f>
        <v>Se dio de baja en el CAI 2021, por pedido de la provincia con nota enviada el 15/3/2021</v>
      </c>
      <c r="J1287" s="29"/>
      <c r="K1287" s="29"/>
      <c r="L1287" s="30" t="str">
        <f ca="1">IFERROR(__xludf.DUMMYFUNCTION("""COMPUTED_VALUE"""),"No")</f>
        <v>No</v>
      </c>
      <c r="M1287" s="30" t="str">
        <f ca="1">IFERROR(__xludf.DUMMYFUNCTION("""COMPUTED_VALUE"""),"50070070000")</f>
        <v>50070070000</v>
      </c>
      <c r="N1287" s="30" t="str">
        <f ca="1">IFERROR(__xludf.DUMMYFUNCTION("""COMPUTED_VALUE"""),"RODEO DEL MEDIO")</f>
        <v>RODEO DEL MEDIO</v>
      </c>
      <c r="O1287" s="30" t="str">
        <f ca="1">IFERROR(__xludf.DUMMYFUNCTION("""COMPUTED_VALUE"""),"5070")</f>
        <v>5070</v>
      </c>
      <c r="P1287" s="30" t="str">
        <f ca="1">IFERROR(__xludf.DUMMYFUNCTION("""COMPUTED_VALUE"""),"MAIPÚ")</f>
        <v>MAIPÚ</v>
      </c>
      <c r="Q1287" s="30" t="str">
        <f ca="1">IFERROR(__xludf.DUMMYFUNCTION("""COMPUTED_VALUE"""),"-32.99211842")</f>
        <v>-32.99211842</v>
      </c>
      <c r="R1287" s="30" t="str">
        <f ca="1">IFERROR(__xludf.DUMMYFUNCTION("""COMPUTED_VALUE"""),"-68.6848712")</f>
        <v>-68.6848712</v>
      </c>
      <c r="S1287" s="30" t="str">
        <f ca="1">IFERROR(__xludf.DUMMYFUNCTION("""COMPUTED_VALUE"""),"Provincial")</f>
        <v>Provincial</v>
      </c>
      <c r="T1287" s="30" t="str">
        <f ca="1">IFERROR(__xludf.DUMMYFUNCTION("""COMPUTED_VALUE"""),"-")</f>
        <v>-</v>
      </c>
    </row>
    <row r="1288" spans="1:20" ht="15.75" customHeight="1" x14ac:dyDescent="0.25">
      <c r="A1288" s="30" t="str">
        <f ca="1">IFERROR(__xludf.DUMMYFUNCTION("""COMPUTED_VALUE"""),"50500702157166")</f>
        <v>50500702157166</v>
      </c>
      <c r="B1288" s="30" t="str">
        <f ca="1">IFERROR(__xludf.DUMMYFUNCTION("""COMPUTED_VALUE"""),"C.A.P.S. 057 SAN ROQUE.-")</f>
        <v>C.A.P.S. 057 SAN ROQUE.-</v>
      </c>
      <c r="C1288" s="30" t="str">
        <f ca="1">IFERROR(__xludf.DUMMYFUNCTION("""COMPUTED_VALUE"""),"Mendoza")</f>
        <v>Mendoza</v>
      </c>
      <c r="D1288" s="30" t="str">
        <f ca="1">IFERROR(__xludf.DUMMYFUNCTION("""COMPUTED_VALUE"""),"50")</f>
        <v>50</v>
      </c>
      <c r="E1288" s="30" t="str">
        <f ca="1">IFERROR(__xludf.DUMMYFUNCTION("""COMPUTED_VALUE"""),"")</f>
        <v/>
      </c>
      <c r="F1288" s="29"/>
      <c r="G1288" s="29"/>
      <c r="H1288" s="30" t="str">
        <f ca="1">IFERROR(__xludf.DUMMYFUNCTION("""COMPUTED_VALUE"""),"activo")</f>
        <v>activo</v>
      </c>
      <c r="I1288" s="29"/>
      <c r="J1288" s="29"/>
      <c r="K1288" s="29"/>
      <c r="L1288" s="30" t="str">
        <f ca="1">IFERROR(__xludf.DUMMYFUNCTION("""COMPUTED_VALUE"""),"No")</f>
        <v>No</v>
      </c>
      <c r="M1288" s="30" t="str">
        <f ca="1">IFERROR(__xludf.DUMMYFUNCTION("""COMPUTED_VALUE"""),"50070090000")</f>
        <v>50070090000</v>
      </c>
      <c r="N1288" s="30" t="str">
        <f ca="1">IFERROR(__xludf.DUMMYFUNCTION("""COMPUTED_VALUE"""),"SAN ROQUE")</f>
        <v>SAN ROQUE</v>
      </c>
      <c r="O1288" s="30" t="str">
        <f ca="1">IFERROR(__xludf.DUMMYFUNCTION("""COMPUTED_VALUE"""),"5070")</f>
        <v>5070</v>
      </c>
      <c r="P1288" s="30" t="str">
        <f ca="1">IFERROR(__xludf.DUMMYFUNCTION("""COMPUTED_VALUE"""),"MAIPÚ")</f>
        <v>MAIPÚ</v>
      </c>
      <c r="Q1288" s="30" t="str">
        <f ca="1">IFERROR(__xludf.DUMMYFUNCTION("""COMPUTED_VALUE"""),"-32.9030529")</f>
        <v>-32.9030529</v>
      </c>
      <c r="R1288" s="30" t="str">
        <f ca="1">IFERROR(__xludf.DUMMYFUNCTION("""COMPUTED_VALUE"""),"-68.8322723")</f>
        <v>-68.8322723</v>
      </c>
      <c r="S1288" s="30" t="str">
        <f ca="1">IFERROR(__xludf.DUMMYFUNCTION("""COMPUTED_VALUE"""),"Provincial")</f>
        <v>Provincial</v>
      </c>
      <c r="T1288" s="30" t="str">
        <f ca="1">IFERROR(__xludf.DUMMYFUNCTION("""COMPUTED_VALUE"""),"-")</f>
        <v>-</v>
      </c>
    </row>
    <row r="1289" spans="1:20" ht="15.75" customHeight="1" x14ac:dyDescent="0.25">
      <c r="A1289" s="30" t="str">
        <f ca="1">IFERROR(__xludf.DUMMYFUNCTION("""COMPUTED_VALUE"""),"50500702157169")</f>
        <v>50500702157169</v>
      </c>
      <c r="B1289" s="30" t="str">
        <f ca="1">IFERROR(__xludf.DUMMYFUNCTION("""COMPUTED_VALUE"""),"C.A.P.S. 060 GENERAL GUTIERREZ.-")</f>
        <v>C.A.P.S. 060 GENERAL GUTIERREZ.-</v>
      </c>
      <c r="C1289" s="30" t="str">
        <f ca="1">IFERROR(__xludf.DUMMYFUNCTION("""COMPUTED_VALUE"""),"Mendoza")</f>
        <v>Mendoza</v>
      </c>
      <c r="D1289" s="30" t="str">
        <f ca="1">IFERROR(__xludf.DUMMYFUNCTION("""COMPUTED_VALUE"""),"50")</f>
        <v>50</v>
      </c>
      <c r="E1289" s="30" t="str">
        <f ca="1">IFERROR(__xludf.DUMMYFUNCTION("""COMPUTED_VALUE"""),"")</f>
        <v/>
      </c>
      <c r="F1289" s="29"/>
      <c r="G1289" s="29"/>
      <c r="H1289" s="30" t="str">
        <f ca="1">IFERROR(__xludf.DUMMYFUNCTION("""COMPUTED_VALUE"""),"inactivo")</f>
        <v>inactivo</v>
      </c>
      <c r="I1289" s="29"/>
      <c r="J1289" s="29"/>
      <c r="K1289" s="29"/>
      <c r="L1289" s="30" t="str">
        <f ca="1">IFERROR(__xludf.DUMMYFUNCTION("""COMPUTED_VALUE"""),"No")</f>
        <v>No</v>
      </c>
      <c r="M1289" s="30" t="str">
        <f ca="1">IFERROR(__xludf.DUMMYFUNCTION("""COMPUTED_VALUE"""),"50070060002")</f>
        <v>50070060002</v>
      </c>
      <c r="N1289" s="30" t="str">
        <f ca="1">IFERROR(__xludf.DUMMYFUNCTION("""COMPUTED_VALUE"""),"GENERAL GUTIERREZ")</f>
        <v>GENERAL GUTIERREZ</v>
      </c>
      <c r="O1289" s="30" t="str">
        <f ca="1">IFERROR(__xludf.DUMMYFUNCTION("""COMPUTED_VALUE"""),"5070")</f>
        <v>5070</v>
      </c>
      <c r="P1289" s="30" t="str">
        <f ca="1">IFERROR(__xludf.DUMMYFUNCTION("""COMPUTED_VALUE"""),"MAIPÚ")</f>
        <v>MAIPÚ</v>
      </c>
      <c r="Q1289" s="30" t="str">
        <f ca="1">IFERROR(__xludf.DUMMYFUNCTION("""COMPUTED_VALUE"""),"-32.984373")</f>
        <v>-32.984373</v>
      </c>
      <c r="R1289" s="30" t="str">
        <f ca="1">IFERROR(__xludf.DUMMYFUNCTION("""COMPUTED_VALUE"""),"-68.798023")</f>
        <v>-68.798023</v>
      </c>
      <c r="S1289" s="30" t="str">
        <f ca="1">IFERROR(__xludf.DUMMYFUNCTION("""COMPUTED_VALUE"""),"Provincial")</f>
        <v>Provincial</v>
      </c>
      <c r="T1289" s="30" t="str">
        <f ca="1">IFERROR(__xludf.DUMMYFUNCTION("""COMPUTED_VALUE"""),"-")</f>
        <v>-</v>
      </c>
    </row>
    <row r="1290" spans="1:20" ht="15.75" customHeight="1" x14ac:dyDescent="0.25">
      <c r="A1290" s="30" t="str">
        <f ca="1">IFERROR(__xludf.DUMMYFUNCTION("""COMPUTED_VALUE"""),"50500702157196")</f>
        <v>50500702157196</v>
      </c>
      <c r="B1290" s="30" t="str">
        <f ca="1">IFERROR(__xludf.DUMMYFUNCTION("""COMPUTED_VALUE"""),"C.A.P.S. 151 BARRIO TROPERO SOSA.-")</f>
        <v>C.A.P.S. 151 BARRIO TROPERO SOSA.-</v>
      </c>
      <c r="C1290" s="30" t="str">
        <f ca="1">IFERROR(__xludf.DUMMYFUNCTION("""COMPUTED_VALUE"""),"Mendoza")</f>
        <v>Mendoza</v>
      </c>
      <c r="D1290" s="30" t="str">
        <f ca="1">IFERROR(__xludf.DUMMYFUNCTION("""COMPUTED_VALUE"""),"50")</f>
        <v>50</v>
      </c>
      <c r="E1290" s="30" t="str">
        <f ca="1">IFERROR(__xludf.DUMMYFUNCTION("""COMPUTED_VALUE"""),"")</f>
        <v/>
      </c>
      <c r="F1290" s="29"/>
      <c r="G1290" s="29"/>
      <c r="H1290" s="30" t="str">
        <f ca="1">IFERROR(__xludf.DUMMYFUNCTION("""COMPUTED_VALUE"""),"activo")</f>
        <v>activo</v>
      </c>
      <c r="I1290" s="29"/>
      <c r="J1290" s="29"/>
      <c r="K1290" s="29"/>
      <c r="L1290" s="30" t="str">
        <f ca="1">IFERROR(__xludf.DUMMYFUNCTION("""COMPUTED_VALUE"""),"No")</f>
        <v>No</v>
      </c>
      <c r="M1290" s="30" t="str">
        <f ca="1">IFERROR(__xludf.DUMMYFUNCTION("""COMPUTED_VALUE"""),"50070060001")</f>
        <v>50070060001</v>
      </c>
      <c r="N1290" s="30" t="str">
        <f ca="1">IFERROR(__xludf.DUMMYFUNCTION("""COMPUTED_VALUE"""),"COQUIMBITO")</f>
        <v>COQUIMBITO</v>
      </c>
      <c r="O1290" s="30" t="str">
        <f ca="1">IFERROR(__xludf.DUMMYFUNCTION("""COMPUTED_VALUE"""),"5070")</f>
        <v>5070</v>
      </c>
      <c r="P1290" s="30" t="str">
        <f ca="1">IFERROR(__xludf.DUMMYFUNCTION("""COMPUTED_VALUE"""),"MAIPÚ")</f>
        <v>MAIPÚ</v>
      </c>
      <c r="Q1290" s="30" t="str">
        <f ca="1">IFERROR(__xludf.DUMMYFUNCTION("""COMPUTED_VALUE"""),"-32.99208985")</f>
        <v>-32.99208985</v>
      </c>
      <c r="R1290" s="30" t="str">
        <f ca="1">IFERROR(__xludf.DUMMYFUNCTION("""COMPUTED_VALUE"""),"-68.76475811")</f>
        <v>-68.76475811</v>
      </c>
      <c r="S1290" s="30" t="str">
        <f ca="1">IFERROR(__xludf.DUMMYFUNCTION("""COMPUTED_VALUE"""),"Provincial")</f>
        <v>Provincial</v>
      </c>
      <c r="T1290" s="30" t="str">
        <f ca="1">IFERROR(__xludf.DUMMYFUNCTION("""COMPUTED_VALUE"""),"-")</f>
        <v>-</v>
      </c>
    </row>
    <row r="1291" spans="1:20" ht="15.75" customHeight="1" x14ac:dyDescent="0.25">
      <c r="A1291" s="30" t="str">
        <f ca="1">IFERROR(__xludf.DUMMYFUNCTION("""COMPUTED_VALUE"""),"50500702157199")</f>
        <v>50500702157199</v>
      </c>
      <c r="B1291" s="30" t="str">
        <f ca="1">IFERROR(__xludf.DUMMYFUNCTION("""COMPUTED_VALUE"""),"C.I.C. 907 BARRIO 25 DE MAYO.-")</f>
        <v>C.I.C. 907 BARRIO 25 DE MAYO.-</v>
      </c>
      <c r="C1291" s="30" t="str">
        <f ca="1">IFERROR(__xludf.DUMMYFUNCTION("""COMPUTED_VALUE"""),"Mendoza")</f>
        <v>Mendoza</v>
      </c>
      <c r="D1291" s="30" t="str">
        <f ca="1">IFERROR(__xludf.DUMMYFUNCTION("""COMPUTED_VALUE"""),"50")</f>
        <v>50</v>
      </c>
      <c r="E1291" s="30" t="str">
        <f ca="1">IFERROR(__xludf.DUMMYFUNCTION("""COMPUTED_VALUE"""),"")</f>
        <v/>
      </c>
      <c r="F1291" s="29"/>
      <c r="G1291" s="29"/>
      <c r="H1291" s="30" t="str">
        <f ca="1">IFERROR(__xludf.DUMMYFUNCTION("""COMPUTED_VALUE"""),"activo")</f>
        <v>activo</v>
      </c>
      <c r="I1291" s="29"/>
      <c r="J1291" s="29"/>
      <c r="K1291" s="29"/>
      <c r="L1291" s="30" t="str">
        <f ca="1">IFERROR(__xludf.DUMMYFUNCTION("""COMPUTED_VALUE"""),"No")</f>
        <v>No</v>
      </c>
      <c r="M1291" s="30" t="str">
        <f ca="1">IFERROR(__xludf.DUMMYFUNCTION("""COMPUTED_VALUE"""),"50070070000")</f>
        <v>50070070000</v>
      </c>
      <c r="N1291" s="30" t="str">
        <f ca="1">IFERROR(__xludf.DUMMYFUNCTION("""COMPUTED_VALUE"""),"RODEO DEL MEDIO")</f>
        <v>RODEO DEL MEDIO</v>
      </c>
      <c r="O1291" s="30" t="str">
        <f ca="1">IFERROR(__xludf.DUMMYFUNCTION("""COMPUTED_VALUE"""),"5070")</f>
        <v>5070</v>
      </c>
      <c r="P1291" s="30" t="str">
        <f ca="1">IFERROR(__xludf.DUMMYFUNCTION("""COMPUTED_VALUE"""),"MAIPÚ")</f>
        <v>MAIPÚ</v>
      </c>
      <c r="Q1291" s="30" t="str">
        <f ca="1">IFERROR(__xludf.DUMMYFUNCTION("""COMPUTED_VALUE"""),"-32.995372")</f>
        <v>-32.995372</v>
      </c>
      <c r="R1291" s="30" t="str">
        <f ca="1">IFERROR(__xludf.DUMMYFUNCTION("""COMPUTED_VALUE"""),"-68.6851")</f>
        <v>-68.6851</v>
      </c>
      <c r="S1291" s="30" t="str">
        <f ca="1">IFERROR(__xludf.DUMMYFUNCTION("""COMPUTED_VALUE"""),"Provincial")</f>
        <v>Provincial</v>
      </c>
      <c r="T1291" s="30" t="str">
        <f ca="1">IFERROR(__xludf.DUMMYFUNCTION("""COMPUTED_VALUE"""),"-")</f>
        <v>-</v>
      </c>
    </row>
    <row r="1292" spans="1:20" ht="15.75" customHeight="1" x14ac:dyDescent="0.25">
      <c r="A1292" s="30" t="str">
        <f ca="1">IFERROR(__xludf.DUMMYFUNCTION("""COMPUTED_VALUE"""),"50500702157217")</f>
        <v>50500702157217</v>
      </c>
      <c r="B1292" s="30" t="str">
        <f ca="1">IFERROR(__xludf.DUMMYFUNCTION("""COMPUTED_VALUE"""),"C.A.P.S. 237 JOSE PILO REPETTO.-")</f>
        <v>C.A.P.S. 237 JOSE PILO REPETTO.-</v>
      </c>
      <c r="C1292" s="30" t="str">
        <f ca="1">IFERROR(__xludf.DUMMYFUNCTION("""COMPUTED_VALUE"""),"Mendoza")</f>
        <v>Mendoza</v>
      </c>
      <c r="D1292" s="30" t="str">
        <f ca="1">IFERROR(__xludf.DUMMYFUNCTION("""COMPUTED_VALUE"""),"50")</f>
        <v>50</v>
      </c>
      <c r="E1292" s="30" t="str">
        <f ca="1">IFERROR(__xludf.DUMMYFUNCTION("""COMPUTED_VALUE"""),"")</f>
        <v/>
      </c>
      <c r="F1292" s="29"/>
      <c r="G1292" s="29"/>
      <c r="H1292" s="30" t="str">
        <f ca="1">IFERROR(__xludf.DUMMYFUNCTION("""COMPUTED_VALUE"""),"inactivo")</f>
        <v>inactivo</v>
      </c>
      <c r="I1292" s="30" t="str">
        <f ca="1">IFERROR(__xludf.DUMMYFUNCTION("""COMPUTED_VALUE"""),"Se dio de baja en el CAI 2021, por pedido de la provincia con nota enviada el 15/3/2021")</f>
        <v>Se dio de baja en el CAI 2021, por pedido de la provincia con nota enviada el 15/3/2021</v>
      </c>
      <c r="J1292" s="29"/>
      <c r="K1292" s="29"/>
      <c r="L1292" s="30" t="str">
        <f ca="1">IFERROR(__xludf.DUMMYFUNCTION("""COMPUTED_VALUE"""),"No")</f>
        <v>No</v>
      </c>
      <c r="M1292" s="30" t="str">
        <f ca="1">IFERROR(__xludf.DUMMYFUNCTION("""COMPUTED_VALUE"""),"50070060004")</f>
        <v>50070060004</v>
      </c>
      <c r="N1292" s="30" t="str">
        <f ca="1">IFERROR(__xludf.DUMMYFUNCTION("""COMPUTED_VALUE"""),"MAIPU")</f>
        <v>MAIPU</v>
      </c>
      <c r="O1292" s="30" t="str">
        <f ca="1">IFERROR(__xludf.DUMMYFUNCTION("""COMPUTED_VALUE"""),"5070")</f>
        <v>5070</v>
      </c>
      <c r="P1292" s="30" t="str">
        <f ca="1">IFERROR(__xludf.DUMMYFUNCTION("""COMPUTED_VALUE"""),"MAIPÚ")</f>
        <v>MAIPÚ</v>
      </c>
      <c r="Q1292" s="30" t="str">
        <f ca="1">IFERROR(__xludf.DUMMYFUNCTION("""COMPUTED_VALUE"""),"-32.9820032")</f>
        <v>-32.9820032</v>
      </c>
      <c r="R1292" s="30" t="str">
        <f ca="1">IFERROR(__xludf.DUMMYFUNCTION("""COMPUTED_VALUE"""),"-68.7844462")</f>
        <v>-68.7844462</v>
      </c>
      <c r="S1292" s="30" t="str">
        <f ca="1">IFERROR(__xludf.DUMMYFUNCTION("""COMPUTED_VALUE"""),"Provincial")</f>
        <v>Provincial</v>
      </c>
      <c r="T1292" s="30" t="str">
        <f ca="1">IFERROR(__xludf.DUMMYFUNCTION("""COMPUTED_VALUE"""),"-")</f>
        <v>-</v>
      </c>
    </row>
    <row r="1293" spans="1:20" ht="15.75" customHeight="1" x14ac:dyDescent="0.25">
      <c r="A1293" s="30" t="str">
        <f ca="1">IFERROR(__xludf.DUMMYFUNCTION("""COMPUTED_VALUE"""),"50500702157376")</f>
        <v>50500702157376</v>
      </c>
      <c r="B1293" s="30" t="str">
        <f ca="1">IFERROR(__xludf.DUMMYFUNCTION("""COMPUTED_VALUE"""),"HOSPITAL ALFREDO METRAUX.-")</f>
        <v>HOSPITAL ALFREDO METRAUX.-</v>
      </c>
      <c r="C1293" s="30" t="str">
        <f ca="1">IFERROR(__xludf.DUMMYFUNCTION("""COMPUTED_VALUE"""),"Mendoza")</f>
        <v>Mendoza</v>
      </c>
      <c r="D1293" s="30" t="str">
        <f ca="1">IFERROR(__xludf.DUMMYFUNCTION("""COMPUTED_VALUE"""),"50")</f>
        <v>50</v>
      </c>
      <c r="E1293" s="30" t="str">
        <f ca="1">IFERROR(__xludf.DUMMYFUNCTION("""COMPUTED_VALUE"""),"")</f>
        <v/>
      </c>
      <c r="F1293" s="29"/>
      <c r="G1293" s="29"/>
      <c r="H1293" s="30" t="str">
        <f ca="1">IFERROR(__xludf.DUMMYFUNCTION("""COMPUTED_VALUE"""),"activo")</f>
        <v>activo</v>
      </c>
      <c r="I1293" s="29"/>
      <c r="J1293" s="29"/>
      <c r="K1293" s="29"/>
      <c r="L1293" s="30" t="str">
        <f ca="1">IFERROR(__xludf.DUMMYFUNCTION("""COMPUTED_VALUE"""),"No")</f>
        <v>No</v>
      </c>
      <c r="M1293" s="30" t="str">
        <f ca="1">IFERROR(__xludf.DUMMYFUNCTION("""COMPUTED_VALUE"""),"50070050000")</f>
        <v>50070050000</v>
      </c>
      <c r="N1293" s="30" t="str">
        <f ca="1">IFERROR(__xludf.DUMMYFUNCTION("""COMPUTED_VALUE"""),"FRAY LUIS BELTRAN")</f>
        <v>FRAY LUIS BELTRAN</v>
      </c>
      <c r="O1293" s="30" t="str">
        <f ca="1">IFERROR(__xludf.DUMMYFUNCTION("""COMPUTED_VALUE"""),"5070")</f>
        <v>5070</v>
      </c>
      <c r="P1293" s="30" t="str">
        <f ca="1">IFERROR(__xludf.DUMMYFUNCTION("""COMPUTED_VALUE"""),"MAIPÚ")</f>
        <v>MAIPÚ</v>
      </c>
      <c r="Q1293" s="30" t="str">
        <f ca="1">IFERROR(__xludf.DUMMYFUNCTION("""COMPUTED_VALUE"""),"-33.00212238")</f>
        <v>-33.00212238</v>
      </c>
      <c r="R1293" s="30" t="str">
        <f ca="1">IFERROR(__xludf.DUMMYFUNCTION("""COMPUTED_VALUE"""),"-68.64486337")</f>
        <v>-68.64486337</v>
      </c>
      <c r="S1293" s="30" t="str">
        <f ca="1">IFERROR(__xludf.DUMMYFUNCTION("""COMPUTED_VALUE"""),"Provincial")</f>
        <v>Provincial</v>
      </c>
      <c r="T1293" s="30" t="str">
        <f ca="1">IFERROR(__xludf.DUMMYFUNCTION("""COMPUTED_VALUE"""),"-")</f>
        <v>-</v>
      </c>
    </row>
    <row r="1294" spans="1:20" ht="15.75" customHeight="1" x14ac:dyDescent="0.25">
      <c r="A1294" s="30" t="str">
        <f ca="1">IFERROR(__xludf.DUMMYFUNCTION("""COMPUTED_VALUE"""),"50500702258620")</f>
        <v>50500702258620</v>
      </c>
      <c r="B1294" s="30" t="str">
        <f ca="1">IFERROR(__xludf.DUMMYFUNCTION("""COMPUTED_VALUE"""),"CENTRO DE SALUD MUNICIPAL 321 BARRIO MAUGER.-")</f>
        <v>CENTRO DE SALUD MUNICIPAL 321 BARRIO MAUGER.-</v>
      </c>
      <c r="C1294" s="30" t="str">
        <f ca="1">IFERROR(__xludf.DUMMYFUNCTION("""COMPUTED_VALUE"""),"Mendoza")</f>
        <v>Mendoza</v>
      </c>
      <c r="D1294" s="30" t="str">
        <f ca="1">IFERROR(__xludf.DUMMYFUNCTION("""COMPUTED_VALUE"""),"50")</f>
        <v>50</v>
      </c>
      <c r="E1294" s="30" t="str">
        <f ca="1">IFERROR(__xludf.DUMMYFUNCTION("""COMPUTED_VALUE"""),"")</f>
        <v/>
      </c>
      <c r="F1294" s="29"/>
      <c r="G1294" s="29"/>
      <c r="H1294" s="30" t="str">
        <f ca="1">IFERROR(__xludf.DUMMYFUNCTION("""COMPUTED_VALUE"""),"activo")</f>
        <v>activo</v>
      </c>
      <c r="I1294" s="29"/>
      <c r="J1294" s="29"/>
      <c r="K1294" s="29"/>
      <c r="L1294" s="30" t="str">
        <f ca="1">IFERROR(__xludf.DUMMYFUNCTION("""COMPUTED_VALUE"""),"No")</f>
        <v>No</v>
      </c>
      <c r="M1294" s="30" t="str">
        <f ca="1">IFERROR(__xludf.DUMMYFUNCTION("""COMPUTED_VALUE"""),"50070060002")</f>
        <v>50070060002</v>
      </c>
      <c r="N1294" s="30" t="str">
        <f ca="1">IFERROR(__xludf.DUMMYFUNCTION("""COMPUTED_VALUE"""),"GENERAL GUTIERREZ")</f>
        <v>GENERAL GUTIERREZ</v>
      </c>
      <c r="O1294" s="30" t="str">
        <f ca="1">IFERROR(__xludf.DUMMYFUNCTION("""COMPUTED_VALUE"""),"5070")</f>
        <v>5070</v>
      </c>
      <c r="P1294" s="30" t="str">
        <f ca="1">IFERROR(__xludf.DUMMYFUNCTION("""COMPUTED_VALUE"""),"MAIPÚ")</f>
        <v>MAIPÚ</v>
      </c>
      <c r="Q1294" s="30" t="str">
        <f ca="1">IFERROR(__xludf.DUMMYFUNCTION("""COMPUTED_VALUE"""),"-32.98159614")</f>
        <v>-32.98159614</v>
      </c>
      <c r="R1294" s="30" t="str">
        <f ca="1">IFERROR(__xludf.DUMMYFUNCTION("""COMPUTED_VALUE"""),"-68.78883362")</f>
        <v>-68.78883362</v>
      </c>
      <c r="S1294" s="30" t="str">
        <f ca="1">IFERROR(__xludf.DUMMYFUNCTION("""COMPUTED_VALUE"""),"Municipal")</f>
        <v>Municipal</v>
      </c>
      <c r="T1294" s="29"/>
    </row>
    <row r="1295" spans="1:20" ht="15.75" customHeight="1" x14ac:dyDescent="0.25">
      <c r="A1295" s="30" t="str">
        <f ca="1">IFERROR(__xludf.DUMMYFUNCTION("""COMPUTED_VALUE"""),"50500702258626")</f>
        <v>50500702258626</v>
      </c>
      <c r="B1295" s="30" t="str">
        <f ca="1">IFERROR(__xludf.DUMMYFUNCTION("""COMPUTED_VALUE"""),"CENTRO DE SALUD MUNICIPAL 342 COLONIA BOMBAL.-")</f>
        <v>CENTRO DE SALUD MUNICIPAL 342 COLONIA BOMBAL.-</v>
      </c>
      <c r="C1295" s="30" t="str">
        <f ca="1">IFERROR(__xludf.DUMMYFUNCTION("""COMPUTED_VALUE"""),"Mendoza")</f>
        <v>Mendoza</v>
      </c>
      <c r="D1295" s="30" t="str">
        <f ca="1">IFERROR(__xludf.DUMMYFUNCTION("""COMPUTED_VALUE"""),"50")</f>
        <v>50</v>
      </c>
      <c r="E1295" s="30" t="str">
        <f ca="1">IFERROR(__xludf.DUMMYFUNCTION("""COMPUTED_VALUE"""),"")</f>
        <v/>
      </c>
      <c r="F1295" s="29"/>
      <c r="G1295" s="29"/>
      <c r="H1295" s="30" t="str">
        <f ca="1">IFERROR(__xludf.DUMMYFUNCTION("""COMPUTED_VALUE"""),"activo")</f>
        <v>activo</v>
      </c>
      <c r="I1295" s="29"/>
      <c r="J1295" s="29"/>
      <c r="K1295" s="29"/>
      <c r="L1295" s="30" t="str">
        <f ca="1">IFERROR(__xludf.DUMMYFUNCTION("""COMPUTED_VALUE"""),"No")</f>
        <v>No</v>
      </c>
      <c r="M1295" s="30" t="str">
        <f ca="1">IFERROR(__xludf.DUMMYFUNCTION("""COMPUTED_VALUE"""),"50070070000")</f>
        <v>50070070000</v>
      </c>
      <c r="N1295" s="30" t="str">
        <f ca="1">IFERROR(__xludf.DUMMYFUNCTION("""COMPUTED_VALUE"""),"RODEO DEL MEDIO")</f>
        <v>RODEO DEL MEDIO</v>
      </c>
      <c r="O1295" s="30" t="str">
        <f ca="1">IFERROR(__xludf.DUMMYFUNCTION("""COMPUTED_VALUE"""),"5070")</f>
        <v>5070</v>
      </c>
      <c r="P1295" s="30" t="str">
        <f ca="1">IFERROR(__xludf.DUMMYFUNCTION("""COMPUTED_VALUE"""),"MAIPÚ")</f>
        <v>MAIPÚ</v>
      </c>
      <c r="Q1295" s="30" t="str">
        <f ca="1">IFERROR(__xludf.DUMMYFUNCTION("""COMPUTED_VALUE"""),"-32.992705")</f>
        <v>-32.992705</v>
      </c>
      <c r="R1295" s="30" t="str">
        <f ca="1">IFERROR(__xludf.DUMMYFUNCTION("""COMPUTED_VALUE"""),"-68.682645")</f>
        <v>-68.682645</v>
      </c>
      <c r="S1295" s="30" t="str">
        <f ca="1">IFERROR(__xludf.DUMMYFUNCTION("""COMPUTED_VALUE"""),"Municipal")</f>
        <v>Municipal</v>
      </c>
      <c r="T1295" s="29"/>
    </row>
    <row r="1296" spans="1:20" ht="15.75" customHeight="1" x14ac:dyDescent="0.25">
      <c r="A1296" s="30" t="str">
        <f ca="1">IFERROR(__xludf.DUMMYFUNCTION("""COMPUTED_VALUE"""),"50500842157171")</f>
        <v>50500842157171</v>
      </c>
      <c r="B1296" s="30" t="str">
        <f ca="1">IFERROR(__xludf.DUMMYFUNCTION("""COMPUTED_VALUE"""),"C.A.P.S. 067 MEDRANO.-")</f>
        <v>C.A.P.S. 067 MEDRANO.-</v>
      </c>
      <c r="C1296" s="30" t="str">
        <f ca="1">IFERROR(__xludf.DUMMYFUNCTION("""COMPUTED_VALUE"""),"Mendoza")</f>
        <v>Mendoza</v>
      </c>
      <c r="D1296" s="30" t="str">
        <f ca="1">IFERROR(__xludf.DUMMYFUNCTION("""COMPUTED_VALUE"""),"50")</f>
        <v>50</v>
      </c>
      <c r="E1296" s="30" t="str">
        <f ca="1">IFERROR(__xludf.DUMMYFUNCTION("""COMPUTED_VALUE"""),"si")</f>
        <v>si</v>
      </c>
      <c r="F1296" s="29"/>
      <c r="G1296" s="29"/>
      <c r="H1296" s="30" t="str">
        <f ca="1">IFERROR(__xludf.DUMMYFUNCTION("""COMPUTED_VALUE"""),"activo")</f>
        <v>activo</v>
      </c>
      <c r="I1296" s="29"/>
      <c r="J1296" s="29"/>
      <c r="K1296" s="29"/>
      <c r="L1296" s="30" t="str">
        <f ca="1">IFERROR(__xludf.DUMMYFUNCTION("""COMPUTED_VALUE"""),"No")</f>
        <v>No</v>
      </c>
      <c r="M1296" s="30" t="str">
        <f ca="1">IFERROR(__xludf.DUMMYFUNCTION("""COMPUTED_VALUE"""),"50084110000")</f>
        <v>50084110000</v>
      </c>
      <c r="N1296" s="30" t="str">
        <f ca="1">IFERROR(__xludf.DUMMYFUNCTION("""COMPUTED_VALUE"""),"MEDRANO")</f>
        <v>MEDRANO</v>
      </c>
      <c r="O1296" s="30" t="str">
        <f ca="1">IFERROR(__xludf.DUMMYFUNCTION("""COMPUTED_VALUE"""),"5084")</f>
        <v>5084</v>
      </c>
      <c r="P1296" s="30" t="str">
        <f ca="1">IFERROR(__xludf.DUMMYFUNCTION("""COMPUTED_VALUE"""),"RIVADAVIA")</f>
        <v>RIVADAVIA</v>
      </c>
      <c r="Q1296" s="30" t="str">
        <f ca="1">IFERROR(__xludf.DUMMYFUNCTION("""COMPUTED_VALUE"""),"-33.18162414")</f>
        <v>-33.18162414</v>
      </c>
      <c r="R1296" s="30" t="str">
        <f ca="1">IFERROR(__xludf.DUMMYFUNCTION("""COMPUTED_VALUE"""),"-68.61755848")</f>
        <v>-68.61755848</v>
      </c>
      <c r="S1296" s="30" t="str">
        <f ca="1">IFERROR(__xludf.DUMMYFUNCTION("""COMPUTED_VALUE"""),"Provincial")</f>
        <v>Provincial</v>
      </c>
      <c r="T1296" s="30" t="str">
        <f ca="1">IFERROR(__xludf.DUMMYFUNCTION("""COMPUTED_VALUE"""),"-")</f>
        <v>-</v>
      </c>
    </row>
    <row r="1297" spans="1:20" ht="15.75" customHeight="1" x14ac:dyDescent="0.25">
      <c r="A1297" s="30" t="str">
        <f ca="1">IFERROR(__xludf.DUMMYFUNCTION("""COMPUTED_VALUE"""),"50500842157172")</f>
        <v>50500842157172</v>
      </c>
      <c r="B1297" s="30" t="str">
        <f ca="1">IFERROR(__xludf.DUMMYFUNCTION("""COMPUTED_VALUE"""),"C.A.P.S. 068 HECTOR SOSA.-")</f>
        <v>C.A.P.S. 068 HECTOR SOSA.-</v>
      </c>
      <c r="C1297" s="30" t="str">
        <f ca="1">IFERROR(__xludf.DUMMYFUNCTION("""COMPUTED_VALUE"""),"Mendoza")</f>
        <v>Mendoza</v>
      </c>
      <c r="D1297" s="30" t="str">
        <f ca="1">IFERROR(__xludf.DUMMYFUNCTION("""COMPUTED_VALUE"""),"50")</f>
        <v>50</v>
      </c>
      <c r="E1297" s="30" t="str">
        <f ca="1">IFERROR(__xludf.DUMMYFUNCTION("""COMPUTED_VALUE"""),"")</f>
        <v/>
      </c>
      <c r="F1297" s="29"/>
      <c r="G1297" s="29"/>
      <c r="H1297" s="30" t="str">
        <f ca="1">IFERROR(__xludf.DUMMYFUNCTION("""COMPUTED_VALUE"""),"inactivo")</f>
        <v>inactivo</v>
      </c>
      <c r="I1297" s="29"/>
      <c r="J1297" s="29"/>
      <c r="K1297" s="29"/>
      <c r="L1297" s="30" t="str">
        <f ca="1">IFERROR(__xludf.DUMMYFUNCTION("""COMPUTED_VALUE"""),"No")</f>
        <v>No</v>
      </c>
      <c r="M1297" s="30" t="str">
        <f ca="1">IFERROR(__xludf.DUMMYFUNCTION("""COMPUTED_VALUE"""),"50084090000")</f>
        <v>50084090000</v>
      </c>
      <c r="N1297" s="30" t="str">
        <f ca="1">IFERROR(__xludf.DUMMYFUNCTION("""COMPUTED_VALUE"""),"LOS ARBOLES")</f>
        <v>LOS ARBOLES</v>
      </c>
      <c r="O1297" s="30" t="str">
        <f ca="1">IFERROR(__xludf.DUMMYFUNCTION("""COMPUTED_VALUE"""),"5084")</f>
        <v>5084</v>
      </c>
      <c r="P1297" s="30" t="str">
        <f ca="1">IFERROR(__xludf.DUMMYFUNCTION("""COMPUTED_VALUE"""),"RIVADAVIA")</f>
        <v>RIVADAVIA</v>
      </c>
      <c r="Q1297" s="30" t="str">
        <f ca="1">IFERROR(__xludf.DUMMYFUNCTION("""COMPUTED_VALUE"""),"-33.18331483")</f>
        <v>-33.18331483</v>
      </c>
      <c r="R1297" s="30" t="str">
        <f ca="1">IFERROR(__xludf.DUMMYFUNCTION("""COMPUTED_VALUE"""),"-68.56667599")</f>
        <v>-68.56667599</v>
      </c>
      <c r="S1297" s="30" t="str">
        <f ca="1">IFERROR(__xludf.DUMMYFUNCTION("""COMPUTED_VALUE"""),"Provincial")</f>
        <v>Provincial</v>
      </c>
      <c r="T1297" s="30" t="str">
        <f ca="1">IFERROR(__xludf.DUMMYFUNCTION("""COMPUTED_VALUE"""),"-")</f>
        <v>-</v>
      </c>
    </row>
    <row r="1298" spans="1:20" ht="15.75" customHeight="1" x14ac:dyDescent="0.25">
      <c r="A1298" s="30" t="str">
        <f ca="1">IFERROR(__xludf.DUMMYFUNCTION("""COMPUTED_VALUE"""),"50500842157173")</f>
        <v>50500842157173</v>
      </c>
      <c r="B1298" s="30" t="str">
        <f ca="1">IFERROR(__xludf.DUMMYFUNCTION("""COMPUTED_VALUE"""),"C.A.P.S. 069 LA CENTRAL.-")</f>
        <v>C.A.P.S. 069 LA CENTRAL.-</v>
      </c>
      <c r="C1298" s="30" t="str">
        <f ca="1">IFERROR(__xludf.DUMMYFUNCTION("""COMPUTED_VALUE"""),"Mendoza")</f>
        <v>Mendoza</v>
      </c>
      <c r="D1298" s="30" t="str">
        <f ca="1">IFERROR(__xludf.DUMMYFUNCTION("""COMPUTED_VALUE"""),"50")</f>
        <v>50</v>
      </c>
      <c r="E1298" s="30" t="str">
        <f ca="1">IFERROR(__xludf.DUMMYFUNCTION("""COMPUTED_VALUE"""),"")</f>
        <v/>
      </c>
      <c r="F1298" s="29"/>
      <c r="G1298" s="29"/>
      <c r="H1298" s="30" t="str">
        <f ca="1">IFERROR(__xludf.DUMMYFUNCTION("""COMPUTED_VALUE"""),"inactivo")</f>
        <v>inactivo</v>
      </c>
      <c r="I1298" s="29"/>
      <c r="J1298" s="29"/>
      <c r="K1298" s="29"/>
      <c r="L1298" s="30" t="str">
        <f ca="1">IFERROR(__xludf.DUMMYFUNCTION("""COMPUTED_VALUE"""),"No")</f>
        <v>No</v>
      </c>
      <c r="M1298" s="30" t="str">
        <f ca="1">IFERROR(__xludf.DUMMYFUNCTION("""COMPUTED_VALUE"""),"50084050000")</f>
        <v>50084050000</v>
      </c>
      <c r="N1298" s="30" t="str">
        <f ca="1">IFERROR(__xludf.DUMMYFUNCTION("""COMPUTED_VALUE"""),"LA CENTRAL")</f>
        <v>LA CENTRAL</v>
      </c>
      <c r="O1298" s="30" t="str">
        <f ca="1">IFERROR(__xludf.DUMMYFUNCTION("""COMPUTED_VALUE"""),"5084")</f>
        <v>5084</v>
      </c>
      <c r="P1298" s="30" t="str">
        <f ca="1">IFERROR(__xludf.DUMMYFUNCTION("""COMPUTED_VALUE"""),"RIVADAVIA")</f>
        <v>RIVADAVIA</v>
      </c>
      <c r="Q1298" s="30" t="str">
        <f ca="1">IFERROR(__xludf.DUMMYFUNCTION("""COMPUTED_VALUE"""),"-32.799223")</f>
        <v>-32.799223</v>
      </c>
      <c r="R1298" s="30" t="str">
        <f ca="1">IFERROR(__xludf.DUMMYFUNCTION("""COMPUTED_VALUE"""),"-68.366661")</f>
        <v>-68.366661</v>
      </c>
      <c r="S1298" s="30" t="str">
        <f ca="1">IFERROR(__xludf.DUMMYFUNCTION("""COMPUTED_VALUE"""),"Provincial")</f>
        <v>Provincial</v>
      </c>
      <c r="T1298" s="30" t="str">
        <f ca="1">IFERROR(__xludf.DUMMYFUNCTION("""COMPUTED_VALUE"""),"-")</f>
        <v>-</v>
      </c>
    </row>
    <row r="1299" spans="1:20" ht="15.75" customHeight="1" x14ac:dyDescent="0.25">
      <c r="A1299" s="30" t="str">
        <f ca="1">IFERROR(__xludf.DUMMYFUNCTION("""COMPUTED_VALUE"""),"50500842157194")</f>
        <v>50500842157194</v>
      </c>
      <c r="B1299" s="30" t="str">
        <f ca="1">IFERROR(__xludf.DUMMYFUNCTION("""COMPUTED_VALUE"""),"C.A.P.S. 146 LOS CAMPAMENTOS.-")</f>
        <v>C.A.P.S. 146 LOS CAMPAMENTOS.-</v>
      </c>
      <c r="C1299" s="30" t="str">
        <f ca="1">IFERROR(__xludf.DUMMYFUNCTION("""COMPUTED_VALUE"""),"Mendoza")</f>
        <v>Mendoza</v>
      </c>
      <c r="D1299" s="30" t="str">
        <f ca="1">IFERROR(__xludf.DUMMYFUNCTION("""COMPUTED_VALUE"""),"50")</f>
        <v>50</v>
      </c>
      <c r="E1299" s="30" t="str">
        <f ca="1">IFERROR(__xludf.DUMMYFUNCTION("""COMPUTED_VALUE"""),"")</f>
        <v/>
      </c>
      <c r="F1299" s="29"/>
      <c r="G1299" s="29"/>
      <c r="H1299" s="30" t="str">
        <f ca="1">IFERROR(__xludf.DUMMYFUNCTION("""COMPUTED_VALUE"""),"activo")</f>
        <v>activo</v>
      </c>
      <c r="I1299" s="29"/>
      <c r="J1299" s="29"/>
      <c r="K1299" s="29"/>
      <c r="L1299" s="30" t="str">
        <f ca="1">IFERROR(__xludf.DUMMYFUNCTION("""COMPUTED_VALUE"""),"No")</f>
        <v>No</v>
      </c>
      <c r="M1299" s="30" t="str">
        <f ca="1">IFERROR(__xludf.DUMMYFUNCTION("""COMPUTED_VALUE"""),"50084100000")</f>
        <v>50084100000</v>
      </c>
      <c r="N1299" s="30" t="str">
        <f ca="1">IFERROR(__xludf.DUMMYFUNCTION("""COMPUTED_VALUE"""),"LOS CAMPAMENTOS")</f>
        <v>LOS CAMPAMENTOS</v>
      </c>
      <c r="O1299" s="30" t="str">
        <f ca="1">IFERROR(__xludf.DUMMYFUNCTION("""COMPUTED_VALUE"""),"5084")</f>
        <v>5084</v>
      </c>
      <c r="P1299" s="30" t="str">
        <f ca="1">IFERROR(__xludf.DUMMYFUNCTION("""COMPUTED_VALUE"""),"RIVADAVIA")</f>
        <v>RIVADAVIA</v>
      </c>
      <c r="Q1299" s="30" t="str">
        <f ca="1">IFERROR(__xludf.DUMMYFUNCTION("""COMPUTED_VALUE"""),"-33.27607899")</f>
        <v>-33.27607899</v>
      </c>
      <c r="R1299" s="30" t="str">
        <f ca="1">IFERROR(__xludf.DUMMYFUNCTION("""COMPUTED_VALUE"""),"-68.3932507")</f>
        <v>-68.3932507</v>
      </c>
      <c r="S1299" s="30" t="str">
        <f ca="1">IFERROR(__xludf.DUMMYFUNCTION("""COMPUTED_VALUE"""),"Provincial")</f>
        <v>Provincial</v>
      </c>
      <c r="T1299" s="30" t="str">
        <f ca="1">IFERROR(__xludf.DUMMYFUNCTION("""COMPUTED_VALUE"""),"-")</f>
        <v>-</v>
      </c>
    </row>
    <row r="1300" spans="1:20" ht="15.75" customHeight="1" x14ac:dyDescent="0.25">
      <c r="A1300" s="30" t="str">
        <f ca="1">IFERROR(__xludf.DUMMYFUNCTION("""COMPUTED_VALUE"""),"50500842157195")</f>
        <v>50500842157195</v>
      </c>
      <c r="B1300" s="30" t="str">
        <f ca="1">IFERROR(__xludf.DUMMYFUNCTION("""COMPUTED_VALUE"""),"C.A.P.S. 148 SANTA MARIA DE ORO - RIVADAVIA")</f>
        <v>C.A.P.S. 148 SANTA MARIA DE ORO - RIVADAVIA</v>
      </c>
      <c r="C1300" s="30" t="str">
        <f ca="1">IFERROR(__xludf.DUMMYFUNCTION("""COMPUTED_VALUE"""),"Mendoza")</f>
        <v>Mendoza</v>
      </c>
      <c r="D1300" s="30" t="str">
        <f ca="1">IFERROR(__xludf.DUMMYFUNCTION("""COMPUTED_VALUE"""),"50")</f>
        <v>50</v>
      </c>
      <c r="E1300" s="30" t="str">
        <f ca="1">IFERROR(__xludf.DUMMYFUNCTION("""COMPUTED_VALUE"""),"")</f>
        <v/>
      </c>
      <c r="F1300" s="29"/>
      <c r="G1300" s="29"/>
      <c r="H1300" s="30" t="str">
        <f ca="1">IFERROR(__xludf.DUMMYFUNCTION("""COMPUTED_VALUE"""),"activo")</f>
        <v>activo</v>
      </c>
      <c r="I1300" s="30" t="str">
        <f ca="1">IFERROR(__xludf.DUMMYFUNCTION("""COMPUTED_VALUE"""),"2020 (sisa temporal) - no coincide sisa y nombre 50500842160956, C.A.P.S. 148 santa maria de oro - rivadavia de acuerdo a circular 2")</f>
        <v>2020 (sisa temporal) - no coincide sisa y nombre 50500842160956, C.A.P.S. 148 santa maria de oro - rivadavia de acuerdo a circular 2</v>
      </c>
      <c r="J1300" s="29"/>
      <c r="K1300" s="29"/>
      <c r="L1300" s="30" t="str">
        <f ca="1">IFERROR(__xludf.DUMMYFUNCTION("""COMPUTED_VALUE"""),"No")</f>
        <v>No</v>
      </c>
      <c r="M1300" s="30" t="str">
        <f ca="1">IFERROR(__xludf.DUMMYFUNCTION("""COMPUTED_VALUE"""),"#N/A")</f>
        <v>#N/A</v>
      </c>
      <c r="N1300" s="30" t="str">
        <f ca="1">IFERROR(__xludf.DUMMYFUNCTION("""COMPUTED_VALUE"""),"#N/A")</f>
        <v>#N/A</v>
      </c>
      <c r="O1300" s="30" t="str">
        <f ca="1">IFERROR(__xludf.DUMMYFUNCTION("""COMPUTED_VALUE"""),"#N/A")</f>
        <v>#N/A</v>
      </c>
      <c r="P1300" s="30" t="str">
        <f ca="1">IFERROR(__xludf.DUMMYFUNCTION("""COMPUTED_VALUE"""),"Rivadavia")</f>
        <v>Rivadavia</v>
      </c>
      <c r="Q1300" s="30" t="str">
        <f ca="1">IFERROR(__xludf.DUMMYFUNCTION("""COMPUTED_VALUE"""),"#N/A")</f>
        <v>#N/A</v>
      </c>
      <c r="R1300" s="30" t="str">
        <f ca="1">IFERROR(__xludf.DUMMYFUNCTION("""COMPUTED_VALUE"""),"#N/A")</f>
        <v>#N/A</v>
      </c>
      <c r="S1300" s="30" t="str">
        <f ca="1">IFERROR(__xludf.DUMMYFUNCTION("""COMPUTED_VALUE"""),"#N/A")</f>
        <v>#N/A</v>
      </c>
      <c r="T1300" s="29"/>
    </row>
    <row r="1301" spans="1:20" ht="15.75" customHeight="1" x14ac:dyDescent="0.25">
      <c r="A1301" s="30" t="str">
        <f ca="1">IFERROR(__xludf.DUMMYFUNCTION("""COMPUTED_VALUE"""),"50500912157083")</f>
        <v>50500912157083</v>
      </c>
      <c r="B1301" s="30" t="str">
        <f ca="1">IFERROR(__xludf.DUMMYFUNCTION("""COMPUTED_VALUE"""),"C.A.P.S. 101 JOSE M. MENDEZ.-")</f>
        <v>C.A.P.S. 101 JOSE M. MENDEZ.-</v>
      </c>
      <c r="C1301" s="30" t="str">
        <f ca="1">IFERROR(__xludf.DUMMYFUNCTION("""COMPUTED_VALUE"""),"Mendoza")</f>
        <v>Mendoza</v>
      </c>
      <c r="D1301" s="30" t="str">
        <f ca="1">IFERROR(__xludf.DUMMYFUNCTION("""COMPUTED_VALUE"""),"50")</f>
        <v>50</v>
      </c>
      <c r="E1301" s="30" t="str">
        <f ca="1">IFERROR(__xludf.DUMMYFUNCTION("""COMPUTED_VALUE"""),"")</f>
        <v/>
      </c>
      <c r="F1301" s="29"/>
      <c r="G1301" s="29"/>
      <c r="H1301" s="30" t="str">
        <f ca="1">IFERROR(__xludf.DUMMYFUNCTION("""COMPUTED_VALUE"""),"inactivo")</f>
        <v>inactivo</v>
      </c>
      <c r="I1301" s="29"/>
      <c r="J1301" s="29"/>
      <c r="K1301" s="29"/>
      <c r="L1301" s="30" t="str">
        <f ca="1">IFERROR(__xludf.DUMMYFUNCTION("""COMPUTED_VALUE"""),"No")</f>
        <v>No</v>
      </c>
      <c r="M1301" s="30" t="str">
        <f ca="1">IFERROR(__xludf.DUMMYFUNCTION("""COMPUTED_VALUE"""),"50091040000")</f>
        <v>50091040000</v>
      </c>
      <c r="N1301" s="30" t="str">
        <f ca="1">IFERROR(__xludf.DUMMYFUNCTION("""COMPUTED_VALUE"""),"LA CONSULTA")</f>
        <v>LA CONSULTA</v>
      </c>
      <c r="O1301" s="30" t="str">
        <f ca="1">IFERROR(__xludf.DUMMYFUNCTION("""COMPUTED_VALUE"""),"5091")</f>
        <v>5091</v>
      </c>
      <c r="P1301" s="30" t="str">
        <f ca="1">IFERROR(__xludf.DUMMYFUNCTION("""COMPUTED_VALUE"""),"SAN CARLOS")</f>
        <v>SAN CARLOS</v>
      </c>
      <c r="Q1301" s="30" t="str">
        <f ca="1">IFERROR(__xludf.DUMMYFUNCTION("""COMPUTED_VALUE"""),"-33.73224094")</f>
        <v>-33.73224094</v>
      </c>
      <c r="R1301" s="30" t="str">
        <f ca="1">IFERROR(__xludf.DUMMYFUNCTION("""COMPUTED_VALUE"""),"-69.12694216")</f>
        <v>-69.12694216</v>
      </c>
      <c r="S1301" s="30" t="str">
        <f ca="1">IFERROR(__xludf.DUMMYFUNCTION("""COMPUTED_VALUE"""),"Provincial")</f>
        <v>Provincial</v>
      </c>
      <c r="T1301" s="30" t="str">
        <f ca="1">IFERROR(__xludf.DUMMYFUNCTION("""COMPUTED_VALUE"""),"-")</f>
        <v>-</v>
      </c>
    </row>
    <row r="1302" spans="1:20" ht="15.75" customHeight="1" x14ac:dyDescent="0.25">
      <c r="A1302" s="30" t="str">
        <f ca="1">IFERROR(__xludf.DUMMYFUNCTION("""COMPUTED_VALUE"""),"50500982157180")</f>
        <v>50500982157180</v>
      </c>
      <c r="B1302" s="30" t="str">
        <f ca="1">IFERROR(__xludf.DUMMYFUNCTION("""COMPUTED_VALUE"""),"C.A.P.S. 083 CHAPANAY.-")</f>
        <v>C.A.P.S. 083 CHAPANAY.-</v>
      </c>
      <c r="C1302" s="30" t="str">
        <f ca="1">IFERROR(__xludf.DUMMYFUNCTION("""COMPUTED_VALUE"""),"Mendoza")</f>
        <v>Mendoza</v>
      </c>
      <c r="D1302" s="30" t="str">
        <f ca="1">IFERROR(__xludf.DUMMYFUNCTION("""COMPUTED_VALUE"""),"50")</f>
        <v>50</v>
      </c>
      <c r="E1302" s="30" t="str">
        <f ca="1">IFERROR(__xludf.DUMMYFUNCTION("""COMPUTED_VALUE"""),"")</f>
        <v/>
      </c>
      <c r="F1302" s="29"/>
      <c r="G1302" s="29"/>
      <c r="H1302" s="30" t="str">
        <f ca="1">IFERROR(__xludf.DUMMYFUNCTION("""COMPUTED_VALUE"""),"inactivo")</f>
        <v>inactivo</v>
      </c>
      <c r="I1302" s="29"/>
      <c r="J1302" s="29"/>
      <c r="K1302" s="29"/>
      <c r="L1302" s="30" t="str">
        <f ca="1">IFERROR(__xludf.DUMMYFUNCTION("""COMPUTED_VALUE"""),"No")</f>
        <v>No</v>
      </c>
      <c r="M1302" s="30" t="str">
        <f ca="1">IFERROR(__xludf.DUMMYFUNCTION("""COMPUTED_VALUE"""),"50098060000")</f>
        <v>50098060000</v>
      </c>
      <c r="N1302" s="30" t="str">
        <f ca="1">IFERROR(__xludf.DUMMYFUNCTION("""COMPUTED_VALUE"""),"CHAPANAY")</f>
        <v>CHAPANAY</v>
      </c>
      <c r="O1302" s="30" t="str">
        <f ca="1">IFERROR(__xludf.DUMMYFUNCTION("""COMPUTED_VALUE"""),"5098")</f>
        <v>5098</v>
      </c>
      <c r="P1302" s="30" t="str">
        <f ca="1">IFERROR(__xludf.DUMMYFUNCTION("""COMPUTED_VALUE"""),"SAN MARTÍN")</f>
        <v>SAN MARTÍN</v>
      </c>
      <c r="Q1302" s="30" t="str">
        <f ca="1">IFERROR(__xludf.DUMMYFUNCTION("""COMPUTED_VALUE"""),"-32.982597")</f>
        <v>-32.982597</v>
      </c>
      <c r="R1302" s="30" t="str">
        <f ca="1">IFERROR(__xludf.DUMMYFUNCTION("""COMPUTED_VALUE"""),"-68.466394")</f>
        <v>-68.466394</v>
      </c>
      <c r="S1302" s="30" t="str">
        <f ca="1">IFERROR(__xludf.DUMMYFUNCTION("""COMPUTED_VALUE"""),"Provincial")</f>
        <v>Provincial</v>
      </c>
      <c r="T1302" s="30" t="str">
        <f ca="1">IFERROR(__xludf.DUMMYFUNCTION("""COMPUTED_VALUE"""),"-")</f>
        <v>-</v>
      </c>
    </row>
    <row r="1303" spans="1:20" ht="15.75" customHeight="1" x14ac:dyDescent="0.25">
      <c r="A1303" s="30" t="str">
        <f ca="1">IFERROR(__xludf.DUMMYFUNCTION("""COMPUTED_VALUE"""),"50500982157184")</f>
        <v>50500982157184</v>
      </c>
      <c r="B1303" s="30" t="str">
        <f ca="1">IFERROR(__xludf.DUMMYFUNCTION("""COMPUTED_VALUE"""),"C.A.P.S. 087 FELIX FERNANDEZ.-")</f>
        <v>C.A.P.S. 087 FELIX FERNANDEZ.-</v>
      </c>
      <c r="C1303" s="30" t="str">
        <f ca="1">IFERROR(__xludf.DUMMYFUNCTION("""COMPUTED_VALUE"""),"Mendoza")</f>
        <v>Mendoza</v>
      </c>
      <c r="D1303" s="30" t="str">
        <f ca="1">IFERROR(__xludf.DUMMYFUNCTION("""COMPUTED_VALUE"""),"50")</f>
        <v>50</v>
      </c>
      <c r="E1303" s="30" t="str">
        <f ca="1">IFERROR(__xludf.DUMMYFUNCTION("""COMPUTED_VALUE"""),"")</f>
        <v/>
      </c>
      <c r="F1303" s="29"/>
      <c r="G1303" s="29"/>
      <c r="H1303" s="30" t="str">
        <f ca="1">IFERROR(__xludf.DUMMYFUNCTION("""COMPUTED_VALUE"""),"inactivo")</f>
        <v>inactivo</v>
      </c>
      <c r="I1303" s="29"/>
      <c r="J1303" s="29"/>
      <c r="K1303" s="29"/>
      <c r="L1303" s="30" t="str">
        <f ca="1">IFERROR(__xludf.DUMMYFUNCTION("""COMPUTED_VALUE"""),"No")</f>
        <v>No</v>
      </c>
      <c r="M1303" s="30" t="str">
        <f ca="1">IFERROR(__xludf.DUMMYFUNCTION("""COMPUTED_VALUE"""),"50098090000")</f>
        <v>50098090000</v>
      </c>
      <c r="N1303" s="30" t="str">
        <f ca="1">IFERROR(__xludf.DUMMYFUNCTION("""COMPUTED_VALUE"""),"NUEVA CALIFORNIA")</f>
        <v>NUEVA CALIFORNIA</v>
      </c>
      <c r="O1303" s="30" t="str">
        <f ca="1">IFERROR(__xludf.DUMMYFUNCTION("""COMPUTED_VALUE"""),"5098")</f>
        <v>5098</v>
      </c>
      <c r="P1303" s="30" t="str">
        <f ca="1">IFERROR(__xludf.DUMMYFUNCTION("""COMPUTED_VALUE"""),"SAN MARTÍN")</f>
        <v>SAN MARTÍN</v>
      </c>
      <c r="Q1303" s="30" t="str">
        <f ca="1">IFERROR(__xludf.DUMMYFUNCTION("""COMPUTED_VALUE"""),"-32.748165")</f>
        <v>-32.748165</v>
      </c>
      <c r="R1303" s="30" t="str">
        <f ca="1">IFERROR(__xludf.DUMMYFUNCTION("""COMPUTED_VALUE"""),"-68.327801")</f>
        <v>-68.327801</v>
      </c>
      <c r="S1303" s="30" t="str">
        <f ca="1">IFERROR(__xludf.DUMMYFUNCTION("""COMPUTED_VALUE"""),"Provincial")</f>
        <v>Provincial</v>
      </c>
      <c r="T1303" s="30" t="str">
        <f ca="1">IFERROR(__xludf.DUMMYFUNCTION("""COMPUTED_VALUE"""),"-")</f>
        <v>-</v>
      </c>
    </row>
    <row r="1304" spans="1:20" ht="15.75" customHeight="1" x14ac:dyDescent="0.25">
      <c r="A1304" s="30" t="str">
        <f ca="1">IFERROR(__xludf.DUMMYFUNCTION("""COMPUTED_VALUE"""),"50500982158722")</f>
        <v>50500982158722</v>
      </c>
      <c r="B1304" s="30" t="str">
        <f ca="1">IFERROR(__xludf.DUMMYFUNCTION("""COMPUTED_VALUE"""),"C.A.P.S. 076 ANGEL PERSICO.-")</f>
        <v>C.A.P.S. 076 ANGEL PERSICO.-</v>
      </c>
      <c r="C1304" s="30" t="str">
        <f ca="1">IFERROR(__xludf.DUMMYFUNCTION("""COMPUTED_VALUE"""),"Mendoza")</f>
        <v>Mendoza</v>
      </c>
      <c r="D1304" s="30" t="str">
        <f ca="1">IFERROR(__xludf.DUMMYFUNCTION("""COMPUTED_VALUE"""),"50")</f>
        <v>50</v>
      </c>
      <c r="E1304" s="30" t="str">
        <f ca="1">IFERROR(__xludf.DUMMYFUNCTION("""COMPUTED_VALUE"""),"")</f>
        <v/>
      </c>
      <c r="F1304" s="29"/>
      <c r="G1304" s="29"/>
      <c r="H1304" s="30" t="str">
        <f ca="1">IFERROR(__xludf.DUMMYFUNCTION("""COMPUTED_VALUE"""),"activo")</f>
        <v>activo</v>
      </c>
      <c r="I1304" s="29"/>
      <c r="J1304" s="29"/>
      <c r="K1304" s="29"/>
      <c r="L1304" s="30" t="str">
        <f ca="1">IFERROR(__xludf.DUMMYFUNCTION("""COMPUTED_VALUE"""),"No")</f>
        <v>No</v>
      </c>
      <c r="M1304" s="30" t="str">
        <f ca="1">IFERROR(__xludf.DUMMYFUNCTION("""COMPUTED_VALUE"""),"50098100001")</f>
        <v>50098100001</v>
      </c>
      <c r="N1304" s="30" t="str">
        <f ca="1">IFERROR(__xludf.DUMMYFUNCTION("""COMPUTED_VALUE"""),"PALMIRA")</f>
        <v>PALMIRA</v>
      </c>
      <c r="O1304" s="30" t="str">
        <f ca="1">IFERROR(__xludf.DUMMYFUNCTION("""COMPUTED_VALUE"""),"5098")</f>
        <v>5098</v>
      </c>
      <c r="P1304" s="30" t="str">
        <f ca="1">IFERROR(__xludf.DUMMYFUNCTION("""COMPUTED_VALUE"""),"SAN MARTÍN")</f>
        <v>SAN MARTÍN</v>
      </c>
      <c r="Q1304" s="30" t="str">
        <f ca="1">IFERROR(__xludf.DUMMYFUNCTION("""COMPUTED_VALUE"""),"-33.05047198")</f>
        <v>-33.05047198</v>
      </c>
      <c r="R1304" s="30" t="str">
        <f ca="1">IFERROR(__xludf.DUMMYFUNCTION("""COMPUTED_VALUE"""),"-68.56603861")</f>
        <v>-68.56603861</v>
      </c>
      <c r="S1304" s="30" t="str">
        <f ca="1">IFERROR(__xludf.DUMMYFUNCTION("""COMPUTED_VALUE"""),"Provincial")</f>
        <v>Provincial</v>
      </c>
      <c r="T1304" s="30" t="str">
        <f ca="1">IFERROR(__xludf.DUMMYFUNCTION("""COMPUTED_VALUE"""),"-")</f>
        <v>-</v>
      </c>
    </row>
    <row r="1305" spans="1:20" ht="15.75" customHeight="1" x14ac:dyDescent="0.25">
      <c r="A1305" s="30" t="str">
        <f ca="1">IFERROR(__xludf.DUMMYFUNCTION("""COMPUTED_VALUE"""),"50501052158500")</f>
        <v>50501052158500</v>
      </c>
      <c r="B1305" s="30" t="str">
        <f ca="1">IFERROR(__xludf.DUMMYFUNCTION("""COMPUTED_VALUE"""),"C.A.P.S. 113 FLOREAL MAROTTA.-")</f>
        <v>C.A.P.S. 113 FLOREAL MAROTTA.-</v>
      </c>
      <c r="C1305" s="30" t="str">
        <f ca="1">IFERROR(__xludf.DUMMYFUNCTION("""COMPUTED_VALUE"""),"Mendoza")</f>
        <v>Mendoza</v>
      </c>
      <c r="D1305" s="30" t="str">
        <f ca="1">IFERROR(__xludf.DUMMYFUNCTION("""COMPUTED_VALUE"""),"50")</f>
        <v>50</v>
      </c>
      <c r="E1305" s="30" t="str">
        <f ca="1">IFERROR(__xludf.DUMMYFUNCTION("""COMPUTED_VALUE"""),"")</f>
        <v/>
      </c>
      <c r="F1305" s="29"/>
      <c r="G1305" s="29"/>
      <c r="H1305" s="30" t="str">
        <f ca="1">IFERROR(__xludf.DUMMYFUNCTION("""COMPUTED_VALUE"""),"inactivo")</f>
        <v>inactivo</v>
      </c>
      <c r="I1305" s="30" t="str">
        <f ca="1">IFERROR(__xludf.DUMMYFUNCTION("""COMPUTED_VALUE"""),"Se dio de baja en el CAI 2021, por pedido de la provincia con nota enviada el 15/3/2021")</f>
        <v>Se dio de baja en el CAI 2021, por pedido de la provincia con nota enviada el 15/3/2021</v>
      </c>
      <c r="J1305" s="29"/>
      <c r="K1305" s="29"/>
      <c r="L1305" s="30" t="str">
        <f ca="1">IFERROR(__xludf.DUMMYFUNCTION("""COMPUTED_VALUE"""),"No")</f>
        <v>No</v>
      </c>
      <c r="M1305" s="30" t="str">
        <f ca="1">IFERROR(__xludf.DUMMYFUNCTION("""COMPUTED_VALUE"""),"50105150000")</f>
        <v>50105150000</v>
      </c>
      <c r="N1305" s="30" t="str">
        <f ca="1">IFERROR(__xludf.DUMMYFUNCTION("""COMPUTED_VALUE"""),"MONTE COMAN")</f>
        <v>MONTE COMAN</v>
      </c>
      <c r="O1305" s="30" t="str">
        <f ca="1">IFERROR(__xludf.DUMMYFUNCTION("""COMPUTED_VALUE"""),"50105")</f>
        <v>50105</v>
      </c>
      <c r="P1305" s="30" t="str">
        <f ca="1">IFERROR(__xludf.DUMMYFUNCTION("""COMPUTED_VALUE"""),"SAN RAFAEL")</f>
        <v>SAN RAFAEL</v>
      </c>
      <c r="Q1305" s="30" t="str">
        <f ca="1">IFERROR(__xludf.DUMMYFUNCTION("""COMPUTED_VALUE"""),"-34.5950851")</f>
        <v>-34.5950851</v>
      </c>
      <c r="R1305" s="30" t="str">
        <f ca="1">IFERROR(__xludf.DUMMYFUNCTION("""COMPUTED_VALUE"""),"-67.883873")</f>
        <v>-67.883873</v>
      </c>
      <c r="S1305" s="30" t="str">
        <f ca="1">IFERROR(__xludf.DUMMYFUNCTION("""COMPUTED_VALUE"""),"Provincial")</f>
        <v>Provincial</v>
      </c>
      <c r="T1305" s="30" t="str">
        <f ca="1">IFERROR(__xludf.DUMMYFUNCTION("""COMPUTED_VALUE"""),"-")</f>
        <v>-</v>
      </c>
    </row>
    <row r="1306" spans="1:20" ht="15.75" customHeight="1" x14ac:dyDescent="0.25">
      <c r="A1306" s="30" t="str">
        <f ca="1">IFERROR(__xludf.DUMMYFUNCTION("""COMPUTED_VALUE"""),"50501052158504")</f>
        <v>50501052158504</v>
      </c>
      <c r="B1306" s="30" t="str">
        <f ca="1">IFERROR(__xludf.DUMMYFUNCTION("""COMPUTED_VALUE"""),"C.A.P.S. 130 SALTO DE LAS ROSAS.-")</f>
        <v>C.A.P.S. 130 SALTO DE LAS ROSAS.-</v>
      </c>
      <c r="C1306" s="30" t="str">
        <f ca="1">IFERROR(__xludf.DUMMYFUNCTION("""COMPUTED_VALUE"""),"Mendoza")</f>
        <v>Mendoza</v>
      </c>
      <c r="D1306" s="30" t="str">
        <f ca="1">IFERROR(__xludf.DUMMYFUNCTION("""COMPUTED_VALUE"""),"50")</f>
        <v>50</v>
      </c>
      <c r="E1306" s="30" t="str">
        <f ca="1">IFERROR(__xludf.DUMMYFUNCTION("""COMPUTED_VALUE"""),"")</f>
        <v/>
      </c>
      <c r="F1306" s="29"/>
      <c r="G1306" s="29"/>
      <c r="H1306" s="30" t="str">
        <f ca="1">IFERROR(__xludf.DUMMYFUNCTION("""COMPUTED_VALUE"""),"activo")</f>
        <v>activo</v>
      </c>
      <c r="I1306" s="29"/>
      <c r="J1306" s="29"/>
      <c r="K1306" s="29"/>
      <c r="L1306" s="30" t="str">
        <f ca="1">IFERROR(__xludf.DUMMYFUNCTION("""COMPUTED_VALUE"""),"No")</f>
        <v>No</v>
      </c>
      <c r="M1306" s="30" t="str">
        <f ca="1">IFERROR(__xludf.DUMMYFUNCTION("""COMPUTED_VALUE"""),"50105200000")</f>
        <v>50105200000</v>
      </c>
      <c r="N1306" s="30" t="str">
        <f ca="1">IFERROR(__xludf.DUMMYFUNCTION("""COMPUTED_VALUE"""),"SALTO DE LAS ROSAS")</f>
        <v>SALTO DE LAS ROSAS</v>
      </c>
      <c r="O1306" s="30" t="str">
        <f ca="1">IFERROR(__xludf.DUMMYFUNCTION("""COMPUTED_VALUE"""),"50105")</f>
        <v>50105</v>
      </c>
      <c r="P1306" s="30" t="str">
        <f ca="1">IFERROR(__xludf.DUMMYFUNCTION("""COMPUTED_VALUE"""),"SAN RAFAEL")</f>
        <v>SAN RAFAEL</v>
      </c>
      <c r="Q1306" s="30" t="str">
        <f ca="1">IFERROR(__xludf.DUMMYFUNCTION("""COMPUTED_VALUE"""),"-34.7168007")</f>
        <v>-34.7168007</v>
      </c>
      <c r="R1306" s="30" t="str">
        <f ca="1">IFERROR(__xludf.DUMMYFUNCTION("""COMPUTED_VALUE"""),"-68.2333374")</f>
        <v>-68.2333374</v>
      </c>
      <c r="S1306" s="30" t="str">
        <f ca="1">IFERROR(__xludf.DUMMYFUNCTION("""COMPUTED_VALUE"""),"Provincial")</f>
        <v>Provincial</v>
      </c>
      <c r="T1306" s="30" t="str">
        <f ca="1">IFERROR(__xludf.DUMMYFUNCTION("""COMPUTED_VALUE"""),"-")</f>
        <v>-</v>
      </c>
    </row>
    <row r="1307" spans="1:20" ht="15.75" customHeight="1" x14ac:dyDescent="0.25">
      <c r="A1307" s="30" t="str">
        <f ca="1">IFERROR(__xludf.DUMMYFUNCTION("""COMPUTED_VALUE"""),"50501052158506")</f>
        <v>50501052158506</v>
      </c>
      <c r="B1307" s="30" t="str">
        <f ca="1">IFERROR(__xludf.DUMMYFUNCTION("""COMPUTED_VALUE"""),"C.A.P.S. 108 GOUDGE.-")</f>
        <v>C.A.P.S. 108 GOUDGE.-</v>
      </c>
      <c r="C1307" s="30" t="str">
        <f ca="1">IFERROR(__xludf.DUMMYFUNCTION("""COMPUTED_VALUE"""),"Mendoza")</f>
        <v>Mendoza</v>
      </c>
      <c r="D1307" s="30" t="str">
        <f ca="1">IFERROR(__xludf.DUMMYFUNCTION("""COMPUTED_VALUE"""),"50")</f>
        <v>50</v>
      </c>
      <c r="E1307" s="30" t="str">
        <f ca="1">IFERROR(__xludf.DUMMYFUNCTION("""COMPUTED_VALUE"""),"")</f>
        <v/>
      </c>
      <c r="F1307" s="29"/>
      <c r="G1307" s="29"/>
      <c r="H1307" s="30" t="str">
        <f ca="1">IFERROR(__xludf.DUMMYFUNCTION("""COMPUTED_VALUE"""),"inactivo")</f>
        <v>inactivo</v>
      </c>
      <c r="I1307" s="30" t="str">
        <f ca="1">IFERROR(__xludf.DUMMYFUNCTION("""COMPUTED_VALUE"""),"se dio de baja segun solicitud de la provincia 20/8/2021 Se cambio por el 50500212158494")</f>
        <v>se dio de baja segun solicitud de la provincia 20/8/2021 Se cambio por el 50500212158494</v>
      </c>
      <c r="J1307" s="29"/>
      <c r="K1307" s="29"/>
      <c r="L1307" s="30" t="str">
        <f ca="1">IFERROR(__xludf.DUMMYFUNCTION("""COMPUTED_VALUE"""),"No")</f>
        <v>No</v>
      </c>
      <c r="M1307" s="30" t="str">
        <f ca="1">IFERROR(__xludf.DUMMYFUNCTION("""COMPUTED_VALUE"""),"50105100000")</f>
        <v>50105100000</v>
      </c>
      <c r="N1307" s="30" t="str">
        <f ca="1">IFERROR(__xludf.DUMMYFUNCTION("""COMPUTED_VALUE"""),"GOUDGE")</f>
        <v>GOUDGE</v>
      </c>
      <c r="O1307" s="30" t="str">
        <f ca="1">IFERROR(__xludf.DUMMYFUNCTION("""COMPUTED_VALUE"""),"50105")</f>
        <v>50105</v>
      </c>
      <c r="P1307" s="30" t="str">
        <f ca="1">IFERROR(__xludf.DUMMYFUNCTION("""COMPUTED_VALUE"""),"SAN RAFAEL")</f>
        <v>SAN RAFAEL</v>
      </c>
      <c r="Q1307" s="30" t="str">
        <f ca="1">IFERROR(__xludf.DUMMYFUNCTION("""COMPUTED_VALUE"""),"-34.681973")</f>
        <v>-34.681973</v>
      </c>
      <c r="R1307" s="30" t="str">
        <f ca="1">IFERROR(__xludf.DUMMYFUNCTION("""COMPUTED_VALUE"""),"-68.13091")</f>
        <v>-68.13091</v>
      </c>
      <c r="S1307" s="30" t="str">
        <f ca="1">IFERROR(__xludf.DUMMYFUNCTION("""COMPUTED_VALUE"""),"Provincial")</f>
        <v>Provincial</v>
      </c>
      <c r="T1307" s="30" t="str">
        <f ca="1">IFERROR(__xludf.DUMMYFUNCTION("""COMPUTED_VALUE"""),"-")</f>
        <v>-</v>
      </c>
    </row>
    <row r="1308" spans="1:20" ht="15.75" customHeight="1" x14ac:dyDescent="0.25">
      <c r="A1308" s="30" t="str">
        <f ca="1">IFERROR(__xludf.DUMMYFUNCTION("""COMPUTED_VALUE"""),"50501052158510")</f>
        <v>50501052158510</v>
      </c>
      <c r="B1308" s="30" t="str">
        <f ca="1">IFERROR(__xludf.DUMMYFUNCTION("""COMPUTED_VALUE"""),"C.A.P.S. 114 VILLA ATUEL.-")</f>
        <v>C.A.P.S. 114 VILLA ATUEL.-</v>
      </c>
      <c r="C1308" s="30" t="str">
        <f ca="1">IFERROR(__xludf.DUMMYFUNCTION("""COMPUTED_VALUE"""),"Mendoza")</f>
        <v>Mendoza</v>
      </c>
      <c r="D1308" s="30" t="str">
        <f ca="1">IFERROR(__xludf.DUMMYFUNCTION("""COMPUTED_VALUE"""),"50")</f>
        <v>50</v>
      </c>
      <c r="E1308" s="30" t="str">
        <f ca="1">IFERROR(__xludf.DUMMYFUNCTION("""COMPUTED_VALUE"""),"")</f>
        <v/>
      </c>
      <c r="F1308" s="29"/>
      <c r="G1308" s="29"/>
      <c r="H1308" s="30" t="str">
        <f ca="1">IFERROR(__xludf.DUMMYFUNCTION("""COMPUTED_VALUE"""),"inactivo")</f>
        <v>inactivo</v>
      </c>
      <c r="I1308" s="30" t="str">
        <f ca="1">IFERROR(__xludf.DUMMYFUNCTION("""COMPUTED_VALUE"""),"Se dio de baja en el CAI 2021, por pedido de la provincia con nota enviada el 15/3/2021")</f>
        <v>Se dio de baja en el CAI 2021, por pedido de la provincia con nota enviada el 15/3/2021</v>
      </c>
      <c r="J1308" s="29"/>
      <c r="K1308" s="29"/>
      <c r="L1308" s="30" t="str">
        <f ca="1">IFERROR(__xludf.DUMMYFUNCTION("""COMPUTED_VALUE"""),"No")</f>
        <v>No</v>
      </c>
      <c r="M1308" s="30" t="str">
        <f ca="1">IFERROR(__xludf.DUMMYFUNCTION("""COMPUTED_VALUE"""),"50105230000")</f>
        <v>50105230000</v>
      </c>
      <c r="N1308" s="30" t="str">
        <f ca="1">IFERROR(__xludf.DUMMYFUNCTION("""COMPUTED_VALUE"""),"VILLA ATUEL")</f>
        <v>VILLA ATUEL</v>
      </c>
      <c r="O1308" s="30" t="str">
        <f ca="1">IFERROR(__xludf.DUMMYFUNCTION("""COMPUTED_VALUE"""),"50105")</f>
        <v>50105</v>
      </c>
      <c r="P1308" s="30" t="str">
        <f ca="1">IFERROR(__xludf.DUMMYFUNCTION("""COMPUTED_VALUE"""),"SAN RAFAEL")</f>
        <v>SAN RAFAEL</v>
      </c>
      <c r="Q1308" s="30" t="str">
        <f ca="1">IFERROR(__xludf.DUMMYFUNCTION("""COMPUTED_VALUE"""),"-34.836564")</f>
        <v>-34.836564</v>
      </c>
      <c r="R1308" s="30" t="str">
        <f ca="1">IFERROR(__xludf.DUMMYFUNCTION("""COMPUTED_VALUE"""),"-67.920954")</f>
        <v>-67.920954</v>
      </c>
      <c r="S1308" s="30" t="str">
        <f ca="1">IFERROR(__xludf.DUMMYFUNCTION("""COMPUTED_VALUE"""),"Provincial")</f>
        <v>Provincial</v>
      </c>
      <c r="T1308" s="30" t="str">
        <f ca="1">IFERROR(__xludf.DUMMYFUNCTION("""COMPUTED_VALUE"""),"-")</f>
        <v>-</v>
      </c>
    </row>
    <row r="1309" spans="1:20" ht="15.75" customHeight="1" x14ac:dyDescent="0.25">
      <c r="A1309" s="30" t="str">
        <f ca="1">IFERROR(__xludf.DUMMYFUNCTION("""COMPUTED_VALUE"""),"50501052158526")</f>
        <v>50501052158526</v>
      </c>
      <c r="B1309" s="30" t="str">
        <f ca="1">IFERROR(__xludf.DUMMYFUNCTION("""COMPUTED_VALUE"""),"C.A.P.S. 158 CUADRO NACIONAL.-")</f>
        <v>C.A.P.S. 158 CUADRO NACIONAL.-</v>
      </c>
      <c r="C1309" s="30" t="str">
        <f ca="1">IFERROR(__xludf.DUMMYFUNCTION("""COMPUTED_VALUE"""),"Mendoza")</f>
        <v>Mendoza</v>
      </c>
      <c r="D1309" s="30" t="str">
        <f ca="1">IFERROR(__xludf.DUMMYFUNCTION("""COMPUTED_VALUE"""),"50")</f>
        <v>50</v>
      </c>
      <c r="E1309" s="30" t="str">
        <f ca="1">IFERROR(__xludf.DUMMYFUNCTION("""COMPUTED_VALUE"""),"")</f>
        <v/>
      </c>
      <c r="F1309" s="29"/>
      <c r="G1309" s="29"/>
      <c r="H1309" s="30" t="str">
        <f ca="1">IFERROR(__xludf.DUMMYFUNCTION("""COMPUTED_VALUE"""),"activo")</f>
        <v>activo</v>
      </c>
      <c r="I1309" s="29"/>
      <c r="J1309" s="29"/>
      <c r="K1309" s="29"/>
      <c r="L1309" s="30" t="str">
        <f ca="1">IFERROR(__xludf.DUMMYFUNCTION("""COMPUTED_VALUE"""),"No")</f>
        <v>No</v>
      </c>
      <c r="M1309" s="30" t="str">
        <f ca="1">IFERROR(__xludf.DUMMYFUNCTION("""COMPUTED_VALUE"""),"50105210001")</f>
        <v>50105210001</v>
      </c>
      <c r="N1309" s="30" t="str">
        <f ca="1">IFERROR(__xludf.DUMMYFUNCTION("""COMPUTED_VALUE"""),"CUADRO NACIONAL")</f>
        <v>CUADRO NACIONAL</v>
      </c>
      <c r="O1309" s="30" t="str">
        <f ca="1">IFERROR(__xludf.DUMMYFUNCTION("""COMPUTED_VALUE"""),"50105")</f>
        <v>50105</v>
      </c>
      <c r="P1309" s="30" t="str">
        <f ca="1">IFERROR(__xludf.DUMMYFUNCTION("""COMPUTED_VALUE"""),"SAN RAFAEL")</f>
        <v>SAN RAFAEL</v>
      </c>
      <c r="Q1309" s="30" t="str">
        <f ca="1">IFERROR(__xludf.DUMMYFUNCTION("""COMPUTED_VALUE"""),"-34.63629978")</f>
        <v>-34.63629978</v>
      </c>
      <c r="R1309" s="30" t="str">
        <f ca="1">IFERROR(__xludf.DUMMYFUNCTION("""COMPUTED_VALUE"""),"-68.37741101")</f>
        <v>-68.37741101</v>
      </c>
      <c r="S1309" s="30" t="str">
        <f ca="1">IFERROR(__xludf.DUMMYFUNCTION("""COMPUTED_VALUE"""),"Provincial")</f>
        <v>Provincial</v>
      </c>
      <c r="T1309" s="30" t="str">
        <f ca="1">IFERROR(__xludf.DUMMYFUNCTION("""COMPUTED_VALUE"""),"-")</f>
        <v>-</v>
      </c>
    </row>
    <row r="1310" spans="1:20" ht="15.75" customHeight="1" x14ac:dyDescent="0.25">
      <c r="A1310" s="30" t="str">
        <f ca="1">IFERROR(__xludf.DUMMYFUNCTION("""COMPUTED_VALUE"""),"50501052158542")</f>
        <v>50501052158542</v>
      </c>
      <c r="B1310" s="30" t="str">
        <f ca="1">IFERROR(__xludf.DUMMYFUNCTION("""COMPUTED_VALUE"""),"C.A.P.S. 183 BARRIO VALLE GRANDE.-")</f>
        <v>C.A.P.S. 183 BARRIO VALLE GRANDE.-</v>
      </c>
      <c r="C1310" s="30" t="str">
        <f ca="1">IFERROR(__xludf.DUMMYFUNCTION("""COMPUTED_VALUE"""),"Mendoza")</f>
        <v>Mendoza</v>
      </c>
      <c r="D1310" s="30" t="str">
        <f ca="1">IFERROR(__xludf.DUMMYFUNCTION("""COMPUTED_VALUE"""),"50")</f>
        <v>50</v>
      </c>
      <c r="E1310" s="30" t="str">
        <f ca="1">IFERROR(__xludf.DUMMYFUNCTION("""COMPUTED_VALUE"""),"")</f>
        <v/>
      </c>
      <c r="F1310" s="29"/>
      <c r="G1310" s="29"/>
      <c r="H1310" s="30" t="str">
        <f ca="1">IFERROR(__xludf.DUMMYFUNCTION("""COMPUTED_VALUE"""),"activo")</f>
        <v>activo</v>
      </c>
      <c r="I1310" s="29"/>
      <c r="J1310" s="29"/>
      <c r="K1310" s="29"/>
      <c r="L1310" s="30" t="str">
        <f ca="1">IFERROR(__xludf.DUMMYFUNCTION("""COMPUTED_VALUE"""),"No")</f>
        <v>No</v>
      </c>
      <c r="M1310" s="30" t="str">
        <f ca="1">IFERROR(__xludf.DUMMYFUNCTION("""COMPUTED_VALUE"""),"50105210")</f>
        <v>50105210</v>
      </c>
      <c r="N1310" s="30" t="str">
        <f ca="1">IFERROR(__xludf.DUMMYFUNCTION("""COMPUTED_VALUE"""),"SAN RAFAEL  (CIUDAD DE SAN RAFAEL)")</f>
        <v>SAN RAFAEL  (CIUDAD DE SAN RAFAEL)</v>
      </c>
      <c r="O1310" s="30" t="str">
        <f ca="1">IFERROR(__xludf.DUMMYFUNCTION("""COMPUTED_VALUE"""),"50105")</f>
        <v>50105</v>
      </c>
      <c r="P1310" s="30" t="str">
        <f ca="1">IFERROR(__xludf.DUMMYFUNCTION("""COMPUTED_VALUE"""),"SAN RAFAEL")</f>
        <v>SAN RAFAEL</v>
      </c>
      <c r="Q1310" s="30" t="str">
        <f ca="1">IFERROR(__xludf.DUMMYFUNCTION("""COMPUTED_VALUE"""),"-34.63519001")</f>
        <v>-34.63519001</v>
      </c>
      <c r="R1310" s="30" t="str">
        <f ca="1">IFERROR(__xludf.DUMMYFUNCTION("""COMPUTED_VALUE"""),"-68.33783627")</f>
        <v>-68.33783627</v>
      </c>
      <c r="S1310" s="30" t="str">
        <f ca="1">IFERROR(__xludf.DUMMYFUNCTION("""COMPUTED_VALUE"""),"Provincial")</f>
        <v>Provincial</v>
      </c>
      <c r="T1310" s="30" t="str">
        <f ca="1">IFERROR(__xludf.DUMMYFUNCTION("""COMPUTED_VALUE"""),"-")</f>
        <v>-</v>
      </c>
    </row>
    <row r="1311" spans="1:20" ht="15.75" customHeight="1" x14ac:dyDescent="0.25">
      <c r="A1311" s="30" t="str">
        <f ca="1">IFERROR(__xludf.DUMMYFUNCTION("""COMPUTED_VALUE"""),"50501052158554")</f>
        <v>50501052158554</v>
      </c>
      <c r="B1311" s="30" t="str">
        <f ca="1">IFERROR(__xludf.DUMMYFUNCTION("""COMPUTED_VALUE"""),"C.A.P.S. 159 HUMBERTO TARANTO.-")</f>
        <v>C.A.P.S. 159 HUMBERTO TARANTO.-</v>
      </c>
      <c r="C1311" s="30" t="str">
        <f ca="1">IFERROR(__xludf.DUMMYFUNCTION("""COMPUTED_VALUE"""),"Mendoza")</f>
        <v>Mendoza</v>
      </c>
      <c r="D1311" s="30" t="str">
        <f ca="1">IFERROR(__xludf.DUMMYFUNCTION("""COMPUTED_VALUE"""),"50")</f>
        <v>50</v>
      </c>
      <c r="E1311" s="30" t="str">
        <f ca="1">IFERROR(__xludf.DUMMYFUNCTION("""COMPUTED_VALUE"""),"si")</f>
        <v>si</v>
      </c>
      <c r="F1311" s="29"/>
      <c r="G1311" s="29"/>
      <c r="H1311" s="30" t="str">
        <f ca="1">IFERROR(__xludf.DUMMYFUNCTION("""COMPUTED_VALUE"""),"activo")</f>
        <v>activo</v>
      </c>
      <c r="I1311" s="29"/>
      <c r="J1311" s="29"/>
      <c r="K1311" s="29"/>
      <c r="L1311" s="30" t="str">
        <f ca="1">IFERROR(__xludf.DUMMYFUNCTION("""COMPUTED_VALUE"""),"No")</f>
        <v>No</v>
      </c>
      <c r="M1311" s="30" t="str">
        <f ca="1">IFERROR(__xludf.DUMMYFUNCTION("""COMPUTED_VALUE"""),"50105210")</f>
        <v>50105210</v>
      </c>
      <c r="N1311" s="30" t="str">
        <f ca="1">IFERROR(__xludf.DUMMYFUNCTION("""COMPUTED_VALUE"""),"SAN RAFAEL  (CIUDAD DE SAN RAFAEL)")</f>
        <v>SAN RAFAEL  (CIUDAD DE SAN RAFAEL)</v>
      </c>
      <c r="O1311" s="30" t="str">
        <f ca="1">IFERROR(__xludf.DUMMYFUNCTION("""COMPUTED_VALUE"""),"50105")</f>
        <v>50105</v>
      </c>
      <c r="P1311" s="30" t="str">
        <f ca="1">IFERROR(__xludf.DUMMYFUNCTION("""COMPUTED_VALUE"""),"SAN RAFAEL")</f>
        <v>SAN RAFAEL</v>
      </c>
      <c r="Q1311" s="30" t="str">
        <f ca="1">IFERROR(__xludf.DUMMYFUNCTION("""COMPUTED_VALUE"""),"-34.58121376")</f>
        <v>-34.58121376</v>
      </c>
      <c r="R1311" s="30" t="str">
        <f ca="1">IFERROR(__xludf.DUMMYFUNCTION("""COMPUTED_VALUE"""),"-68.34320068")</f>
        <v>-68.34320068</v>
      </c>
      <c r="S1311" s="30" t="str">
        <f ca="1">IFERROR(__xludf.DUMMYFUNCTION("""COMPUTED_VALUE"""),"Provincial")</f>
        <v>Provincial</v>
      </c>
      <c r="T1311" s="30" t="str">
        <f ca="1">IFERROR(__xludf.DUMMYFUNCTION("""COMPUTED_VALUE"""),"-")</f>
        <v>-</v>
      </c>
    </row>
    <row r="1312" spans="1:20" ht="15.75" customHeight="1" x14ac:dyDescent="0.25">
      <c r="A1312" s="30" t="str">
        <f ca="1">IFERROR(__xludf.DUMMYFUNCTION("""COMPUTED_VALUE"""),"50501052257293")</f>
        <v>50501052257293</v>
      </c>
      <c r="B1312" s="30" t="str">
        <f ca="1">IFERROR(__xludf.DUMMYFUNCTION("""COMPUTED_VALUE"""),"C.A.P.S. 349 CENTRO MUNICIPAL VILLA LAREDO.-")</f>
        <v>C.A.P.S. 349 CENTRO MUNICIPAL VILLA LAREDO.-</v>
      </c>
      <c r="C1312" s="30" t="str">
        <f ca="1">IFERROR(__xludf.DUMMYFUNCTION("""COMPUTED_VALUE"""),"Mendoza")</f>
        <v>Mendoza</v>
      </c>
      <c r="D1312" s="30" t="str">
        <f ca="1">IFERROR(__xludf.DUMMYFUNCTION("""COMPUTED_VALUE"""),"50")</f>
        <v>50</v>
      </c>
      <c r="E1312" s="30" t="str">
        <f ca="1">IFERROR(__xludf.DUMMYFUNCTION("""COMPUTED_VALUE"""),"")</f>
        <v/>
      </c>
      <c r="F1312" s="29"/>
      <c r="G1312" s="29"/>
      <c r="H1312" s="30" t="str">
        <f ca="1">IFERROR(__xludf.DUMMYFUNCTION("""COMPUTED_VALUE"""),"activo")</f>
        <v>activo</v>
      </c>
      <c r="I1312" s="29"/>
      <c r="J1312" s="29"/>
      <c r="K1312" s="29"/>
      <c r="L1312" s="30" t="str">
        <f ca="1">IFERROR(__xludf.DUMMYFUNCTION("""COMPUTED_VALUE"""),"No")</f>
        <v>No</v>
      </c>
      <c r="M1312" s="30" t="str">
        <f ca="1">IFERROR(__xludf.DUMMYFUNCTION("""COMPUTED_VALUE"""),"50105210")</f>
        <v>50105210</v>
      </c>
      <c r="N1312" s="30" t="str">
        <f ca="1">IFERROR(__xludf.DUMMYFUNCTION("""COMPUTED_VALUE"""),"SAN RAFAEL  (CIUDAD DE SAN RAFAEL)")</f>
        <v>SAN RAFAEL  (CIUDAD DE SAN RAFAEL)</v>
      </c>
      <c r="O1312" s="30" t="str">
        <f ca="1">IFERROR(__xludf.DUMMYFUNCTION("""COMPUTED_VALUE"""),"50105")</f>
        <v>50105</v>
      </c>
      <c r="P1312" s="30" t="str">
        <f ca="1">IFERROR(__xludf.DUMMYFUNCTION("""COMPUTED_VALUE"""),"SAN RAFAEL")</f>
        <v>SAN RAFAEL</v>
      </c>
      <c r="Q1312" s="30" t="str">
        <f ca="1">IFERROR(__xludf.DUMMYFUNCTION("""COMPUTED_VALUE"""),"-34.5946158")</f>
        <v>-34.5946158</v>
      </c>
      <c r="R1312" s="30" t="str">
        <f ca="1">IFERROR(__xludf.DUMMYFUNCTION("""COMPUTED_VALUE"""),"-68.3364185")</f>
        <v>-68.3364185</v>
      </c>
      <c r="S1312" s="30" t="str">
        <f ca="1">IFERROR(__xludf.DUMMYFUNCTION("""COMPUTED_VALUE"""),"Municipal")</f>
        <v>Municipal</v>
      </c>
      <c r="T1312" s="29"/>
    </row>
    <row r="1313" spans="1:20" ht="15.75" customHeight="1" x14ac:dyDescent="0.25">
      <c r="A1313" s="30" t="str">
        <f ca="1">IFERROR(__xludf.DUMMYFUNCTION("""COMPUTED_VALUE"""),"50501052258587")</f>
        <v>50501052258587</v>
      </c>
      <c r="B1313" s="30" t="str">
        <f ca="1">IFERROR(__xludf.DUMMYFUNCTION("""COMPUTED_VALUE"""),"C.A.P.S. 320 CENTRO MUNICIPAL ALBERTO CASTELLANOS.-")</f>
        <v>C.A.P.S. 320 CENTRO MUNICIPAL ALBERTO CASTELLANOS.-</v>
      </c>
      <c r="C1313" s="30" t="str">
        <f ca="1">IFERROR(__xludf.DUMMYFUNCTION("""COMPUTED_VALUE"""),"Mendoza")</f>
        <v>Mendoza</v>
      </c>
      <c r="D1313" s="30" t="str">
        <f ca="1">IFERROR(__xludf.DUMMYFUNCTION("""COMPUTED_VALUE"""),"50")</f>
        <v>50</v>
      </c>
      <c r="E1313" s="30" t="str">
        <f ca="1">IFERROR(__xludf.DUMMYFUNCTION("""COMPUTED_VALUE"""),"si")</f>
        <v>si</v>
      </c>
      <c r="F1313" s="29"/>
      <c r="G1313" s="29"/>
      <c r="H1313" s="30" t="str">
        <f ca="1">IFERROR(__xludf.DUMMYFUNCTION("""COMPUTED_VALUE"""),"activo")</f>
        <v>activo</v>
      </c>
      <c r="I1313" s="29"/>
      <c r="J1313" s="29"/>
      <c r="K1313" s="29"/>
      <c r="L1313" s="30" t="str">
        <f ca="1">IFERROR(__xludf.DUMMYFUNCTION("""COMPUTED_VALUE"""),"No")</f>
        <v>No</v>
      </c>
      <c r="M1313" s="30" t="str">
        <f ca="1">IFERROR(__xludf.DUMMYFUNCTION("""COMPUTED_VALUE"""),"50105210")</f>
        <v>50105210</v>
      </c>
      <c r="N1313" s="30" t="str">
        <f ca="1">IFERROR(__xludf.DUMMYFUNCTION("""COMPUTED_VALUE"""),"SAN RAFAEL  (CIUDAD DE SAN RAFAEL)")</f>
        <v>SAN RAFAEL  (CIUDAD DE SAN RAFAEL)</v>
      </c>
      <c r="O1313" s="30" t="str">
        <f ca="1">IFERROR(__xludf.DUMMYFUNCTION("""COMPUTED_VALUE"""),"50105")</f>
        <v>50105</v>
      </c>
      <c r="P1313" s="30" t="str">
        <f ca="1">IFERROR(__xludf.DUMMYFUNCTION("""COMPUTED_VALUE"""),"SAN RAFAEL")</f>
        <v>SAN RAFAEL</v>
      </c>
      <c r="Q1313" s="30" t="str">
        <f ca="1">IFERROR(__xludf.DUMMYFUNCTION("""COMPUTED_VALUE"""),"-34.6464914")</f>
        <v>-34.6464914</v>
      </c>
      <c r="R1313" s="30" t="str">
        <f ca="1">IFERROR(__xludf.DUMMYFUNCTION("""COMPUTED_VALUE"""),"-68.3398609")</f>
        <v>-68.3398609</v>
      </c>
      <c r="S1313" s="30" t="str">
        <f ca="1">IFERROR(__xludf.DUMMYFUNCTION("""COMPUTED_VALUE"""),"Municipal")</f>
        <v>Municipal</v>
      </c>
      <c r="T1313" s="29"/>
    </row>
    <row r="1314" spans="1:20" ht="15.75" customHeight="1" x14ac:dyDescent="0.25">
      <c r="A1314" s="30" t="str">
        <f ca="1">IFERROR(__xludf.DUMMYFUNCTION("""COMPUTED_VALUE"""),"50501052258589")</f>
        <v>50501052258589</v>
      </c>
      <c r="B1314" s="30" t="str">
        <f ca="1">IFERROR(__xludf.DUMMYFUNCTION("""COMPUTED_VALUE"""),"C.A.P.S. 325 CENTRO MUNICIPAL RAMON CARRILLO.-")</f>
        <v>C.A.P.S. 325 CENTRO MUNICIPAL RAMON CARRILLO.-</v>
      </c>
      <c r="C1314" s="30" t="str">
        <f ca="1">IFERROR(__xludf.DUMMYFUNCTION("""COMPUTED_VALUE"""),"Mendoza")</f>
        <v>Mendoza</v>
      </c>
      <c r="D1314" s="30" t="str">
        <f ca="1">IFERROR(__xludf.DUMMYFUNCTION("""COMPUTED_VALUE"""),"50")</f>
        <v>50</v>
      </c>
      <c r="E1314" s="30" t="str">
        <f ca="1">IFERROR(__xludf.DUMMYFUNCTION("""COMPUTED_VALUE"""),"")</f>
        <v/>
      </c>
      <c r="F1314" s="29"/>
      <c r="G1314" s="29"/>
      <c r="H1314" s="30" t="str">
        <f ca="1">IFERROR(__xludf.DUMMYFUNCTION("""COMPUTED_VALUE"""),"activo")</f>
        <v>activo</v>
      </c>
      <c r="I1314" s="29"/>
      <c r="J1314" s="29"/>
      <c r="K1314" s="29"/>
      <c r="L1314" s="30" t="str">
        <f ca="1">IFERROR(__xludf.DUMMYFUNCTION("""COMPUTED_VALUE"""),"No")</f>
        <v>No</v>
      </c>
      <c r="M1314" s="30" t="str">
        <f ca="1">IFERROR(__xludf.DUMMYFUNCTION("""COMPUTED_VALUE"""),"50105210")</f>
        <v>50105210</v>
      </c>
      <c r="N1314" s="30" t="str">
        <f ca="1">IFERROR(__xludf.DUMMYFUNCTION("""COMPUTED_VALUE"""),"SAN RAFAEL  (CIUDAD DE SAN RAFAEL)")</f>
        <v>SAN RAFAEL  (CIUDAD DE SAN RAFAEL)</v>
      </c>
      <c r="O1314" s="30" t="str">
        <f ca="1">IFERROR(__xludf.DUMMYFUNCTION("""COMPUTED_VALUE"""),"50105")</f>
        <v>50105</v>
      </c>
      <c r="P1314" s="30" t="str">
        <f ca="1">IFERROR(__xludf.DUMMYFUNCTION("""COMPUTED_VALUE"""),"SAN RAFAEL")</f>
        <v>SAN RAFAEL</v>
      </c>
      <c r="Q1314" s="30" t="str">
        <f ca="1">IFERROR(__xludf.DUMMYFUNCTION("""COMPUTED_VALUE"""),"-34.628794")</f>
        <v>-34.628794</v>
      </c>
      <c r="R1314" s="30" t="str">
        <f ca="1">IFERROR(__xludf.DUMMYFUNCTION("""COMPUTED_VALUE"""),"-68.31116")</f>
        <v>-68.31116</v>
      </c>
      <c r="S1314" s="30" t="str">
        <f ca="1">IFERROR(__xludf.DUMMYFUNCTION("""COMPUTED_VALUE"""),"Municipal")</f>
        <v>Municipal</v>
      </c>
      <c r="T1314" s="29"/>
    </row>
    <row r="1315" spans="1:20" ht="15.75" customHeight="1" x14ac:dyDescent="0.25">
      <c r="A1315" s="30" t="str">
        <f ca="1">IFERROR(__xludf.DUMMYFUNCTION("""COMPUTED_VALUE"""),"50501052258590")</f>
        <v>50501052258590</v>
      </c>
      <c r="B1315" s="30" t="str">
        <f ca="1">IFERROR(__xludf.DUMMYFUNCTION("""COMPUTED_VALUE"""),"C.A.P.S. 327 CENTRO MUNICIPAL BARRIO CONSTITUCION.-")</f>
        <v>C.A.P.S. 327 CENTRO MUNICIPAL BARRIO CONSTITUCION.-</v>
      </c>
      <c r="C1315" s="30" t="str">
        <f ca="1">IFERROR(__xludf.DUMMYFUNCTION("""COMPUTED_VALUE"""),"Mendoza")</f>
        <v>Mendoza</v>
      </c>
      <c r="D1315" s="30" t="str">
        <f ca="1">IFERROR(__xludf.DUMMYFUNCTION("""COMPUTED_VALUE"""),"50")</f>
        <v>50</v>
      </c>
      <c r="E1315" s="30" t="str">
        <f ca="1">IFERROR(__xludf.DUMMYFUNCTION("""COMPUTED_VALUE"""),"")</f>
        <v/>
      </c>
      <c r="F1315" s="29"/>
      <c r="G1315" s="29"/>
      <c r="H1315" s="30" t="str">
        <f ca="1">IFERROR(__xludf.DUMMYFUNCTION("""COMPUTED_VALUE"""),"activo")</f>
        <v>activo</v>
      </c>
      <c r="I1315" s="29"/>
      <c r="J1315" s="29"/>
      <c r="K1315" s="29"/>
      <c r="L1315" s="30" t="str">
        <f ca="1">IFERROR(__xludf.DUMMYFUNCTION("""COMPUTED_VALUE"""),"No")</f>
        <v>No</v>
      </c>
      <c r="M1315" s="30" t="str">
        <f ca="1">IFERROR(__xludf.DUMMYFUNCTION("""COMPUTED_VALUE"""),"50105210")</f>
        <v>50105210</v>
      </c>
      <c r="N1315" s="30" t="str">
        <f ca="1">IFERROR(__xludf.DUMMYFUNCTION("""COMPUTED_VALUE"""),"SAN RAFAEL  (CIUDAD DE SAN RAFAEL)")</f>
        <v>SAN RAFAEL  (CIUDAD DE SAN RAFAEL)</v>
      </c>
      <c r="O1315" s="30" t="str">
        <f ca="1">IFERROR(__xludf.DUMMYFUNCTION("""COMPUTED_VALUE"""),"50105")</f>
        <v>50105</v>
      </c>
      <c r="P1315" s="30" t="str">
        <f ca="1">IFERROR(__xludf.DUMMYFUNCTION("""COMPUTED_VALUE"""),"SAN RAFAEL")</f>
        <v>SAN RAFAEL</v>
      </c>
      <c r="Q1315" s="30" t="str">
        <f ca="1">IFERROR(__xludf.DUMMYFUNCTION("""COMPUTED_VALUE"""),"-34.608189")</f>
        <v>-34.608189</v>
      </c>
      <c r="R1315" s="30" t="str">
        <f ca="1">IFERROR(__xludf.DUMMYFUNCTION("""COMPUTED_VALUE"""),"-68.323069")</f>
        <v>-68.323069</v>
      </c>
      <c r="S1315" s="30" t="str">
        <f ca="1">IFERROR(__xludf.DUMMYFUNCTION("""COMPUTED_VALUE"""),"Municipal")</f>
        <v>Municipal</v>
      </c>
      <c r="T1315" s="29"/>
    </row>
    <row r="1316" spans="1:20" ht="15.75" customHeight="1" x14ac:dyDescent="0.25">
      <c r="A1316" s="30" t="str">
        <f ca="1">IFERROR(__xludf.DUMMYFUNCTION("""COMPUTED_VALUE"""),"50501122157120")</f>
        <v>50501122157120</v>
      </c>
      <c r="B1316" s="30" t="str">
        <f ca="1">IFERROR(__xludf.DUMMYFUNCTION("""COMPUTED_VALUE"""),"C.A.P.S. 073 ORLANDO V. GARCIA ALONSO.-")</f>
        <v>C.A.P.S. 073 ORLANDO V. GARCIA ALONSO.-</v>
      </c>
      <c r="C1316" s="30" t="str">
        <f ca="1">IFERROR(__xludf.DUMMYFUNCTION("""COMPUTED_VALUE"""),"Mendoza")</f>
        <v>Mendoza</v>
      </c>
      <c r="D1316" s="30" t="str">
        <f ca="1">IFERROR(__xludf.DUMMYFUNCTION("""COMPUTED_VALUE"""),"50")</f>
        <v>50</v>
      </c>
      <c r="E1316" s="30" t="str">
        <f ca="1">IFERROR(__xludf.DUMMYFUNCTION("""COMPUTED_VALUE"""),"")</f>
        <v/>
      </c>
      <c r="F1316" s="29"/>
      <c r="G1316" s="29"/>
      <c r="H1316" s="30" t="str">
        <f ca="1">IFERROR(__xludf.DUMMYFUNCTION("""COMPUTED_VALUE"""),"activo")</f>
        <v>activo</v>
      </c>
      <c r="I1316" s="29"/>
      <c r="J1316" s="29"/>
      <c r="K1316" s="29"/>
      <c r="L1316" s="30" t="str">
        <f ca="1">IFERROR(__xludf.DUMMYFUNCTION("""COMPUTED_VALUE"""),"No")</f>
        <v>No</v>
      </c>
      <c r="M1316" s="30" t="str">
        <f ca="1">IFERROR(__xludf.DUMMYFUNCTION("""COMPUTED_VALUE"""),"50112050000")</f>
        <v>50112050000</v>
      </c>
      <c r="N1316" s="30" t="str">
        <f ca="1">IFERROR(__xludf.DUMMYFUNCTION("""COMPUTED_VALUE"""),"LAS CATITAS")</f>
        <v>LAS CATITAS</v>
      </c>
      <c r="O1316" s="30" t="str">
        <f ca="1">IFERROR(__xludf.DUMMYFUNCTION("""COMPUTED_VALUE"""),"50112")</f>
        <v>50112</v>
      </c>
      <c r="P1316" s="30" t="str">
        <f ca="1">IFERROR(__xludf.DUMMYFUNCTION("""COMPUTED_VALUE"""),"SANTA ROSA")</f>
        <v>SANTA ROSA</v>
      </c>
      <c r="Q1316" s="30" t="str">
        <f ca="1">IFERROR(__xludf.DUMMYFUNCTION("""COMPUTED_VALUE"""),"-33.30016497")</f>
        <v>-33.30016497</v>
      </c>
      <c r="R1316" s="30" t="str">
        <f ca="1">IFERROR(__xludf.DUMMYFUNCTION("""COMPUTED_VALUE"""),"-68.04433965")</f>
        <v>-68.04433965</v>
      </c>
      <c r="S1316" s="30" t="str">
        <f ca="1">IFERROR(__xludf.DUMMYFUNCTION("""COMPUTED_VALUE"""),"Provincial")</f>
        <v>Provincial</v>
      </c>
      <c r="T1316" s="30" t="str">
        <f ca="1">IFERROR(__xludf.DUMMYFUNCTION("""COMPUTED_VALUE"""),"-")</f>
        <v>-</v>
      </c>
    </row>
    <row r="1317" spans="1:20" ht="15.75" customHeight="1" x14ac:dyDescent="0.25">
      <c r="A1317" s="30" t="str">
        <f ca="1">IFERROR(__xludf.DUMMYFUNCTION("""COMPUTED_VALUE"""),"50501192157137")</f>
        <v>50501192157137</v>
      </c>
      <c r="B1317" s="30" t="str">
        <f ca="1">IFERROR(__xludf.DUMMYFUNCTION("""COMPUTED_VALUE"""),"C.A.P.S. 091 COLONIA LAS ROSAS.-")</f>
        <v>C.A.P.S. 091 COLONIA LAS ROSAS.-</v>
      </c>
      <c r="C1317" s="30" t="str">
        <f ca="1">IFERROR(__xludf.DUMMYFUNCTION("""COMPUTED_VALUE"""),"Mendoza")</f>
        <v>Mendoza</v>
      </c>
      <c r="D1317" s="30" t="str">
        <f ca="1">IFERROR(__xludf.DUMMYFUNCTION("""COMPUTED_VALUE"""),"50")</f>
        <v>50</v>
      </c>
      <c r="E1317" s="30" t="str">
        <f ca="1">IFERROR(__xludf.DUMMYFUNCTION("""COMPUTED_VALUE"""),"")</f>
        <v/>
      </c>
      <c r="F1317" s="29"/>
      <c r="G1317" s="29"/>
      <c r="H1317" s="30" t="str">
        <f ca="1">IFERROR(__xludf.DUMMYFUNCTION("""COMPUTED_VALUE"""),"activo")</f>
        <v>activo</v>
      </c>
      <c r="I1317" s="29"/>
      <c r="J1317" s="29"/>
      <c r="K1317" s="29"/>
      <c r="L1317" s="30" t="str">
        <f ca="1">IFERROR(__xludf.DUMMYFUNCTION("""COMPUTED_VALUE"""),"No")</f>
        <v>No</v>
      </c>
      <c r="M1317" s="30" t="str">
        <f ca="1">IFERROR(__xludf.DUMMYFUNCTION("""COMPUTED_VALUE"""),"50119030000")</f>
        <v>50119030000</v>
      </c>
      <c r="N1317" s="30" t="str">
        <f ca="1">IFERROR(__xludf.DUMMYFUNCTION("""COMPUTED_VALUE"""),"COLONIA LAS ROSAS")</f>
        <v>COLONIA LAS ROSAS</v>
      </c>
      <c r="O1317" s="30" t="str">
        <f ca="1">IFERROR(__xludf.DUMMYFUNCTION("""COMPUTED_VALUE"""),"50119")</f>
        <v>50119</v>
      </c>
      <c r="P1317" s="30" t="str">
        <f ca="1">IFERROR(__xludf.DUMMYFUNCTION("""COMPUTED_VALUE"""),"TUNUYÁN")</f>
        <v>TUNUYÁN</v>
      </c>
      <c r="Q1317" s="30" t="str">
        <f ca="1">IFERROR(__xludf.DUMMYFUNCTION("""COMPUTED_VALUE"""),"-33.60771021")</f>
        <v>-33.60771021</v>
      </c>
      <c r="R1317" s="30" t="str">
        <f ca="1">IFERROR(__xludf.DUMMYFUNCTION("""COMPUTED_VALUE"""),"-69.10596728")</f>
        <v>-69.10596728</v>
      </c>
      <c r="S1317" s="30" t="str">
        <f ca="1">IFERROR(__xludf.DUMMYFUNCTION("""COMPUTED_VALUE"""),"Provincial")</f>
        <v>Provincial</v>
      </c>
      <c r="T1317" s="30" t="str">
        <f ca="1">IFERROR(__xludf.DUMMYFUNCTION("""COMPUTED_VALUE"""),"-")</f>
        <v>-</v>
      </c>
    </row>
    <row r="1318" spans="1:20" ht="15.75" customHeight="1" x14ac:dyDescent="0.25">
      <c r="A1318" s="30" t="str">
        <f ca="1">IFERROR(__xludf.DUMMYFUNCTION("""COMPUTED_VALUE"""),"50501192157144")</f>
        <v>50501192157144</v>
      </c>
      <c r="B1318" s="30" t="str">
        <f ca="1">IFERROR(__xludf.DUMMYFUNCTION("""COMPUTED_VALUE"""),"C.A.P.S. 098 JUAN J. DELGADO.-")</f>
        <v>C.A.P.S. 098 JUAN J. DELGADO.-</v>
      </c>
      <c r="C1318" s="30" t="str">
        <f ca="1">IFERROR(__xludf.DUMMYFUNCTION("""COMPUTED_VALUE"""),"Mendoza")</f>
        <v>Mendoza</v>
      </c>
      <c r="D1318" s="30" t="str">
        <f ca="1">IFERROR(__xludf.DUMMYFUNCTION("""COMPUTED_VALUE"""),"50")</f>
        <v>50</v>
      </c>
      <c r="E1318" s="30" t="str">
        <f ca="1">IFERROR(__xludf.DUMMYFUNCTION("""COMPUTED_VALUE"""),"")</f>
        <v/>
      </c>
      <c r="F1318" s="29"/>
      <c r="G1318" s="29"/>
      <c r="H1318" s="30" t="str">
        <f ca="1">IFERROR(__xludf.DUMMYFUNCTION("""COMPUTED_VALUE"""),"activo")</f>
        <v>activo</v>
      </c>
      <c r="I1318" s="29"/>
      <c r="J1318" s="29"/>
      <c r="K1318" s="29"/>
      <c r="L1318" s="30" t="str">
        <f ca="1">IFERROR(__xludf.DUMMYFUNCTION("""COMPUTED_VALUE"""),"No")</f>
        <v>No</v>
      </c>
      <c r="M1318" s="30" t="str">
        <f ca="1">IFERROR(__xludf.DUMMYFUNCTION("""COMPUTED_VALUE"""),"50119070000")</f>
        <v>50119070000</v>
      </c>
      <c r="N1318" s="30" t="str">
        <f ca="1">IFERROR(__xludf.DUMMYFUNCTION("""COMPUTED_VALUE"""),"VISTA FLORES")</f>
        <v>VISTA FLORES</v>
      </c>
      <c r="O1318" s="30" t="str">
        <f ca="1">IFERROR(__xludf.DUMMYFUNCTION("""COMPUTED_VALUE"""),"50119")</f>
        <v>50119</v>
      </c>
      <c r="P1318" s="30" t="str">
        <f ca="1">IFERROR(__xludf.DUMMYFUNCTION("""COMPUTED_VALUE"""),"TUNUYÁN")</f>
        <v>TUNUYÁN</v>
      </c>
      <c r="Q1318" s="30" t="str">
        <f ca="1">IFERROR(__xludf.DUMMYFUNCTION("""COMPUTED_VALUE"""),"-33.650965")</f>
        <v>-33.650965</v>
      </c>
      <c r="R1318" s="30" t="str">
        <f ca="1">IFERROR(__xludf.DUMMYFUNCTION("""COMPUTED_VALUE"""),"-69.156726")</f>
        <v>-69.156726</v>
      </c>
      <c r="S1318" s="30" t="str">
        <f ca="1">IFERROR(__xludf.DUMMYFUNCTION("""COMPUTED_VALUE"""),"Provincial")</f>
        <v>Provincial</v>
      </c>
      <c r="T1318" s="30" t="str">
        <f ca="1">IFERROR(__xludf.DUMMYFUNCTION("""COMPUTED_VALUE"""),"-")</f>
        <v>-</v>
      </c>
    </row>
    <row r="1319" spans="1:20" ht="15.75" customHeight="1" x14ac:dyDescent="0.25">
      <c r="A1319" s="30" t="str">
        <f ca="1">IFERROR(__xludf.DUMMYFUNCTION("""COMPUTED_VALUE"""),"50501052258588")</f>
        <v>50501052258588</v>
      </c>
      <c r="B1319" s="30" t="str">
        <f ca="1">IFERROR(__xludf.DUMMYFUNCTION("""COMPUTED_VALUE"""),"C.A.P.S. 324 CENTRO MUNICIPAL LOS CLAVELES.-")</f>
        <v>C.A.P.S. 324 CENTRO MUNICIPAL LOS CLAVELES.-</v>
      </c>
      <c r="C1319" s="30" t="str">
        <f ca="1">IFERROR(__xludf.DUMMYFUNCTION("""COMPUTED_VALUE"""),"Mendoza")</f>
        <v>Mendoza</v>
      </c>
      <c r="D1319" s="30" t="str">
        <f ca="1">IFERROR(__xludf.DUMMYFUNCTION("""COMPUTED_VALUE"""),"50")</f>
        <v>50</v>
      </c>
      <c r="E1319" s="30" t="str">
        <f ca="1">IFERROR(__xludf.DUMMYFUNCTION("""COMPUTED_VALUE"""),"")</f>
        <v/>
      </c>
      <c r="F1319" s="29"/>
      <c r="G1319" s="29"/>
      <c r="H1319" s="30" t="str">
        <f ca="1">IFERROR(__xludf.DUMMYFUNCTION("""COMPUTED_VALUE"""),"inactivo")</f>
        <v>inactivo</v>
      </c>
      <c r="I1319" s="29"/>
      <c r="J1319" s="29"/>
      <c r="K1319" s="29"/>
      <c r="L1319" s="30" t="str">
        <f ca="1">IFERROR(__xludf.DUMMYFUNCTION("""COMPUTED_VALUE"""),"No")</f>
        <v>No</v>
      </c>
      <c r="M1319" s="30" t="str">
        <f ca="1">IFERROR(__xludf.DUMMYFUNCTION("""COMPUTED_VALUE"""),"50105290")</f>
        <v>50105290</v>
      </c>
      <c r="N1319" s="30" t="str">
        <f ca="1">IFERROR(__xludf.DUMMYFUNCTION("""COMPUTED_VALUE"""),"CAÑADA SECA")</f>
        <v>CAÑADA SECA</v>
      </c>
      <c r="O1319" s="30" t="str">
        <f ca="1">IFERROR(__xludf.DUMMYFUNCTION("""COMPUTED_VALUE"""),"50105")</f>
        <v>50105</v>
      </c>
      <c r="P1319" s="30" t="str">
        <f ca="1">IFERROR(__xludf.DUMMYFUNCTION("""COMPUTED_VALUE"""),"SAN RAFAEL")</f>
        <v>SAN RAFAEL</v>
      </c>
      <c r="Q1319" s="30" t="str">
        <f ca="1">IFERROR(__xludf.DUMMYFUNCTION("""COMPUTED_VALUE"""),"-34.58347506")</f>
        <v>-34.58347506</v>
      </c>
      <c r="R1319" s="30" t="str">
        <f ca="1">IFERROR(__xludf.DUMMYFUNCTION("""COMPUTED_VALUE"""),"-68.33496094")</f>
        <v>-68.33496094</v>
      </c>
      <c r="S1319" s="30" t="str">
        <f ca="1">IFERROR(__xludf.DUMMYFUNCTION("""COMPUTED_VALUE"""),"Municipal")</f>
        <v>Municipal</v>
      </c>
      <c r="T1319" s="29"/>
    </row>
    <row r="1320" spans="1:20" ht="15.75" customHeight="1" x14ac:dyDescent="0.25">
      <c r="A1320" s="30" t="str">
        <f ca="1">IFERROR(__xludf.DUMMYFUNCTION("""COMPUTED_VALUE"""),"50500072258740")</f>
        <v>50500072258740</v>
      </c>
      <c r="B1320" s="30" t="str">
        <f ca="1">IFERROR(__xludf.DUMMYFUNCTION("""COMPUTED_VALUE"""),"CENTRO DE SALUD MUNICIPAL 300 ARTURO OÑATIVIA.-")</f>
        <v>CENTRO DE SALUD MUNICIPAL 300 ARTURO OÑATIVIA.-</v>
      </c>
      <c r="C1320" s="30" t="str">
        <f ca="1">IFERROR(__xludf.DUMMYFUNCTION("""COMPUTED_VALUE"""),"Mendoza")</f>
        <v>Mendoza</v>
      </c>
      <c r="D1320" s="30" t="str">
        <f ca="1">IFERROR(__xludf.DUMMYFUNCTION("""COMPUTED_VALUE"""),"50")</f>
        <v>50</v>
      </c>
      <c r="E1320" s="30" t="str">
        <f ca="1">IFERROR(__xludf.DUMMYFUNCTION("""COMPUTED_VALUE"""),"")</f>
        <v/>
      </c>
      <c r="F1320" s="29"/>
      <c r="G1320" s="29"/>
      <c r="H1320" s="30" t="str">
        <f ca="1">IFERROR(__xludf.DUMMYFUNCTION("""COMPUTED_VALUE"""),"activo")</f>
        <v>activo</v>
      </c>
      <c r="I1320" s="29"/>
      <c r="J1320" s="29"/>
      <c r="K1320" s="29"/>
      <c r="L1320" s="30" t="str">
        <f ca="1">IFERROR(__xludf.DUMMYFUNCTION("""COMPUTED_VALUE"""),"No")</f>
        <v>No</v>
      </c>
      <c r="M1320" s="30" t="str">
        <f ca="1">IFERROR(__xludf.DUMMYFUNCTION("""COMPUTED_VALUE"""),"50007010011")</f>
        <v>50007010011</v>
      </c>
      <c r="N1320" s="30" t="str">
        <f ca="1">IFERROR(__xludf.DUMMYFUNCTION("""COMPUTED_VALUE"""),"11A. SECCION")</f>
        <v>11A. SECCION</v>
      </c>
      <c r="O1320" s="30" t="str">
        <f ca="1">IFERROR(__xludf.DUMMYFUNCTION("""COMPUTED_VALUE"""),"507")</f>
        <v>507</v>
      </c>
      <c r="P1320" s="30" t="str">
        <f ca="1">IFERROR(__xludf.DUMMYFUNCTION("""COMPUTED_VALUE"""),"CAPITAL")</f>
        <v>CAPITAL</v>
      </c>
      <c r="Q1320" s="30" t="str">
        <f ca="1">IFERROR(__xludf.DUMMYFUNCTION("""COMPUTED_VALUE"""),"-32.88881316")</f>
        <v>-32.88881316</v>
      </c>
      <c r="R1320" s="30" t="str">
        <f ca="1">IFERROR(__xludf.DUMMYFUNCTION("""COMPUTED_VALUE"""),"-68.9056921")</f>
        <v>-68.9056921</v>
      </c>
      <c r="S1320" s="30" t="str">
        <f ca="1">IFERROR(__xludf.DUMMYFUNCTION("""COMPUTED_VALUE"""),"Municipal")</f>
        <v>Municipal</v>
      </c>
      <c r="T1320" s="29"/>
    </row>
    <row r="1321" spans="1:20" ht="15.75" customHeight="1" x14ac:dyDescent="0.25">
      <c r="A1321" s="30" t="str">
        <f ca="1">IFERROR(__xludf.DUMMYFUNCTION("""COMPUTED_VALUE"""),"50500352958760")</f>
        <v>50500352958760</v>
      </c>
      <c r="B1321" s="30" t="str">
        <f ca="1">IFERROR(__xludf.DUMMYFUNCTION("""COMPUTED_VALUE"""),"C.I.C. 921 LOS BARRIALES.-")</f>
        <v>C.I.C. 921 LOS BARRIALES.-</v>
      </c>
      <c r="C1321" s="30" t="str">
        <f ca="1">IFERROR(__xludf.DUMMYFUNCTION("""COMPUTED_VALUE"""),"Mendoza")</f>
        <v>Mendoza</v>
      </c>
      <c r="D1321" s="30" t="str">
        <f ca="1">IFERROR(__xludf.DUMMYFUNCTION("""COMPUTED_VALUE"""),"50")</f>
        <v>50</v>
      </c>
      <c r="E1321" s="30" t="str">
        <f ca="1">IFERROR(__xludf.DUMMYFUNCTION("""COMPUTED_VALUE"""),"")</f>
        <v/>
      </c>
      <c r="F1321" s="29"/>
      <c r="G1321" s="29"/>
      <c r="H1321" s="30" t="str">
        <f ca="1">IFERROR(__xludf.DUMMYFUNCTION("""COMPUTED_VALUE"""),"inactivo")</f>
        <v>inactivo</v>
      </c>
      <c r="I1321" s="29"/>
      <c r="J1321" s="29"/>
      <c r="K1321" s="29"/>
      <c r="L1321" s="30" t="str">
        <f ca="1">IFERROR(__xludf.DUMMYFUNCTION("""COMPUTED_VALUE"""),"No")</f>
        <v>No</v>
      </c>
      <c r="M1321" s="30" t="str">
        <f ca="1">IFERROR(__xludf.DUMMYFUNCTION("""COMPUTED_VALUE"""),"50035040000")</f>
        <v>50035040000</v>
      </c>
      <c r="N1321" s="30" t="str">
        <f ca="1">IFERROR(__xludf.DUMMYFUNCTION("""COMPUTED_VALUE"""),"LOS BARRIALES")</f>
        <v>LOS BARRIALES</v>
      </c>
      <c r="O1321" s="30" t="str">
        <f ca="1">IFERROR(__xludf.DUMMYFUNCTION("""COMPUTED_VALUE"""),"5035")</f>
        <v>5035</v>
      </c>
      <c r="P1321" s="30" t="str">
        <f ca="1">IFERROR(__xludf.DUMMYFUNCTION("""COMPUTED_VALUE"""),"JUNÍN")</f>
        <v>JUNÍN</v>
      </c>
      <c r="Q1321" s="30" t="str">
        <f ca="1">IFERROR(__xludf.DUMMYFUNCTION("""COMPUTED_VALUE"""),"-33.1507745")</f>
        <v>-33.1507745</v>
      </c>
      <c r="R1321" s="30" t="str">
        <f ca="1">IFERROR(__xludf.DUMMYFUNCTION("""COMPUTED_VALUE"""),"-68.49941254")</f>
        <v>-68.49941254</v>
      </c>
      <c r="S1321" s="30" t="str">
        <f ca="1">IFERROR(__xludf.DUMMYFUNCTION("""COMPUTED_VALUE"""),"Provincial")</f>
        <v>Provincial</v>
      </c>
      <c r="T1321" s="30" t="str">
        <f ca="1">IFERROR(__xludf.DUMMYFUNCTION("""COMPUTED_VALUE"""),"-")</f>
        <v>-</v>
      </c>
    </row>
    <row r="1322" spans="1:20" ht="15.75" customHeight="1" x14ac:dyDescent="0.25">
      <c r="A1322" s="30" t="str">
        <f ca="1">IFERROR(__xludf.DUMMYFUNCTION("""COMPUTED_VALUE"""),"50501262157138")</f>
        <v>50501262157138</v>
      </c>
      <c r="B1322" s="30" t="str">
        <f ca="1">IFERROR(__xludf.DUMMYFUNCTION("""COMPUTED_VALUE"""),"C.A.P.S. 092 SAN JOSE.-")</f>
        <v>C.A.P.S. 092 SAN JOSE.-</v>
      </c>
      <c r="C1322" s="30" t="str">
        <f ca="1">IFERROR(__xludf.DUMMYFUNCTION("""COMPUTED_VALUE"""),"Mendoza")</f>
        <v>Mendoza</v>
      </c>
      <c r="D1322" s="30" t="str">
        <f ca="1">IFERROR(__xludf.DUMMYFUNCTION("""COMPUTED_VALUE"""),"50")</f>
        <v>50</v>
      </c>
      <c r="E1322" s="30" t="str">
        <f ca="1">IFERROR(__xludf.DUMMYFUNCTION("""COMPUTED_VALUE"""),"si")</f>
        <v>si</v>
      </c>
      <c r="F1322" s="29"/>
      <c r="G1322" s="29"/>
      <c r="H1322" s="30" t="str">
        <f ca="1">IFERROR(__xludf.DUMMYFUNCTION("""COMPUTED_VALUE"""),"activo")</f>
        <v>activo</v>
      </c>
      <c r="I1322" s="29"/>
      <c r="J1322" s="29"/>
      <c r="K1322" s="29"/>
      <c r="L1322" s="30" t="str">
        <f ca="1">IFERROR(__xludf.DUMMYFUNCTION("""COMPUTED_VALUE"""),"No")</f>
        <v>No</v>
      </c>
      <c r="M1322" s="30" t="str">
        <f ca="1">IFERROR(__xludf.DUMMYFUNCTION("""COMPUTED_VALUE"""),"50126050000")</f>
        <v>50126050000</v>
      </c>
      <c r="N1322" s="30" t="str">
        <f ca="1">IFERROR(__xludf.DUMMYFUNCTION("""COMPUTED_VALUE"""),"SAN JOSE")</f>
        <v>SAN JOSE</v>
      </c>
      <c r="O1322" s="30" t="str">
        <f ca="1">IFERROR(__xludf.DUMMYFUNCTION("""COMPUTED_VALUE"""),"50126")</f>
        <v>50126</v>
      </c>
      <c r="P1322" s="30" t="str">
        <f ca="1">IFERROR(__xludf.DUMMYFUNCTION("""COMPUTED_VALUE"""),"TUPUNGATO")</f>
        <v>TUPUNGATO</v>
      </c>
      <c r="Q1322" s="30" t="str">
        <f ca="1">IFERROR(__xludf.DUMMYFUNCTION("""COMPUTED_VALUE"""),"-33.29981736")</f>
        <v>-33.29981736</v>
      </c>
      <c r="R1322" s="30" t="str">
        <f ca="1">IFERROR(__xludf.DUMMYFUNCTION("""COMPUTED_VALUE"""),"-69.15060997")</f>
        <v>-69.15060997</v>
      </c>
      <c r="S1322" s="30" t="str">
        <f ca="1">IFERROR(__xludf.DUMMYFUNCTION("""COMPUTED_VALUE"""),"Provincial")</f>
        <v>Provincial</v>
      </c>
      <c r="T1322" s="30" t="str">
        <f ca="1">IFERROR(__xludf.DUMMYFUNCTION("""COMPUTED_VALUE"""),"-")</f>
        <v>-</v>
      </c>
    </row>
    <row r="1323" spans="1:20" ht="15.75" customHeight="1" x14ac:dyDescent="0.25">
      <c r="A1323" s="30" t="str">
        <f ca="1">IFERROR(__xludf.DUMMYFUNCTION("""COMPUTED_VALUE"""),"50500072257283")</f>
        <v>50500072257283</v>
      </c>
      <c r="B1323" s="30" t="str">
        <f ca="1">IFERROR(__xludf.DUMMYFUNCTION("""COMPUTED_VALUE"""),"caps buscar rectificatoria de la provincia")</f>
        <v>caps buscar rectificatoria de la provincia</v>
      </c>
      <c r="C1323" s="30" t="str">
        <f ca="1">IFERROR(__xludf.DUMMYFUNCTION("""COMPUTED_VALUE"""),"Mendoza")</f>
        <v>Mendoza</v>
      </c>
      <c r="D1323" s="30" t="str">
        <f ca="1">IFERROR(__xludf.DUMMYFUNCTION("""COMPUTED_VALUE"""),"50")</f>
        <v>50</v>
      </c>
      <c r="E1323" s="30" t="str">
        <f ca="1">IFERROR(__xludf.DUMMYFUNCTION("""COMPUTED_VALUE"""),"")</f>
        <v/>
      </c>
      <c r="F1323" s="29"/>
      <c r="G1323" s="29"/>
      <c r="H1323" s="30" t="str">
        <f ca="1">IFERROR(__xludf.DUMMYFUNCTION("""COMPUTED_VALUE"""),"inactivo")</f>
        <v>inactivo</v>
      </c>
      <c r="I1323" s="30" t="str">
        <f ca="1">IFERROR(__xludf.DUMMYFUNCTION("""COMPUTED_VALUE"""),"no coincide sisa y nombre 50500212157286, es elC.A.P.S. arturo oñativia de acuerdo a circular 2. cambió de codigo")</f>
        <v>no coincide sisa y nombre 50500212157286, es elC.A.P.S. arturo oñativia de acuerdo a circular 2. cambió de codigo</v>
      </c>
      <c r="J1323" s="29"/>
      <c r="K1323" s="29"/>
      <c r="L1323" s="30" t="str">
        <f ca="1">IFERROR(__xludf.DUMMYFUNCTION("""COMPUTED_VALUE"""),"No")</f>
        <v>No</v>
      </c>
      <c r="M1323" s="30" t="str">
        <f ca="1">IFERROR(__xludf.DUMMYFUNCTION("""COMPUTED_VALUE"""),"#N/A")</f>
        <v>#N/A</v>
      </c>
      <c r="N1323" s="30" t="str">
        <f ca="1">IFERROR(__xludf.DUMMYFUNCTION("""COMPUTED_VALUE"""),"#N/A")</f>
        <v>#N/A</v>
      </c>
      <c r="O1323" s="30" t="str">
        <f ca="1">IFERROR(__xludf.DUMMYFUNCTION("""COMPUTED_VALUE"""),"#N/A")</f>
        <v>#N/A</v>
      </c>
      <c r="P1323" s="30" t="str">
        <f ca="1">IFERROR(__xludf.DUMMYFUNCTION("""COMPUTED_VALUE"""),"#N/A")</f>
        <v>#N/A</v>
      </c>
      <c r="Q1323" s="30" t="str">
        <f ca="1">IFERROR(__xludf.DUMMYFUNCTION("""COMPUTED_VALUE"""),"#N/A")</f>
        <v>#N/A</v>
      </c>
      <c r="R1323" s="30" t="str">
        <f ca="1">IFERROR(__xludf.DUMMYFUNCTION("""COMPUTED_VALUE"""),"#N/A")</f>
        <v>#N/A</v>
      </c>
      <c r="S1323" s="30" t="str">
        <f ca="1">IFERROR(__xludf.DUMMYFUNCTION("""COMPUTED_VALUE"""),"#N/A")</f>
        <v>#N/A</v>
      </c>
      <c r="T1323" s="29"/>
    </row>
    <row r="1324" spans="1:20" ht="15.75" customHeight="1" x14ac:dyDescent="0.25">
      <c r="A1324" s="30" t="str">
        <f ca="1">IFERROR(__xludf.DUMMYFUNCTION("""COMPUTED_VALUE"""),"50500212157118")</f>
        <v>50500212157118</v>
      </c>
      <c r="B1324" s="30" t="str">
        <f ca="1">IFERROR(__xludf.DUMMYFUNCTION("""COMPUTED_VALUE"""),"C.A.P.S. 008 BARRIO HUARPES II.-")</f>
        <v>C.A.P.S. 008 BARRIO HUARPES II.-</v>
      </c>
      <c r="C1324" s="30" t="str">
        <f ca="1">IFERROR(__xludf.DUMMYFUNCTION("""COMPUTED_VALUE"""),"Mendoza")</f>
        <v>Mendoza</v>
      </c>
      <c r="D1324" s="30" t="str">
        <f ca="1">IFERROR(__xludf.DUMMYFUNCTION("""COMPUTED_VALUE"""),"50")</f>
        <v>50</v>
      </c>
      <c r="E1324" s="30" t="str">
        <f ca="1">IFERROR(__xludf.DUMMYFUNCTION("""COMPUTED_VALUE"""),"")</f>
        <v/>
      </c>
      <c r="F1324" s="29"/>
      <c r="G1324" s="29"/>
      <c r="H1324" s="30" t="str">
        <f ca="1">IFERROR(__xludf.DUMMYFUNCTION("""COMPUTED_VALUE"""),"activo")</f>
        <v>activo</v>
      </c>
      <c r="I1324" s="29"/>
      <c r="J1324" s="29"/>
      <c r="K1324" s="29"/>
      <c r="L1324" s="30" t="str">
        <f ca="1">IFERROR(__xludf.DUMMYFUNCTION("""COMPUTED_VALUE"""),"No")</f>
        <v>No</v>
      </c>
      <c r="M1324" s="30" t="str">
        <f ca="1">IFERROR(__xludf.DUMMYFUNCTION("""COMPUTED_VALUE"""),"50021010003")</f>
        <v>50021010003</v>
      </c>
      <c r="N1324" s="30" t="str">
        <f ca="1">IFERROR(__xludf.DUMMYFUNCTION("""COMPUTED_VALUE"""),"LAS TORTUGAS")</f>
        <v>LAS TORTUGAS</v>
      </c>
      <c r="O1324" s="30" t="str">
        <f ca="1">IFERROR(__xludf.DUMMYFUNCTION("""COMPUTED_VALUE"""),"5021")</f>
        <v>5021</v>
      </c>
      <c r="P1324" s="30" t="str">
        <f ca="1">IFERROR(__xludf.DUMMYFUNCTION("""COMPUTED_VALUE"""),"GODOY CRUZ")</f>
        <v>GODOY CRUZ</v>
      </c>
      <c r="Q1324" s="30" t="str">
        <f ca="1">IFERROR(__xludf.DUMMYFUNCTION("""COMPUTED_VALUE"""),"-32.95781245")</f>
        <v>-32.95781245</v>
      </c>
      <c r="R1324" s="30" t="str">
        <f ca="1">IFERROR(__xludf.DUMMYFUNCTION("""COMPUTED_VALUE"""),"-68.83858345")</f>
        <v>-68.83858345</v>
      </c>
      <c r="S1324" s="30" t="str">
        <f ca="1">IFERROR(__xludf.DUMMYFUNCTION("""COMPUTED_VALUE"""),"Provincial")</f>
        <v>Provincial</v>
      </c>
      <c r="T1324" s="30" t="str">
        <f ca="1">IFERROR(__xludf.DUMMYFUNCTION("""COMPUTED_VALUE"""),"-")</f>
        <v>-</v>
      </c>
    </row>
    <row r="1325" spans="1:20" ht="15.75" customHeight="1" x14ac:dyDescent="0.25">
      <c r="A1325" s="30" t="str">
        <f ca="1">IFERROR(__xludf.DUMMYFUNCTION("""COMPUTED_VALUE"""),"50500562157149")</f>
        <v>50500562157149</v>
      </c>
      <c r="B1325" s="30" t="str">
        <f ca="1">IFERROR(__xludf.DUMMYFUNCTION("""COMPUTED_VALUE"""),"P.S. 511 LOS MEDANOS.-")</f>
        <v>P.S. 511 LOS MEDANOS.-</v>
      </c>
      <c r="C1325" s="30" t="str">
        <f ca="1">IFERROR(__xludf.DUMMYFUNCTION("""COMPUTED_VALUE"""),"Mendoza")</f>
        <v>Mendoza</v>
      </c>
      <c r="D1325" s="30" t="str">
        <f ca="1">IFERROR(__xludf.DUMMYFUNCTION("""COMPUTED_VALUE"""),"50")</f>
        <v>50</v>
      </c>
      <c r="E1325" s="30" t="str">
        <f ca="1">IFERROR(__xludf.DUMMYFUNCTION("""COMPUTED_VALUE"""),"si")</f>
        <v>si</v>
      </c>
      <c r="F1325" s="29"/>
      <c r="G1325" s="29"/>
      <c r="H1325" s="30" t="str">
        <f ca="1">IFERROR(__xludf.DUMMYFUNCTION("""COMPUTED_VALUE"""),"activo")</f>
        <v>activo</v>
      </c>
      <c r="I1325" s="29"/>
      <c r="J1325" s="29"/>
      <c r="K1325" s="29"/>
      <c r="L1325" s="30" t="str">
        <f ca="1">IFERROR(__xludf.DUMMYFUNCTION("""COMPUTED_VALUE"""),"No")</f>
        <v>No</v>
      </c>
      <c r="M1325" s="30" t="str">
        <f ca="1">IFERROR(__xludf.DUMMYFUNCTION("""COMPUTED_VALUE"""),"50056160000")</f>
        <v>50056160000</v>
      </c>
      <c r="N1325" s="30" t="str">
        <f ca="1">IFERROR(__xludf.DUMMYFUNCTION("""COMPUTED_VALUE"""),"VILLA TULUMAYA")</f>
        <v>VILLA TULUMAYA</v>
      </c>
      <c r="O1325" s="30" t="str">
        <f ca="1">IFERROR(__xludf.DUMMYFUNCTION("""COMPUTED_VALUE"""),"5056")</f>
        <v>5056</v>
      </c>
      <c r="P1325" s="30" t="str">
        <f ca="1">IFERROR(__xludf.DUMMYFUNCTION("""COMPUTED_VALUE"""),"LAVALLE")</f>
        <v>LAVALLE</v>
      </c>
      <c r="Q1325" s="30" t="str">
        <f ca="1">IFERROR(__xludf.DUMMYFUNCTION("""COMPUTED_VALUE"""),"-32.71453488")</f>
        <v>-32.71453488</v>
      </c>
      <c r="R1325" s="30" t="str">
        <f ca="1">IFERROR(__xludf.DUMMYFUNCTION("""COMPUTED_VALUE"""),"-68.5667038")</f>
        <v>-68.5667038</v>
      </c>
      <c r="S1325" s="30" t="str">
        <f ca="1">IFERROR(__xludf.DUMMYFUNCTION("""COMPUTED_VALUE"""),"Provincial")</f>
        <v>Provincial</v>
      </c>
      <c r="T1325" s="30" t="str">
        <f ca="1">IFERROR(__xludf.DUMMYFUNCTION("""COMPUTED_VALUE"""),"-")</f>
        <v>-</v>
      </c>
    </row>
    <row r="1326" spans="1:20" ht="15.75" customHeight="1" x14ac:dyDescent="0.25">
      <c r="A1326" s="30" t="str">
        <f ca="1">IFERROR(__xludf.DUMMYFUNCTION("""COMPUTED_VALUE"""),"50500562157160")</f>
        <v>50500562157160</v>
      </c>
      <c r="B1326" s="30" t="str">
        <f ca="1">IFERROR(__xludf.DUMMYFUNCTION("""COMPUTED_VALUE"""),"C.A.P.S. 046 LAGUNA DEL ROSARIO.-")</f>
        <v>C.A.P.S. 046 LAGUNA DEL ROSARIO.-</v>
      </c>
      <c r="C1326" s="30" t="str">
        <f ca="1">IFERROR(__xludf.DUMMYFUNCTION("""COMPUTED_VALUE"""),"Mendoza")</f>
        <v>Mendoza</v>
      </c>
      <c r="D1326" s="30" t="str">
        <f ca="1">IFERROR(__xludf.DUMMYFUNCTION("""COMPUTED_VALUE"""),"50")</f>
        <v>50</v>
      </c>
      <c r="E1326" s="30" t="str">
        <f ca="1">IFERROR(__xludf.DUMMYFUNCTION("""COMPUTED_VALUE"""),"si")</f>
        <v>si</v>
      </c>
      <c r="F1326" s="29"/>
      <c r="G1326" s="29"/>
      <c r="H1326" s="30" t="str">
        <f ca="1">IFERROR(__xludf.DUMMYFUNCTION("""COMPUTED_VALUE"""),"activo")</f>
        <v>activo</v>
      </c>
      <c r="I1326" s="29"/>
      <c r="J1326" s="29"/>
      <c r="K1326" s="29"/>
      <c r="L1326" s="30" t="str">
        <f ca="1">IFERROR(__xludf.DUMMYFUNCTION("""COMPUTED_VALUE"""),"No")</f>
        <v>No</v>
      </c>
      <c r="M1326" s="30" t="str">
        <f ca="1">IFERROR(__xludf.DUMMYFUNCTION("""COMPUTED_VALUE"""),"50056180")</f>
        <v>50056180</v>
      </c>
      <c r="N1326" s="30" t="str">
        <f ca="1">IFERROR(__xludf.DUMMYFUNCTION("""COMPUTED_VALUE"""),"LAGUNA DEL ROSARIO")</f>
        <v>LAGUNA DEL ROSARIO</v>
      </c>
      <c r="O1326" s="30" t="str">
        <f ca="1">IFERROR(__xludf.DUMMYFUNCTION("""COMPUTED_VALUE"""),"5056")</f>
        <v>5056</v>
      </c>
      <c r="P1326" s="30" t="str">
        <f ca="1">IFERROR(__xludf.DUMMYFUNCTION("""COMPUTED_VALUE"""),"LAVALLE")</f>
        <v>LAVALLE</v>
      </c>
      <c r="Q1326" s="30" t="str">
        <f ca="1">IFERROR(__xludf.DUMMYFUNCTION("""COMPUTED_VALUE"""),"-32.13404788")</f>
        <v>-32.13404788</v>
      </c>
      <c r="R1326" s="30" t="str">
        <f ca="1">IFERROR(__xludf.DUMMYFUNCTION("""COMPUTED_VALUE"""),"-68.21187973")</f>
        <v>-68.21187973</v>
      </c>
      <c r="S1326" s="30" t="str">
        <f ca="1">IFERROR(__xludf.DUMMYFUNCTION("""COMPUTED_VALUE"""),"Provincial")</f>
        <v>Provincial</v>
      </c>
      <c r="T1326" s="30" t="str">
        <f ca="1">IFERROR(__xludf.DUMMYFUNCTION("""COMPUTED_VALUE"""),"-")</f>
        <v>-</v>
      </c>
    </row>
    <row r="1327" spans="1:20" ht="15.75" customHeight="1" x14ac:dyDescent="0.25">
      <c r="A1327" s="30" t="str">
        <f ca="1">IFERROR(__xludf.DUMMYFUNCTION("""COMPUTED_VALUE"""),"50500772157080")</f>
        <v>50500772157080</v>
      </c>
      <c r="B1327" s="30" t="str">
        <f ca="1">IFERROR(__xludf.DUMMYFUNCTION("""COMPUTED_VALUE"""),"C.A.P.S. 129 BARRIO G. BASTIAS.-")</f>
        <v>C.A.P.S. 129 BARRIO G. BASTIAS.-</v>
      </c>
      <c r="C1327" s="30" t="str">
        <f ca="1">IFERROR(__xludf.DUMMYFUNCTION("""COMPUTED_VALUE"""),"Mendoza")</f>
        <v>Mendoza</v>
      </c>
      <c r="D1327" s="30" t="str">
        <f ca="1">IFERROR(__xludf.DUMMYFUNCTION("""COMPUTED_VALUE"""),"50")</f>
        <v>50</v>
      </c>
      <c r="E1327" s="30" t="str">
        <f ca="1">IFERROR(__xludf.DUMMYFUNCTION("""COMPUTED_VALUE"""),"")</f>
        <v/>
      </c>
      <c r="F1327" s="29"/>
      <c r="G1327" s="29"/>
      <c r="H1327" s="30" t="str">
        <f ca="1">IFERROR(__xludf.DUMMYFUNCTION("""COMPUTED_VALUE"""),"inactivo")</f>
        <v>inactivo</v>
      </c>
      <c r="I1327" s="30" t="str">
        <f ca="1">IFERROR(__xludf.DUMMYFUNCTION("""COMPUTED_VALUE"""),"no coincide sisa y nombre 129 bastias malargue de acuerdo a circular 2")</f>
        <v>no coincide sisa y nombre 129 bastias malargue de acuerdo a circular 2</v>
      </c>
      <c r="J1327" s="29"/>
      <c r="K1327" s="29"/>
      <c r="L1327" s="30" t="str">
        <f ca="1">IFERROR(__xludf.DUMMYFUNCTION("""COMPUTED_VALUE"""),"No")</f>
        <v>No</v>
      </c>
      <c r="M1327" s="30" t="str">
        <f ca="1">IFERROR(__xludf.DUMMYFUNCTION("""COMPUTED_VALUE"""),"#N/A")</f>
        <v>#N/A</v>
      </c>
      <c r="N1327" s="30" t="str">
        <f ca="1">IFERROR(__xludf.DUMMYFUNCTION("""COMPUTED_VALUE"""),"#N/A")</f>
        <v>#N/A</v>
      </c>
      <c r="O1327" s="30" t="str">
        <f ca="1">IFERROR(__xludf.DUMMYFUNCTION("""COMPUTED_VALUE"""),"#N/A")</f>
        <v>#N/A</v>
      </c>
      <c r="P1327" s="30" t="str">
        <f ca="1">IFERROR(__xludf.DUMMYFUNCTION("""COMPUTED_VALUE"""),"Malargüe")</f>
        <v>Malargüe</v>
      </c>
      <c r="Q1327" s="30" t="str">
        <f ca="1">IFERROR(__xludf.DUMMYFUNCTION("""COMPUTED_VALUE"""),"#N/A")</f>
        <v>#N/A</v>
      </c>
      <c r="R1327" s="30" t="str">
        <f ca="1">IFERROR(__xludf.DUMMYFUNCTION("""COMPUTED_VALUE"""),"#N/A")</f>
        <v>#N/A</v>
      </c>
      <c r="S1327" s="30" t="str">
        <f ca="1">IFERROR(__xludf.DUMMYFUNCTION("""COMPUTED_VALUE"""),"#N/A")</f>
        <v>#N/A</v>
      </c>
      <c r="T1327" s="29"/>
    </row>
    <row r="1328" spans="1:20" ht="15.75" customHeight="1" x14ac:dyDescent="0.25">
      <c r="A1328" s="30" t="str">
        <f ca="1">IFERROR(__xludf.DUMMYFUNCTION("""COMPUTED_VALUE"""),"50501052258591")</f>
        <v>50501052258591</v>
      </c>
      <c r="B1328" s="30" t="str">
        <f ca="1">IFERROR(__xludf.DUMMYFUNCTION("""COMPUTED_VALUE"""),"C.I.C. 329 TERESA DE SCAGLIOTTI.-")</f>
        <v>C.I.C. 329 TERESA DE SCAGLIOTTI.-</v>
      </c>
      <c r="C1328" s="30" t="str">
        <f ca="1">IFERROR(__xludf.DUMMYFUNCTION("""COMPUTED_VALUE"""),"Mendoza")</f>
        <v>Mendoza</v>
      </c>
      <c r="D1328" s="30" t="str">
        <f ca="1">IFERROR(__xludf.DUMMYFUNCTION("""COMPUTED_VALUE"""),"50")</f>
        <v>50</v>
      </c>
      <c r="E1328" s="30" t="str">
        <f ca="1">IFERROR(__xludf.DUMMYFUNCTION("""COMPUTED_VALUE"""),"")</f>
        <v/>
      </c>
      <c r="F1328" s="29"/>
      <c r="G1328" s="29"/>
      <c r="H1328" s="30" t="str">
        <f ca="1">IFERROR(__xludf.DUMMYFUNCTION("""COMPUTED_VALUE"""),"activo")</f>
        <v>activo</v>
      </c>
      <c r="I1328" s="30" t="str">
        <f ca="1">IFERROR(__xludf.DUMMYFUNCTION("""COMPUTED_VALUE"""),"Se encontro en el CAI 2019-no figuraba en universo")</f>
        <v>Se encontro en el CAI 2019-no figuraba en universo</v>
      </c>
      <c r="J1328" s="29"/>
      <c r="K1328" s="29"/>
      <c r="L1328" s="30" t="str">
        <f ca="1">IFERROR(__xludf.DUMMYFUNCTION("""COMPUTED_VALUE"""),"No")</f>
        <v>No</v>
      </c>
      <c r="M1328" s="30" t="str">
        <f ca="1">IFERROR(__xludf.DUMMYFUNCTION("""COMPUTED_VALUE"""),"50105210")</f>
        <v>50105210</v>
      </c>
      <c r="N1328" s="30" t="str">
        <f ca="1">IFERROR(__xludf.DUMMYFUNCTION("""COMPUTED_VALUE"""),"SAN RAFAEL  (CIUDAD DE SAN RAFAEL)")</f>
        <v>SAN RAFAEL  (CIUDAD DE SAN RAFAEL)</v>
      </c>
      <c r="O1328" s="30" t="str">
        <f ca="1">IFERROR(__xludf.DUMMYFUNCTION("""COMPUTED_VALUE"""),"50105")</f>
        <v>50105</v>
      </c>
      <c r="P1328" s="30" t="str">
        <f ca="1">IFERROR(__xludf.DUMMYFUNCTION("""COMPUTED_VALUE"""),"SAN RAFAEL")</f>
        <v>SAN RAFAEL</v>
      </c>
      <c r="Q1328" s="30" t="str">
        <f ca="1">IFERROR(__xludf.DUMMYFUNCTION("""COMPUTED_VALUE"""),"-32.888336")</f>
        <v>-32.888336</v>
      </c>
      <c r="R1328" s="30" t="str">
        <f ca="1">IFERROR(__xludf.DUMMYFUNCTION("""COMPUTED_VALUE"""),"-68.8709013")</f>
        <v>-68.8709013</v>
      </c>
      <c r="S1328" s="30" t="str">
        <f ca="1">IFERROR(__xludf.DUMMYFUNCTION("""COMPUTED_VALUE"""),"Municipal")</f>
        <v>Municipal</v>
      </c>
      <c r="T1328" s="29"/>
    </row>
    <row r="1329" spans="1:20" ht="15.75" customHeight="1" x14ac:dyDescent="0.25">
      <c r="A1329" s="30" t="str">
        <f ca="1">IFERROR(__xludf.DUMMYFUNCTION("""COMPUTED_VALUE"""),"50500212157300")</f>
        <v>50500212157300</v>
      </c>
      <c r="B1329" s="30" t="str">
        <f ca="1">IFERROR(__xludf.DUMMYFUNCTION("""COMPUTED_VALUE"""),"C.A.P.S. 004 BARRIO LOS GLACIARES.-")</f>
        <v>C.A.P.S. 004 BARRIO LOS GLACIARES.-</v>
      </c>
      <c r="C1329" s="30" t="str">
        <f ca="1">IFERROR(__xludf.DUMMYFUNCTION("""COMPUTED_VALUE"""),"Mendoza")</f>
        <v>Mendoza</v>
      </c>
      <c r="D1329" s="30" t="str">
        <f ca="1">IFERROR(__xludf.DUMMYFUNCTION("""COMPUTED_VALUE"""),"50")</f>
        <v>50</v>
      </c>
      <c r="E1329" s="30" t="str">
        <f ca="1">IFERROR(__xludf.DUMMYFUNCTION("""COMPUTED_VALUE"""),"")</f>
        <v/>
      </c>
      <c r="F1329" s="29"/>
      <c r="G1329" s="29"/>
      <c r="H1329" s="30" t="str">
        <f ca="1">IFERROR(__xludf.DUMMYFUNCTION("""COMPUTED_VALUE"""),"activo")</f>
        <v>activo</v>
      </c>
      <c r="I1329" s="29"/>
      <c r="J1329" s="29"/>
      <c r="K1329" s="29"/>
      <c r="L1329" s="30" t="str">
        <f ca="1">IFERROR(__xludf.DUMMYFUNCTION("""COMPUTED_VALUE"""),"No")</f>
        <v>No</v>
      </c>
      <c r="M1329" s="30" t="str">
        <f ca="1">IFERROR(__xludf.DUMMYFUNCTION("""COMPUTED_VALUE"""),"50021010004")</f>
        <v>50021010004</v>
      </c>
      <c r="N1329" s="30" t="str">
        <f ca="1">IFERROR(__xludf.DUMMYFUNCTION("""COMPUTED_VALUE"""),"PRESIDENTE SARMIENTO")</f>
        <v>PRESIDENTE SARMIENTO</v>
      </c>
      <c r="O1329" s="30" t="str">
        <f ca="1">IFERROR(__xludf.DUMMYFUNCTION("""COMPUTED_VALUE"""),"5021")</f>
        <v>5021</v>
      </c>
      <c r="P1329" s="30" t="str">
        <f ca="1">IFERROR(__xludf.DUMMYFUNCTION("""COMPUTED_VALUE"""),"GODOY CRUZ")</f>
        <v>GODOY CRUZ</v>
      </c>
      <c r="Q1329" s="30" t="str">
        <f ca="1">IFERROR(__xludf.DUMMYFUNCTION("""COMPUTED_VALUE"""),"-32.92162444")</f>
        <v>-32.92162444</v>
      </c>
      <c r="R1329" s="30" t="str">
        <f ca="1">IFERROR(__xludf.DUMMYFUNCTION("""COMPUTED_VALUE"""),"-68.87918115")</f>
        <v>-68.87918115</v>
      </c>
      <c r="S1329" s="30" t="str">
        <f ca="1">IFERROR(__xludf.DUMMYFUNCTION("""COMPUTED_VALUE"""),"Provincial")</f>
        <v>Provincial</v>
      </c>
      <c r="T1329" s="30" t="str">
        <f ca="1">IFERROR(__xludf.DUMMYFUNCTION("""COMPUTED_VALUE"""),"-")</f>
        <v>-</v>
      </c>
    </row>
    <row r="1330" spans="1:20" ht="15.75" customHeight="1" x14ac:dyDescent="0.25">
      <c r="A1330" s="30" t="str">
        <f ca="1">IFERROR(__xludf.DUMMYFUNCTION("""COMPUTED_VALUE"""),"50500212157111")</f>
        <v>50500212157111</v>
      </c>
      <c r="B1330" s="30" t="str">
        <f ca="1">IFERROR(__xludf.DUMMYFUNCTION("""COMPUTED_VALUE"""),"P.S. 515 BARRIO SOL Y SIERRA.-")</f>
        <v>P.S. 515 BARRIO SOL Y SIERRA.-</v>
      </c>
      <c r="C1330" s="30" t="str">
        <f ca="1">IFERROR(__xludf.DUMMYFUNCTION("""COMPUTED_VALUE"""),"Mendoza")</f>
        <v>Mendoza</v>
      </c>
      <c r="D1330" s="30" t="str">
        <f ca="1">IFERROR(__xludf.DUMMYFUNCTION("""COMPUTED_VALUE"""),"50")</f>
        <v>50</v>
      </c>
      <c r="E1330" s="30" t="str">
        <f ca="1">IFERROR(__xludf.DUMMYFUNCTION("""COMPUTED_VALUE"""),"")</f>
        <v/>
      </c>
      <c r="F1330" s="29"/>
      <c r="G1330" s="29"/>
      <c r="H1330" s="30" t="str">
        <f ca="1">IFERROR(__xludf.DUMMYFUNCTION("""COMPUTED_VALUE"""),"activo")</f>
        <v>activo</v>
      </c>
      <c r="I1330" s="29"/>
      <c r="J1330" s="29"/>
      <c r="K1330" s="29"/>
      <c r="L1330" s="30" t="str">
        <f ca="1">IFERROR(__xludf.DUMMYFUNCTION("""COMPUTED_VALUE"""),"No")</f>
        <v>No</v>
      </c>
      <c r="M1330" s="30" t="str">
        <f ca="1">IFERROR(__xludf.DUMMYFUNCTION("""COMPUTED_VALUE"""),"50021010004")</f>
        <v>50021010004</v>
      </c>
      <c r="N1330" s="30" t="str">
        <f ca="1">IFERROR(__xludf.DUMMYFUNCTION("""COMPUTED_VALUE"""),"PRESIDENTE SARMIENTO")</f>
        <v>PRESIDENTE SARMIENTO</v>
      </c>
      <c r="O1330" s="30" t="str">
        <f ca="1">IFERROR(__xludf.DUMMYFUNCTION("""COMPUTED_VALUE"""),"5021")</f>
        <v>5021</v>
      </c>
      <c r="P1330" s="30" t="str">
        <f ca="1">IFERROR(__xludf.DUMMYFUNCTION("""COMPUTED_VALUE"""),"GODOY CRUZ")</f>
        <v>GODOY CRUZ</v>
      </c>
      <c r="Q1330" s="30" t="str">
        <f ca="1">IFERROR(__xludf.DUMMYFUNCTION("""COMPUTED_VALUE"""),"-32.93207417")</f>
        <v>-32.93207417</v>
      </c>
      <c r="R1330" s="30" t="str">
        <f ca="1">IFERROR(__xludf.DUMMYFUNCTION("""COMPUTED_VALUE"""),"-68.89180899")</f>
        <v>-68.89180899</v>
      </c>
      <c r="S1330" s="30" t="str">
        <f ca="1">IFERROR(__xludf.DUMMYFUNCTION("""COMPUTED_VALUE"""),"Provincial")</f>
        <v>Provincial</v>
      </c>
      <c r="T1330" s="30" t="str">
        <f ca="1">IFERROR(__xludf.DUMMYFUNCTION("""COMPUTED_VALUE"""),"-")</f>
        <v>-</v>
      </c>
    </row>
    <row r="1331" spans="1:20" ht="15.75" customHeight="1" x14ac:dyDescent="0.25">
      <c r="A1331" s="30" t="str">
        <f ca="1">IFERROR(__xludf.DUMMYFUNCTION("""COMPUTED_VALUE"""),"50500282158584")</f>
        <v>50500282158584</v>
      </c>
      <c r="B1331" s="30" t="str">
        <f ca="1">IFERROR(__xludf.DUMMYFUNCTION("""COMPUTED_VALUE"""),"C.A.P.S. 222 RENE FAVALORO.-")</f>
        <v>C.A.P.S. 222 RENE FAVALORO.-</v>
      </c>
      <c r="C1331" s="30" t="str">
        <f ca="1">IFERROR(__xludf.DUMMYFUNCTION("""COMPUTED_VALUE"""),"Mendoza")</f>
        <v>Mendoza</v>
      </c>
      <c r="D1331" s="30" t="str">
        <f ca="1">IFERROR(__xludf.DUMMYFUNCTION("""COMPUTED_VALUE"""),"50")</f>
        <v>50</v>
      </c>
      <c r="E1331" s="30" t="str">
        <f ca="1">IFERROR(__xludf.DUMMYFUNCTION("""COMPUTED_VALUE"""),"")</f>
        <v/>
      </c>
      <c r="F1331" s="29"/>
      <c r="G1331" s="29"/>
      <c r="H1331" s="30" t="str">
        <f ca="1">IFERROR(__xludf.DUMMYFUNCTION("""COMPUTED_VALUE"""),"inactivo")</f>
        <v>inactivo</v>
      </c>
      <c r="I1331" s="29"/>
      <c r="J1331" s="29"/>
      <c r="K1331" s="29"/>
      <c r="L1331" s="30" t="str">
        <f ca="1">IFERROR(__xludf.DUMMYFUNCTION("""COMPUTED_VALUE"""),"No")</f>
        <v>No</v>
      </c>
      <c r="M1331" s="30" t="str">
        <f ca="1">IFERROR(__xludf.DUMMYFUNCTION("""COMPUTED_VALUE"""),"50028020010")</f>
        <v>50028020010</v>
      </c>
      <c r="N1331" s="30" t="str">
        <f ca="1">IFERROR(__xludf.DUMMYFUNCTION("""COMPUTED_VALUE"""),"PEDRO MOLINA")</f>
        <v>PEDRO MOLINA</v>
      </c>
      <c r="O1331" s="30" t="str">
        <f ca="1">IFERROR(__xludf.DUMMYFUNCTION("""COMPUTED_VALUE"""),"5028")</f>
        <v>5028</v>
      </c>
      <c r="P1331" s="30" t="str">
        <f ca="1">IFERROR(__xludf.DUMMYFUNCTION("""COMPUTED_VALUE"""),"GUAYMALLÉN")</f>
        <v>GUAYMALLÉN</v>
      </c>
      <c r="Q1331" s="30" t="str">
        <f ca="1">IFERROR(__xludf.DUMMYFUNCTION("""COMPUTED_VALUE"""),"-32.87849632")</f>
        <v>-32.87849632</v>
      </c>
      <c r="R1331" s="30" t="str">
        <f ca="1">IFERROR(__xludf.DUMMYFUNCTION("""COMPUTED_VALUE"""),"-68.82448304")</f>
        <v>-68.82448304</v>
      </c>
      <c r="S1331" s="30" t="str">
        <f ca="1">IFERROR(__xludf.DUMMYFUNCTION("""COMPUTED_VALUE"""),"Provincial")</f>
        <v>Provincial</v>
      </c>
      <c r="T1331" s="30" t="str">
        <f ca="1">IFERROR(__xludf.DUMMYFUNCTION("""COMPUTED_VALUE"""),"-")</f>
        <v>-</v>
      </c>
    </row>
    <row r="1332" spans="1:20" ht="15.75" customHeight="1" x14ac:dyDescent="0.25">
      <c r="A1332" s="30" t="str">
        <f ca="1">IFERROR(__xludf.DUMMYFUNCTION("""COMPUTED_VALUE"""),"50500632157292")</f>
        <v>50500632157292</v>
      </c>
      <c r="B1332" s="30" t="str">
        <f ca="1">IFERROR(__xludf.DUMMYFUNCTION("""COMPUTED_VALUE"""),"C.A.P.S. 034 POTRERILLOS.-")</f>
        <v>C.A.P.S. 034 POTRERILLOS.-</v>
      </c>
      <c r="C1332" s="30" t="str">
        <f ca="1">IFERROR(__xludf.DUMMYFUNCTION("""COMPUTED_VALUE"""),"Mendoza")</f>
        <v>Mendoza</v>
      </c>
      <c r="D1332" s="30" t="str">
        <f ca="1">IFERROR(__xludf.DUMMYFUNCTION("""COMPUTED_VALUE"""),"50")</f>
        <v>50</v>
      </c>
      <c r="E1332" s="30" t="str">
        <f ca="1">IFERROR(__xludf.DUMMYFUNCTION("""COMPUTED_VALUE"""),"")</f>
        <v/>
      </c>
      <c r="F1332" s="29"/>
      <c r="G1332" s="29"/>
      <c r="H1332" s="30" t="str">
        <f ca="1">IFERROR(__xludf.DUMMYFUNCTION("""COMPUTED_VALUE"""),"activo")</f>
        <v>activo</v>
      </c>
      <c r="I1332" s="29"/>
      <c r="J1332" s="29"/>
      <c r="K1332" s="29"/>
      <c r="L1332" s="30" t="str">
        <f ca="1">IFERROR(__xludf.DUMMYFUNCTION("""COMPUTED_VALUE"""),"No")</f>
        <v>No</v>
      </c>
      <c r="M1332" s="30" t="str">
        <f ca="1">IFERROR(__xludf.DUMMYFUNCTION("""COMPUTED_VALUE"""),"50063110000")</f>
        <v>50063110000</v>
      </c>
      <c r="N1332" s="30" t="str">
        <f ca="1">IFERROR(__xludf.DUMMYFUNCTION("""COMPUTED_VALUE"""),"POTRERILLOS")</f>
        <v>POTRERILLOS</v>
      </c>
      <c r="O1332" s="30" t="str">
        <f ca="1">IFERROR(__xludf.DUMMYFUNCTION("""COMPUTED_VALUE"""),"5063")</f>
        <v>5063</v>
      </c>
      <c r="P1332" s="30" t="str">
        <f ca="1">IFERROR(__xludf.DUMMYFUNCTION("""COMPUTED_VALUE"""),"LUJÁN DE CUYO")</f>
        <v>LUJÁN DE CUYO</v>
      </c>
      <c r="Q1332" s="30" t="str">
        <f ca="1">IFERROR(__xludf.DUMMYFUNCTION("""COMPUTED_VALUE"""),"-32.6902969")</f>
        <v>-32.6902969</v>
      </c>
      <c r="R1332" s="30" t="str">
        <f ca="1">IFERROR(__xludf.DUMMYFUNCTION("""COMPUTED_VALUE"""),"-69.356302")</f>
        <v>-69.356302</v>
      </c>
      <c r="S1332" s="30" t="str">
        <f ca="1">IFERROR(__xludf.DUMMYFUNCTION("""COMPUTED_VALUE"""),"Provincial")</f>
        <v>Provincial</v>
      </c>
      <c r="T1332" s="30" t="str">
        <f ca="1">IFERROR(__xludf.DUMMYFUNCTION("""COMPUTED_VALUE"""),"-")</f>
        <v>-</v>
      </c>
    </row>
    <row r="1333" spans="1:20" ht="15.75" customHeight="1" x14ac:dyDescent="0.25">
      <c r="A1333" s="30" t="str">
        <f ca="1">IFERROR(__xludf.DUMMYFUNCTION("""COMPUTED_VALUE"""),"50500632157289")</f>
        <v>50500632157289</v>
      </c>
      <c r="B1333" s="30" t="str">
        <f ca="1">IFERROR(__xludf.DUMMYFUNCTION("""COMPUTED_VALUE"""),"C.A.P.S. 032 LAS COMPUERTAS.-")</f>
        <v>C.A.P.S. 032 LAS COMPUERTAS.-</v>
      </c>
      <c r="C1333" s="30" t="str">
        <f ca="1">IFERROR(__xludf.DUMMYFUNCTION("""COMPUTED_VALUE"""),"Mendoza")</f>
        <v>Mendoza</v>
      </c>
      <c r="D1333" s="30" t="str">
        <f ca="1">IFERROR(__xludf.DUMMYFUNCTION("""COMPUTED_VALUE"""),"50")</f>
        <v>50</v>
      </c>
      <c r="E1333" s="30" t="str">
        <f ca="1">IFERROR(__xludf.DUMMYFUNCTION("""COMPUTED_VALUE"""),"")</f>
        <v/>
      </c>
      <c r="F1333" s="29"/>
      <c r="G1333" s="29"/>
      <c r="H1333" s="30" t="str">
        <f ca="1">IFERROR(__xludf.DUMMYFUNCTION("""COMPUTED_VALUE"""),"activo")</f>
        <v>activo</v>
      </c>
      <c r="I1333" s="29"/>
      <c r="J1333" s="29"/>
      <c r="K1333" s="29"/>
      <c r="L1333" s="30" t="str">
        <f ca="1">IFERROR(__xludf.DUMMYFUNCTION("""COMPUTED_VALUE"""),"No")</f>
        <v>No</v>
      </c>
      <c r="M1333" s="30" t="str">
        <f ca="1">IFERROR(__xludf.DUMMYFUNCTION("""COMPUTED_VALUE"""),"50063070000")</f>
        <v>50063070000</v>
      </c>
      <c r="N1333" s="30" t="str">
        <f ca="1">IFERROR(__xludf.DUMMYFUNCTION("""COMPUTED_VALUE"""),"LAS COMPUERTAS")</f>
        <v>LAS COMPUERTAS</v>
      </c>
      <c r="O1333" s="30" t="str">
        <f ca="1">IFERROR(__xludf.DUMMYFUNCTION("""COMPUTED_VALUE"""),"5063")</f>
        <v>5063</v>
      </c>
      <c r="P1333" s="30" t="str">
        <f ca="1">IFERROR(__xludf.DUMMYFUNCTION("""COMPUTED_VALUE"""),"LUJÁN DE CUYO")</f>
        <v>LUJÁN DE CUYO</v>
      </c>
      <c r="Q1333" s="30" t="str">
        <f ca="1">IFERROR(__xludf.DUMMYFUNCTION("""COMPUTED_VALUE"""),"-33.0359934")</f>
        <v>-33.0359934</v>
      </c>
      <c r="R1333" s="30" t="str">
        <f ca="1">IFERROR(__xludf.DUMMYFUNCTION("""COMPUTED_VALUE"""),"-68.964513")</f>
        <v>-68.964513</v>
      </c>
      <c r="S1333" s="30" t="str">
        <f ca="1">IFERROR(__xludf.DUMMYFUNCTION("""COMPUTED_VALUE"""),"Provincial")</f>
        <v>Provincial</v>
      </c>
      <c r="T1333" s="30" t="str">
        <f ca="1">IFERROR(__xludf.DUMMYFUNCTION("""COMPUTED_VALUE"""),"-")</f>
        <v>-</v>
      </c>
    </row>
    <row r="1334" spans="1:20" ht="15.75" customHeight="1" x14ac:dyDescent="0.25">
      <c r="A1334" s="30" t="str">
        <f ca="1">IFERROR(__xludf.DUMMYFUNCTION("""COMPUTED_VALUE"""),"10540142164420")</f>
        <v>10540142164420</v>
      </c>
      <c r="B1334" s="30" t="str">
        <f ca="1">IFERROR(__xludf.DUMMYFUNCTION("""COMPUTED_VALUE"""),"HOSPITAL DE ARISTOBULO DEL VALLE - NIVEL II")</f>
        <v>HOSPITAL DE ARISTOBULO DEL VALLE - NIVEL II</v>
      </c>
      <c r="C1334" s="30" t="str">
        <f ca="1">IFERROR(__xludf.DUMMYFUNCTION("""COMPUTED_VALUE"""),"Misiones")</f>
        <v>Misiones</v>
      </c>
      <c r="D1334" s="30" t="str">
        <f ca="1">IFERROR(__xludf.DUMMYFUNCTION("""COMPUTED_VALUE"""),"54")</f>
        <v>54</v>
      </c>
      <c r="E1334" s="30" t="str">
        <f ca="1">IFERROR(__xludf.DUMMYFUNCTION("""COMPUTED_VALUE"""),"si")</f>
        <v>si</v>
      </c>
      <c r="F1334" s="29"/>
      <c r="G1334" s="30" t="str">
        <f ca="1">IFERROR(__xludf.DUMMYFUNCTION("""COMPUTED_VALUE"""),"50540332164225")</f>
        <v>50540332164225</v>
      </c>
      <c r="H1334" s="30" t="str">
        <f ca="1">IFERROR(__xludf.DUMMYFUNCTION("""COMPUTED_VALUE"""),"inactivo")</f>
        <v>inactivo</v>
      </c>
      <c r="I1334" s="29"/>
      <c r="J1334" s="29"/>
      <c r="K1334" s="29"/>
      <c r="L1334" s="30" t="str">
        <f ca="1">IFERROR(__xludf.DUMMYFUNCTION("""COMPUTED_VALUE"""),"No")</f>
        <v>No</v>
      </c>
      <c r="M1334" s="30" t="str">
        <f ca="1">IFERROR(__xludf.DUMMYFUNCTION("""COMPUTED_VALUE"""),"54014010000")</f>
        <v>54014010000</v>
      </c>
      <c r="N1334" s="30" t="str">
        <f ca="1">IFERROR(__xludf.DUMMYFUNCTION("""COMPUTED_VALUE"""),"ARISTOBULO DEL VALLE")</f>
        <v>ARISTOBULO DEL VALLE</v>
      </c>
      <c r="O1334" s="30" t="str">
        <f ca="1">IFERROR(__xludf.DUMMYFUNCTION("""COMPUTED_VALUE"""),"5414")</f>
        <v>5414</v>
      </c>
      <c r="P1334" s="30" t="str">
        <f ca="1">IFERROR(__xludf.DUMMYFUNCTION("""COMPUTED_VALUE"""),"CAINGUÁS")</f>
        <v>CAINGUÁS</v>
      </c>
      <c r="Q1334" s="30" t="str">
        <f ca="1">IFERROR(__xludf.DUMMYFUNCTION("""COMPUTED_VALUE"""),"-27.10427")</f>
        <v>-27.10427</v>
      </c>
      <c r="R1334" s="30" t="str">
        <f ca="1">IFERROR(__xludf.DUMMYFUNCTION("""COMPUTED_VALUE"""),"-54.88826")</f>
        <v>-54.88826</v>
      </c>
      <c r="S1334" s="30" t="str">
        <f ca="1">IFERROR(__xludf.DUMMYFUNCTION("""COMPUTED_VALUE"""),"Provincial")</f>
        <v>Provincial</v>
      </c>
      <c r="T1334" s="30" t="str">
        <f ca="1">IFERROR(__xludf.DUMMYFUNCTION("""COMPUTED_VALUE"""),"-")</f>
        <v>-</v>
      </c>
    </row>
    <row r="1335" spans="1:20" ht="15.75" customHeight="1" x14ac:dyDescent="0.25">
      <c r="A1335" s="30" t="str">
        <f ca="1">IFERROR(__xludf.DUMMYFUNCTION("""COMPUTED_VALUE"""),"50540332164225")</f>
        <v>50540332164225</v>
      </c>
      <c r="B1335" s="30" t="str">
        <f ca="1">IFERROR(__xludf.DUMMYFUNCTION("""COMPUTED_VALUE"""),"C.A.P.S. COMBATE MBORORE")</f>
        <v>C.A.P.S. COMBATE MBORORE</v>
      </c>
      <c r="C1335" s="30" t="str">
        <f ca="1">IFERROR(__xludf.DUMMYFUNCTION("""COMPUTED_VALUE"""),"Misiones")</f>
        <v>Misiones</v>
      </c>
      <c r="D1335" s="30" t="str">
        <f ca="1">IFERROR(__xludf.DUMMYFUNCTION("""COMPUTED_VALUE"""),"54")</f>
        <v>54</v>
      </c>
      <c r="E1335" s="30" t="str">
        <f ca="1">IFERROR(__xludf.DUMMYFUNCTION("""COMPUTED_VALUE"""),"")</f>
        <v/>
      </c>
      <c r="F1335" s="30" t="str">
        <f ca="1">IFERROR(__xludf.DUMMYFUNCTION("""COMPUTED_VALUE"""),"10540142164420")</f>
        <v>10540142164420</v>
      </c>
      <c r="G1335" s="29"/>
      <c r="H1335" s="30" t="str">
        <f ca="1">IFERROR(__xludf.DUMMYFUNCTION("""COMPUTED_VALUE"""),"inactivo")</f>
        <v>inactivo</v>
      </c>
      <c r="I1335" s="30" t="str">
        <f ca="1">IFERROR(__xludf.DUMMYFUNCTION("""COMPUTED_VALUE"""),"Incorrecto el Codigo sisa del CAPS 50540632164225 combate mborore en la circular 2")</f>
        <v>Incorrecto el Codigo sisa del CAPS 50540632164225 combate mborore en la circular 2</v>
      </c>
      <c r="J1335" s="29"/>
      <c r="K1335" s="29"/>
      <c r="L1335" s="30" t="str">
        <f ca="1">IFERROR(__xludf.DUMMYFUNCTION("""COMPUTED_VALUE"""),"No")</f>
        <v>No</v>
      </c>
      <c r="M1335" s="30" t="str">
        <f ca="1">IFERROR(__xludf.DUMMYFUNCTION("""COMPUTED_VALUE"""),"#N/A")</f>
        <v>#N/A</v>
      </c>
      <c r="N1335" s="30" t="str">
        <f ca="1">IFERROR(__xludf.DUMMYFUNCTION("""COMPUTED_VALUE"""),"#N/A")</f>
        <v>#N/A</v>
      </c>
      <c r="O1335" s="30" t="str">
        <f ca="1">IFERROR(__xludf.DUMMYFUNCTION("""COMPUTED_VALUE"""),"#N/A")</f>
        <v>#N/A</v>
      </c>
      <c r="P1335" s="30" t="str">
        <f ca="1">IFERROR(__xludf.DUMMYFUNCTION("""COMPUTED_VALUE"""),"#N/A")</f>
        <v>#N/A</v>
      </c>
      <c r="Q1335" s="30" t="str">
        <f ca="1">IFERROR(__xludf.DUMMYFUNCTION("""COMPUTED_VALUE"""),"#N/A")</f>
        <v>#N/A</v>
      </c>
      <c r="R1335" s="30" t="str">
        <f ca="1">IFERROR(__xludf.DUMMYFUNCTION("""COMPUTED_VALUE"""),"#N/A")</f>
        <v>#N/A</v>
      </c>
      <c r="S1335" s="30" t="str">
        <f ca="1">IFERROR(__xludf.DUMMYFUNCTION("""COMPUTED_VALUE"""),"#N/A")</f>
        <v>#N/A</v>
      </c>
      <c r="T1335" s="29"/>
    </row>
    <row r="1336" spans="1:20" ht="15.75" customHeight="1" x14ac:dyDescent="0.25">
      <c r="A1336" s="30" t="str">
        <f ca="1">IFERROR(__xludf.DUMMYFUNCTION("""COMPUTED_VALUE"""),"10540142164424")</f>
        <v>10540142164424</v>
      </c>
      <c r="B1336" s="30" t="str">
        <f ca="1">IFERROR(__xludf.DUMMYFUNCTION("""COMPUTED_VALUE"""),"HOSPITAL DE CAMPO GRANDE - NIVEL I")</f>
        <v>HOSPITAL DE CAMPO GRANDE - NIVEL I</v>
      </c>
      <c r="C1336" s="30" t="str">
        <f ca="1">IFERROR(__xludf.DUMMYFUNCTION("""COMPUTED_VALUE"""),"Misiones")</f>
        <v>Misiones</v>
      </c>
      <c r="D1336" s="30" t="str">
        <f ca="1">IFERROR(__xludf.DUMMYFUNCTION("""COMPUTED_VALUE"""),"54")</f>
        <v>54</v>
      </c>
      <c r="E1336" s="30" t="str">
        <f ca="1">IFERROR(__xludf.DUMMYFUNCTION("""COMPUTED_VALUE"""),"")</f>
        <v/>
      </c>
      <c r="F1336" s="29"/>
      <c r="G1336" s="29"/>
      <c r="H1336" s="30" t="str">
        <f ca="1">IFERROR(__xludf.DUMMYFUNCTION("""COMPUTED_VALUE"""),"activo")</f>
        <v>activo</v>
      </c>
      <c r="I1336" s="29"/>
      <c r="J1336" s="29"/>
      <c r="K1336" s="29"/>
      <c r="L1336" s="30" t="str">
        <f ca="1">IFERROR(__xludf.DUMMYFUNCTION("""COMPUTED_VALUE"""),"No")</f>
        <v>No</v>
      </c>
      <c r="M1336" s="30" t="str">
        <f ca="1">IFERROR(__xludf.DUMMYFUNCTION("""COMPUTED_VALUE"""),"54014020000")</f>
        <v>54014020000</v>
      </c>
      <c r="N1336" s="30" t="str">
        <f ca="1">IFERROR(__xludf.DUMMYFUNCTION("""COMPUTED_VALUE"""),"CAMPO GRANDE")</f>
        <v>CAMPO GRANDE</v>
      </c>
      <c r="O1336" s="30" t="str">
        <f ca="1">IFERROR(__xludf.DUMMYFUNCTION("""COMPUTED_VALUE"""),"5414")</f>
        <v>5414</v>
      </c>
      <c r="P1336" s="30" t="str">
        <f ca="1">IFERROR(__xludf.DUMMYFUNCTION("""COMPUTED_VALUE"""),"CAINGUÁS")</f>
        <v>CAINGUÁS</v>
      </c>
      <c r="Q1336" s="30" t="str">
        <f ca="1">IFERROR(__xludf.DUMMYFUNCTION("""COMPUTED_VALUE"""),"-27.20415")</f>
        <v>-27.20415</v>
      </c>
      <c r="R1336" s="30" t="str">
        <f ca="1">IFERROR(__xludf.DUMMYFUNCTION("""COMPUTED_VALUE"""),"-54.97796667")</f>
        <v>-54.97796667</v>
      </c>
      <c r="S1336" s="30" t="str">
        <f ca="1">IFERROR(__xludf.DUMMYFUNCTION("""COMPUTED_VALUE"""),"Provincial")</f>
        <v>Provincial</v>
      </c>
      <c r="T1336" s="30" t="str">
        <f ca="1">IFERROR(__xludf.DUMMYFUNCTION("""COMPUTED_VALUE"""),"-")</f>
        <v>-</v>
      </c>
    </row>
    <row r="1337" spans="1:20" ht="15.75" customHeight="1" x14ac:dyDescent="0.25">
      <c r="A1337" s="30" t="str">
        <f ca="1">IFERROR(__xludf.DUMMYFUNCTION("""COMPUTED_VALUE"""),"10540142164508")</f>
        <v>10540142164508</v>
      </c>
      <c r="B1337" s="30" t="str">
        <f ca="1">IFERROR(__xludf.DUMMYFUNCTION("""COMPUTED_VALUE"""),"HOSPITAL DE DOS DE MAYO - NIVEL I")</f>
        <v>HOSPITAL DE DOS DE MAYO - NIVEL I</v>
      </c>
      <c r="C1337" s="30" t="str">
        <f ca="1">IFERROR(__xludf.DUMMYFUNCTION("""COMPUTED_VALUE"""),"Misiones")</f>
        <v>Misiones</v>
      </c>
      <c r="D1337" s="30" t="str">
        <f ca="1">IFERROR(__xludf.DUMMYFUNCTION("""COMPUTED_VALUE"""),"54")</f>
        <v>54</v>
      </c>
      <c r="E1337" s="30" t="str">
        <f ca="1">IFERROR(__xludf.DUMMYFUNCTION("""COMPUTED_VALUE"""),"")</f>
        <v/>
      </c>
      <c r="F1337" s="29"/>
      <c r="G1337" s="29"/>
      <c r="H1337" s="30" t="str">
        <f ca="1">IFERROR(__xludf.DUMMYFUNCTION("""COMPUTED_VALUE"""),"activo")</f>
        <v>activo</v>
      </c>
      <c r="I1337" s="30" t="str">
        <f ca="1">IFERROR(__xludf.DUMMYFUNCTION("""COMPUTED_VALUE"""),"2020")</f>
        <v>2020</v>
      </c>
      <c r="J1337" s="29"/>
      <c r="K1337" s="29"/>
      <c r="L1337" s="30" t="str">
        <f ca="1">IFERROR(__xludf.DUMMYFUNCTION("""COMPUTED_VALUE"""),"No")</f>
        <v>No</v>
      </c>
      <c r="M1337" s="30" t="str">
        <f ca="1">IFERROR(__xludf.DUMMYFUNCTION("""COMPUTED_VALUE"""),"54014030000")</f>
        <v>54014030000</v>
      </c>
      <c r="N1337" s="30" t="str">
        <f ca="1">IFERROR(__xludf.DUMMYFUNCTION("""COMPUTED_VALUE"""),"DOS DE MAYO NUCLEO I")</f>
        <v>DOS DE MAYO NUCLEO I</v>
      </c>
      <c r="O1337" s="30" t="str">
        <f ca="1">IFERROR(__xludf.DUMMYFUNCTION("""COMPUTED_VALUE"""),"5414")</f>
        <v>5414</v>
      </c>
      <c r="P1337" s="30" t="str">
        <f ca="1">IFERROR(__xludf.DUMMYFUNCTION("""COMPUTED_VALUE"""),"CAINGUÁS")</f>
        <v>CAINGUÁS</v>
      </c>
      <c r="Q1337" s="30" t="str">
        <f ca="1">IFERROR(__xludf.DUMMYFUNCTION("""COMPUTED_VALUE"""),"-27.0168158")</f>
        <v>-27.0168158</v>
      </c>
      <c r="R1337" s="30" t="str">
        <f ca="1">IFERROR(__xludf.DUMMYFUNCTION("""COMPUTED_VALUE"""),"-54.687661")</f>
        <v>-54.687661</v>
      </c>
      <c r="S1337" s="30" t="str">
        <f ca="1">IFERROR(__xludf.DUMMYFUNCTION("""COMPUTED_VALUE"""),"Provincial")</f>
        <v>Provincial</v>
      </c>
      <c r="T1337" s="30" t="str">
        <f ca="1">IFERROR(__xludf.DUMMYFUNCTION("""COMPUTED_VALUE"""),"-")</f>
        <v>-</v>
      </c>
    </row>
    <row r="1338" spans="1:20" ht="15.75" customHeight="1" x14ac:dyDescent="0.25">
      <c r="A1338" s="30" t="str">
        <f ca="1">IFERROR(__xludf.DUMMYFUNCTION("""COMPUTED_VALUE"""),"10540212164426")</f>
        <v>10540212164426</v>
      </c>
      <c r="B1338" s="30" t="str">
        <f ca="1">IFERROR(__xludf.DUMMYFUNCTION("""COMPUTED_VALUE"""),"HOSPITAL CANDELARIA NIVEL I")</f>
        <v>HOSPITAL CANDELARIA NIVEL I</v>
      </c>
      <c r="C1338" s="30" t="str">
        <f ca="1">IFERROR(__xludf.DUMMYFUNCTION("""COMPUTED_VALUE"""),"Misiones")</f>
        <v>Misiones</v>
      </c>
      <c r="D1338" s="30" t="str">
        <f ca="1">IFERROR(__xludf.DUMMYFUNCTION("""COMPUTED_VALUE"""),"54")</f>
        <v>54</v>
      </c>
      <c r="E1338" s="30" t="str">
        <f ca="1">IFERROR(__xludf.DUMMYFUNCTION("""COMPUTED_VALUE"""),"")</f>
        <v/>
      </c>
      <c r="F1338" s="29"/>
      <c r="G1338" s="29"/>
      <c r="H1338" s="30" t="str">
        <f ca="1">IFERROR(__xludf.DUMMYFUNCTION("""COMPUTED_VALUE"""),"activo")</f>
        <v>activo</v>
      </c>
      <c r="I1338" s="29"/>
      <c r="J1338" s="29"/>
      <c r="K1338" s="29"/>
      <c r="L1338" s="30" t="str">
        <f ca="1">IFERROR(__xludf.DUMMYFUNCTION("""COMPUTED_VALUE"""),"No")</f>
        <v>No</v>
      </c>
      <c r="M1338" s="30" t="str">
        <f ca="1">IFERROR(__xludf.DUMMYFUNCTION("""COMPUTED_VALUE"""),"54021020000")</f>
        <v>54021020000</v>
      </c>
      <c r="N1338" s="30" t="str">
        <f ca="1">IFERROR(__xludf.DUMMYFUNCTION("""COMPUTED_VALUE"""),"CANDELARIA")</f>
        <v>CANDELARIA</v>
      </c>
      <c r="O1338" s="30" t="str">
        <f ca="1">IFERROR(__xludf.DUMMYFUNCTION("""COMPUTED_VALUE"""),"5421")</f>
        <v>5421</v>
      </c>
      <c r="P1338" s="30" t="str">
        <f ca="1">IFERROR(__xludf.DUMMYFUNCTION("""COMPUTED_VALUE"""),"CANDELARIA")</f>
        <v>CANDELARIA</v>
      </c>
      <c r="Q1338" s="30" t="str">
        <f ca="1">IFERROR(__xludf.DUMMYFUNCTION("""COMPUTED_VALUE"""),"-27.46223333")</f>
        <v>-27.46223333</v>
      </c>
      <c r="R1338" s="30" t="str">
        <f ca="1">IFERROR(__xludf.DUMMYFUNCTION("""COMPUTED_VALUE"""),"-55.74506667")</f>
        <v>-55.74506667</v>
      </c>
      <c r="S1338" s="30" t="str">
        <f ca="1">IFERROR(__xludf.DUMMYFUNCTION("""COMPUTED_VALUE"""),"Provincial")</f>
        <v>Provincial</v>
      </c>
      <c r="T1338" s="30" t="str">
        <f ca="1">IFERROR(__xludf.DUMMYFUNCTION("""COMPUTED_VALUE"""),"-")</f>
        <v>-</v>
      </c>
    </row>
    <row r="1339" spans="1:20" ht="15.75" customHeight="1" x14ac:dyDescent="0.25">
      <c r="A1339" s="30" t="str">
        <f ca="1">IFERROR(__xludf.DUMMYFUNCTION("""COMPUTED_VALUE"""),"10540282164427")</f>
        <v>10540282164427</v>
      </c>
      <c r="B1339" s="30" t="str">
        <f ca="1">IFERROR(__xludf.DUMMYFUNCTION("""COMPUTED_VALUE"""),"HOSPITAL NIVEL II NUESTRA SEÑORA DE FATIMA")</f>
        <v>HOSPITAL NIVEL II NUESTRA SEÑORA DE FATIMA</v>
      </c>
      <c r="C1339" s="30" t="str">
        <f ca="1">IFERROR(__xludf.DUMMYFUNCTION("""COMPUTED_VALUE"""),"Misiones")</f>
        <v>Misiones</v>
      </c>
      <c r="D1339" s="30" t="str">
        <f ca="1">IFERROR(__xludf.DUMMYFUNCTION("""COMPUTED_VALUE"""),"54")</f>
        <v>54</v>
      </c>
      <c r="E1339" s="30" t="str">
        <f ca="1">IFERROR(__xludf.DUMMYFUNCTION("""COMPUTED_VALUE"""),"")</f>
        <v/>
      </c>
      <c r="F1339" s="29"/>
      <c r="G1339" s="29"/>
      <c r="H1339" s="30" t="str">
        <f ca="1">IFERROR(__xludf.DUMMYFUNCTION("""COMPUTED_VALUE"""),"activo")</f>
        <v>activo</v>
      </c>
      <c r="I1339" s="29"/>
      <c r="J1339" s="29"/>
      <c r="K1339" s="29"/>
      <c r="L1339" s="30" t="str">
        <f ca="1">IFERROR(__xludf.DUMMYFUNCTION("""COMPUTED_VALUE"""),"No")</f>
        <v>No</v>
      </c>
      <c r="M1339" s="30" t="str">
        <f ca="1">IFERROR(__xludf.DUMMYFUNCTION("""COMPUTED_VALUE"""),"54028010000")</f>
        <v>54028010000</v>
      </c>
      <c r="N1339" s="30" t="str">
        <f ca="1">IFERROR(__xludf.DUMMYFUNCTION("""COMPUTED_VALUE"""),"GARUPA")</f>
        <v>GARUPA</v>
      </c>
      <c r="O1339" s="30" t="str">
        <f ca="1">IFERROR(__xludf.DUMMYFUNCTION("""COMPUTED_VALUE"""),"5428")</f>
        <v>5428</v>
      </c>
      <c r="P1339" s="30" t="str">
        <f ca="1">IFERROR(__xludf.DUMMYFUNCTION("""COMPUTED_VALUE"""),"CAPITAL")</f>
        <v>CAPITAL</v>
      </c>
      <c r="Q1339" s="30" t="str">
        <f ca="1">IFERROR(__xludf.DUMMYFUNCTION("""COMPUTED_VALUE"""),"-27.4363")</f>
        <v>-27.4363</v>
      </c>
      <c r="R1339" s="30" t="str">
        <f ca="1">IFERROR(__xludf.DUMMYFUNCTION("""COMPUTED_VALUE"""),"-55.86928333")</f>
        <v>-55.86928333</v>
      </c>
      <c r="S1339" s="30" t="str">
        <f ca="1">IFERROR(__xludf.DUMMYFUNCTION("""COMPUTED_VALUE"""),"Provincial")</f>
        <v>Provincial</v>
      </c>
      <c r="T1339" s="30" t="str">
        <f ca="1">IFERROR(__xludf.DUMMYFUNCTION("""COMPUTED_VALUE"""),"-")</f>
        <v>-</v>
      </c>
    </row>
    <row r="1340" spans="1:20" ht="15.75" customHeight="1" x14ac:dyDescent="0.25">
      <c r="A1340" s="30" t="str">
        <f ca="1">IFERROR(__xludf.DUMMYFUNCTION("""COMPUTED_VALUE"""),"10540282164504")</f>
        <v>10540282164504</v>
      </c>
      <c r="B1340" s="30" t="str">
        <f ca="1">IFERROR(__xludf.DUMMYFUNCTION("""COMPUTED_VALUE"""),"HOSPITAL NIVEL III DR. RENE FAVALORO")</f>
        <v>HOSPITAL NIVEL III DR. RENE FAVALORO</v>
      </c>
      <c r="C1340" s="30" t="str">
        <f ca="1">IFERROR(__xludf.DUMMYFUNCTION("""COMPUTED_VALUE"""),"Misiones")</f>
        <v>Misiones</v>
      </c>
      <c r="D1340" s="30" t="str">
        <f ca="1">IFERROR(__xludf.DUMMYFUNCTION("""COMPUTED_VALUE"""),"54")</f>
        <v>54</v>
      </c>
      <c r="E1340" s="30" t="str">
        <f ca="1">IFERROR(__xludf.DUMMYFUNCTION("""COMPUTED_VALUE"""),"si")</f>
        <v>si</v>
      </c>
      <c r="F1340" s="29"/>
      <c r="G1340" s="29"/>
      <c r="H1340" s="30" t="str">
        <f ca="1">IFERROR(__xludf.DUMMYFUNCTION("""COMPUTED_VALUE"""),"activo")</f>
        <v>activo</v>
      </c>
      <c r="I1340" s="29"/>
      <c r="J1340" s="29"/>
      <c r="K1340" s="29"/>
      <c r="L1340" s="30" t="str">
        <f ca="1">IFERROR(__xludf.DUMMYFUNCTION("""COMPUTED_VALUE"""),"No")</f>
        <v>No</v>
      </c>
      <c r="M1340" s="30" t="str">
        <f ca="1">IFERROR(__xludf.DUMMYFUNCTION("""COMPUTED_VALUE"""),"54028030")</f>
        <v>54028030</v>
      </c>
      <c r="N1340" s="30" t="str">
        <f ca="1">IFERROR(__xludf.DUMMYFUNCTION("""COMPUTED_VALUE"""),"POSADAS (MUNICIPIO DE POSADAS)")</f>
        <v>POSADAS (MUNICIPIO DE POSADAS)</v>
      </c>
      <c r="O1340" s="30" t="str">
        <f ca="1">IFERROR(__xludf.DUMMYFUNCTION("""COMPUTED_VALUE"""),"5428")</f>
        <v>5428</v>
      </c>
      <c r="P1340" s="30" t="str">
        <f ca="1">IFERROR(__xludf.DUMMYFUNCTION("""COMPUTED_VALUE"""),"CAPITAL")</f>
        <v>CAPITAL</v>
      </c>
      <c r="Q1340" s="30" t="str">
        <f ca="1">IFERROR(__xludf.DUMMYFUNCTION("""COMPUTED_VALUE"""),"-27.3651406")</f>
        <v>-27.3651406</v>
      </c>
      <c r="R1340" s="30" t="str">
        <f ca="1">IFERROR(__xludf.DUMMYFUNCTION("""COMPUTED_VALUE"""),"-55.949421")</f>
        <v>-55.949421</v>
      </c>
      <c r="S1340" s="30" t="str">
        <f ca="1">IFERROR(__xludf.DUMMYFUNCTION("""COMPUTED_VALUE"""),"Provincial")</f>
        <v>Provincial</v>
      </c>
      <c r="T1340" s="30" t="str">
        <f ca="1">IFERROR(__xludf.DUMMYFUNCTION("""COMPUTED_VALUE"""),"-")</f>
        <v>-</v>
      </c>
    </row>
    <row r="1341" spans="1:20" ht="15.75" customHeight="1" x14ac:dyDescent="0.25">
      <c r="A1341" s="30" t="str">
        <f ca="1">IFERROR(__xludf.DUMMYFUNCTION("""COMPUTED_VALUE"""),"10540352164428")</f>
        <v>10540352164428</v>
      </c>
      <c r="B1341" s="30" t="str">
        <f ca="1">IFERROR(__xludf.DUMMYFUNCTION("""COMPUTED_VALUE"""),"HOSPITAL AREA CONCEPCION DE LA SIERRA - NIVEL I")</f>
        <v>HOSPITAL AREA CONCEPCION DE LA SIERRA - NIVEL I</v>
      </c>
      <c r="C1341" s="30" t="str">
        <f ca="1">IFERROR(__xludf.DUMMYFUNCTION("""COMPUTED_VALUE"""),"Misiones")</f>
        <v>Misiones</v>
      </c>
      <c r="D1341" s="30" t="str">
        <f ca="1">IFERROR(__xludf.DUMMYFUNCTION("""COMPUTED_VALUE"""),"54")</f>
        <v>54</v>
      </c>
      <c r="E1341" s="30" t="str">
        <f ca="1">IFERROR(__xludf.DUMMYFUNCTION("""COMPUTED_VALUE"""),"si")</f>
        <v>si</v>
      </c>
      <c r="F1341" s="29"/>
      <c r="G1341" s="29"/>
      <c r="H1341" s="30" t="str">
        <f ca="1">IFERROR(__xludf.DUMMYFUNCTION("""COMPUTED_VALUE"""),"activo")</f>
        <v>activo</v>
      </c>
      <c r="I1341" s="29"/>
      <c r="J1341" s="29"/>
      <c r="K1341" s="29"/>
      <c r="L1341" s="30" t="str">
        <f ca="1">IFERROR(__xludf.DUMMYFUNCTION("""COMPUTED_VALUE"""),"No")</f>
        <v>No</v>
      </c>
      <c r="M1341" s="30" t="str">
        <f ca="1">IFERROR(__xludf.DUMMYFUNCTION("""COMPUTED_VALUE"""),"54035020000")</f>
        <v>54035020000</v>
      </c>
      <c r="N1341" s="30" t="str">
        <f ca="1">IFERROR(__xludf.DUMMYFUNCTION("""COMPUTED_VALUE"""),"CONCEPCION DE LA SIERRA")</f>
        <v>CONCEPCION DE LA SIERRA</v>
      </c>
      <c r="O1341" s="30" t="str">
        <f ca="1">IFERROR(__xludf.DUMMYFUNCTION("""COMPUTED_VALUE"""),"5435")</f>
        <v>5435</v>
      </c>
      <c r="P1341" s="30" t="str">
        <f ca="1">IFERROR(__xludf.DUMMYFUNCTION("""COMPUTED_VALUE"""),"CONCEPCIÓN")</f>
        <v>CONCEPCIÓN</v>
      </c>
      <c r="Q1341" s="30" t="str">
        <f ca="1">IFERROR(__xludf.DUMMYFUNCTION("""COMPUTED_VALUE"""),"-27.982407")</f>
        <v>-27.982407</v>
      </c>
      <c r="R1341" s="30" t="str">
        <f ca="1">IFERROR(__xludf.DUMMYFUNCTION("""COMPUTED_VALUE"""),"-55.520981")</f>
        <v>-55.520981</v>
      </c>
      <c r="S1341" s="30" t="str">
        <f ca="1">IFERROR(__xludf.DUMMYFUNCTION("""COMPUTED_VALUE"""),"Provincial")</f>
        <v>Provincial</v>
      </c>
      <c r="T1341" s="30" t="str">
        <f ca="1">IFERROR(__xludf.DUMMYFUNCTION("""COMPUTED_VALUE"""),"-")</f>
        <v>-</v>
      </c>
    </row>
    <row r="1342" spans="1:20" ht="15.75" customHeight="1" x14ac:dyDescent="0.25">
      <c r="A1342" s="30" t="str">
        <f ca="1">IFERROR(__xludf.DUMMYFUNCTION("""COMPUTED_VALUE"""),"10540562164437")</f>
        <v>10540562164437</v>
      </c>
      <c r="B1342" s="30" t="str">
        <f ca="1">IFERROR(__xludf.DUMMYFUNCTION("""COMPUTED_VALUE"""),"HOSPITAL DE EL SOBERBIO - NIVEL I")</f>
        <v>HOSPITAL DE EL SOBERBIO - NIVEL I</v>
      </c>
      <c r="C1342" s="30" t="str">
        <f ca="1">IFERROR(__xludf.DUMMYFUNCTION("""COMPUTED_VALUE"""),"Misiones")</f>
        <v>Misiones</v>
      </c>
      <c r="D1342" s="30" t="str">
        <f ca="1">IFERROR(__xludf.DUMMYFUNCTION("""COMPUTED_VALUE"""),"54")</f>
        <v>54</v>
      </c>
      <c r="E1342" s="30" t="str">
        <f ca="1">IFERROR(__xludf.DUMMYFUNCTION("""COMPUTED_VALUE"""),"si")</f>
        <v>si</v>
      </c>
      <c r="F1342" s="29"/>
      <c r="G1342" s="29"/>
      <c r="H1342" s="30" t="str">
        <f ca="1">IFERROR(__xludf.DUMMYFUNCTION("""COMPUTED_VALUE"""),"activo")</f>
        <v>activo</v>
      </c>
      <c r="I1342" s="29"/>
      <c r="J1342" s="29"/>
      <c r="K1342" s="29"/>
      <c r="L1342" s="30" t="str">
        <f ca="1">IFERROR(__xludf.DUMMYFUNCTION("""COMPUTED_VALUE"""),"No")</f>
        <v>No</v>
      </c>
      <c r="M1342" s="30" t="str">
        <f ca="1">IFERROR(__xludf.DUMMYFUNCTION("""COMPUTED_VALUE"""),"54056010000")</f>
        <v>54056010000</v>
      </c>
      <c r="N1342" s="30" t="str">
        <f ca="1">IFERROR(__xludf.DUMMYFUNCTION("""COMPUTED_VALUE"""),"EL SOBERBIO")</f>
        <v>EL SOBERBIO</v>
      </c>
      <c r="O1342" s="30" t="str">
        <f ca="1">IFERROR(__xludf.DUMMYFUNCTION("""COMPUTED_VALUE"""),"5456")</f>
        <v>5456</v>
      </c>
      <c r="P1342" s="30" t="str">
        <f ca="1">IFERROR(__xludf.DUMMYFUNCTION("""COMPUTED_VALUE"""),"GUARANÍ")</f>
        <v>GUARANÍ</v>
      </c>
      <c r="Q1342" s="30" t="str">
        <f ca="1">IFERROR(__xludf.DUMMYFUNCTION("""COMPUTED_VALUE"""),"-27.3025294")</f>
        <v>-27.3025294</v>
      </c>
      <c r="R1342" s="30" t="str">
        <f ca="1">IFERROR(__xludf.DUMMYFUNCTION("""COMPUTED_VALUE"""),"-54.1999089")</f>
        <v>-54.1999089</v>
      </c>
      <c r="S1342" s="30" t="str">
        <f ca="1">IFERROR(__xludf.DUMMYFUNCTION("""COMPUTED_VALUE"""),"Provincial")</f>
        <v>Provincial</v>
      </c>
      <c r="T1342" s="30" t="str">
        <f ca="1">IFERROR(__xludf.DUMMYFUNCTION("""COMPUTED_VALUE"""),"-")</f>
        <v>-</v>
      </c>
    </row>
    <row r="1343" spans="1:20" ht="15.75" customHeight="1" x14ac:dyDescent="0.25">
      <c r="A1343" s="30" t="str">
        <f ca="1">IFERROR(__xludf.DUMMYFUNCTION("""COMPUTED_VALUE"""),"10540072164416")</f>
        <v>10540072164416</v>
      </c>
      <c r="B1343" s="30" t="str">
        <f ca="1">IFERROR(__xludf.DUMMYFUNCTION("""COMPUTED_VALUE"""),"HOSPITAL NIVEL II DE APOSTOLES")</f>
        <v>HOSPITAL NIVEL II DE APOSTOLES</v>
      </c>
      <c r="C1343" s="30" t="str">
        <f ca="1">IFERROR(__xludf.DUMMYFUNCTION("""COMPUTED_VALUE"""),"Misiones")</f>
        <v>Misiones</v>
      </c>
      <c r="D1343" s="30" t="str">
        <f ca="1">IFERROR(__xludf.DUMMYFUNCTION("""COMPUTED_VALUE"""),"54")</f>
        <v>54</v>
      </c>
      <c r="E1343" s="30" t="str">
        <f ca="1">IFERROR(__xludf.DUMMYFUNCTION("""COMPUTED_VALUE"""),"si")</f>
        <v>si</v>
      </c>
      <c r="F1343" s="29"/>
      <c r="G1343" s="29"/>
      <c r="H1343" s="30" t="str">
        <f ca="1">IFERROR(__xludf.DUMMYFUNCTION("""COMPUTED_VALUE"""),"activo")</f>
        <v>activo</v>
      </c>
      <c r="I1343" s="29"/>
      <c r="J1343" s="29"/>
      <c r="K1343" s="29"/>
      <c r="L1343" s="30" t="str">
        <f ca="1">IFERROR(__xludf.DUMMYFUNCTION("""COMPUTED_VALUE"""),"No")</f>
        <v>No</v>
      </c>
      <c r="M1343" s="30" t="str">
        <f ca="1">IFERROR(__xludf.DUMMYFUNCTION("""COMPUTED_VALUE"""),"54007010000")</f>
        <v>54007010000</v>
      </c>
      <c r="N1343" s="30" t="str">
        <f ca="1">IFERROR(__xludf.DUMMYFUNCTION("""COMPUTED_VALUE"""),"APOSTOLES")</f>
        <v>APOSTOLES</v>
      </c>
      <c r="O1343" s="30" t="str">
        <f ca="1">IFERROR(__xludf.DUMMYFUNCTION("""COMPUTED_VALUE"""),"547")</f>
        <v>547</v>
      </c>
      <c r="P1343" s="30" t="str">
        <f ca="1">IFERROR(__xludf.DUMMYFUNCTION("""COMPUTED_VALUE"""),"APÓSTOLES")</f>
        <v>APÓSTOLES</v>
      </c>
      <c r="Q1343" s="30" t="str">
        <f ca="1">IFERROR(__xludf.DUMMYFUNCTION("""COMPUTED_VALUE"""),"-27.89991408")</f>
        <v>-27.89991408</v>
      </c>
      <c r="R1343" s="30" t="str">
        <f ca="1">IFERROR(__xludf.DUMMYFUNCTION("""COMPUTED_VALUE"""),"-55.75000137")</f>
        <v>-55.75000137</v>
      </c>
      <c r="S1343" s="30" t="str">
        <f ca="1">IFERROR(__xludf.DUMMYFUNCTION("""COMPUTED_VALUE"""),"Provincial")</f>
        <v>Provincial</v>
      </c>
      <c r="T1343" s="30" t="str">
        <f ca="1">IFERROR(__xludf.DUMMYFUNCTION("""COMPUTED_VALUE"""),"-")</f>
        <v>-</v>
      </c>
    </row>
    <row r="1344" spans="1:20" ht="15.75" customHeight="1" x14ac:dyDescent="0.25">
      <c r="A1344" s="30" t="str">
        <f ca="1">IFERROR(__xludf.DUMMYFUNCTION("""COMPUTED_VALUE"""),"10540632164505")</f>
        <v>10540632164505</v>
      </c>
      <c r="B1344" s="30" t="str">
        <f ca="1">IFERROR(__xludf.DUMMYFUNCTION("""COMPUTED_VALUE"""),"HOSPITAL NIVEL I DE PUERTO ESPERANZA")</f>
        <v>HOSPITAL NIVEL I DE PUERTO ESPERANZA</v>
      </c>
      <c r="C1344" s="30" t="str">
        <f ca="1">IFERROR(__xludf.DUMMYFUNCTION("""COMPUTED_VALUE"""),"Misiones")</f>
        <v>Misiones</v>
      </c>
      <c r="D1344" s="30" t="str">
        <f ca="1">IFERROR(__xludf.DUMMYFUNCTION("""COMPUTED_VALUE"""),"54")</f>
        <v>54</v>
      </c>
      <c r="E1344" s="30" t="str">
        <f ca="1">IFERROR(__xludf.DUMMYFUNCTION("""COMPUTED_VALUE"""),"")</f>
        <v/>
      </c>
      <c r="F1344" s="29"/>
      <c r="G1344" s="29"/>
      <c r="H1344" s="30" t="str">
        <f ca="1">IFERROR(__xludf.DUMMYFUNCTION("""COMPUTED_VALUE"""),"inactivo")</f>
        <v>inactivo</v>
      </c>
      <c r="I1344" s="30" t="str">
        <f ca="1">IFERROR(__xludf.DUMMYFUNCTION("""COMPUTED_VALUE"""),"Este efector se dio de baja mediante nota de la provincia 27-7-2022")</f>
        <v>Este efector se dio de baja mediante nota de la provincia 27-7-2022</v>
      </c>
      <c r="J1344" s="29"/>
      <c r="K1344" s="29"/>
      <c r="L1344" s="30" t="str">
        <f ca="1">IFERROR(__xludf.DUMMYFUNCTION("""COMPUTED_VALUE"""),"No")</f>
        <v>No</v>
      </c>
      <c r="M1344" s="30" t="str">
        <f ca="1">IFERROR(__xludf.DUMMYFUNCTION("""COMPUTED_VALUE"""),"54063010000")</f>
        <v>54063010000</v>
      </c>
      <c r="N1344" s="30" t="str">
        <f ca="1">IFERROR(__xludf.DUMMYFUNCTION("""COMPUTED_VALUE"""),"ESPERANZA")</f>
        <v>ESPERANZA</v>
      </c>
      <c r="O1344" s="30" t="str">
        <f ca="1">IFERROR(__xludf.DUMMYFUNCTION("""COMPUTED_VALUE"""),"5463")</f>
        <v>5463</v>
      </c>
      <c r="P1344" s="30" t="str">
        <f ca="1">IFERROR(__xludf.DUMMYFUNCTION("""COMPUTED_VALUE"""),"IGUAZÚ")</f>
        <v>IGUAZÚ</v>
      </c>
      <c r="Q1344" s="30" t="str">
        <f ca="1">IFERROR(__xludf.DUMMYFUNCTION("""COMPUTED_VALUE"""),"-26.02186")</f>
        <v>-26.02186</v>
      </c>
      <c r="R1344" s="30" t="str">
        <f ca="1">IFERROR(__xludf.DUMMYFUNCTION("""COMPUTED_VALUE"""),"-54.60578")</f>
        <v>-54.60578</v>
      </c>
      <c r="S1344" s="30" t="str">
        <f ca="1">IFERROR(__xludf.DUMMYFUNCTION("""COMPUTED_VALUE"""),"Provincial")</f>
        <v>Provincial</v>
      </c>
      <c r="T1344" s="30" t="str">
        <f ca="1">IFERROR(__xludf.DUMMYFUNCTION("""COMPUTED_VALUE"""),"-")</f>
        <v>-</v>
      </c>
    </row>
    <row r="1345" spans="1:20" ht="15.75" customHeight="1" x14ac:dyDescent="0.25">
      <c r="A1345" s="30" t="str">
        <f ca="1">IFERROR(__xludf.DUMMYFUNCTION("""COMPUTED_VALUE"""),"10540492164434")</f>
        <v>10540492164434</v>
      </c>
      <c r="B1345" s="30" t="str">
        <f ca="1">IFERROR(__xludf.DUMMYFUNCTION("""COMPUTED_VALUE"""),"HOSPITAL NIVEL I DE BERNARDO DE IRIGOYEN - MANUEL BELGRANO")</f>
        <v>HOSPITAL NIVEL I DE BERNARDO DE IRIGOYEN - MANUEL BELGRANO</v>
      </c>
      <c r="C1345" s="30" t="str">
        <f ca="1">IFERROR(__xludf.DUMMYFUNCTION("""COMPUTED_VALUE"""),"Misiones")</f>
        <v>Misiones</v>
      </c>
      <c r="D1345" s="30" t="str">
        <f ca="1">IFERROR(__xludf.DUMMYFUNCTION("""COMPUTED_VALUE"""),"54")</f>
        <v>54</v>
      </c>
      <c r="E1345" s="30" t="str">
        <f ca="1">IFERROR(__xludf.DUMMYFUNCTION("""COMPUTED_VALUE"""),"si")</f>
        <v>si</v>
      </c>
      <c r="F1345" s="29"/>
      <c r="G1345" s="29"/>
      <c r="H1345" s="30" t="str">
        <f ca="1">IFERROR(__xludf.DUMMYFUNCTION("""COMPUTED_VALUE"""),"activo")</f>
        <v>activo</v>
      </c>
      <c r="I1345" s="29"/>
      <c r="J1345" s="29"/>
      <c r="K1345" s="29"/>
      <c r="L1345" s="30" t="str">
        <f ca="1">IFERROR(__xludf.DUMMYFUNCTION("""COMPUTED_VALUE"""),"No")</f>
        <v>No</v>
      </c>
      <c r="M1345" s="30" t="str">
        <f ca="1">IFERROR(__xludf.DUMMYFUNCTION("""COMPUTED_VALUE"""),"54049020000")</f>
        <v>54049020000</v>
      </c>
      <c r="N1345" s="30" t="str">
        <f ca="1">IFERROR(__xludf.DUMMYFUNCTION("""COMPUTED_VALUE"""),"BERNARDO DE IRIGOYEN")</f>
        <v>BERNARDO DE IRIGOYEN</v>
      </c>
      <c r="O1345" s="30" t="str">
        <f ca="1">IFERROR(__xludf.DUMMYFUNCTION("""COMPUTED_VALUE"""),"5449")</f>
        <v>5449</v>
      </c>
      <c r="P1345" s="30" t="str">
        <f ca="1">IFERROR(__xludf.DUMMYFUNCTION("""COMPUTED_VALUE"""),"GENERAL MANUEL BELGRANO")</f>
        <v>GENERAL MANUEL BELGRANO</v>
      </c>
      <c r="Q1345" s="30" t="str">
        <f ca="1">IFERROR(__xludf.DUMMYFUNCTION("""COMPUTED_VALUE"""),"-26.2511091")</f>
        <v>-26.2511091</v>
      </c>
      <c r="R1345" s="30" t="str">
        <f ca="1">IFERROR(__xludf.DUMMYFUNCTION("""COMPUTED_VALUE"""),"-53.6492733")</f>
        <v>-53.6492733</v>
      </c>
      <c r="S1345" s="30" t="str">
        <f ca="1">IFERROR(__xludf.DUMMYFUNCTION("""COMPUTED_VALUE"""),"Provincial")</f>
        <v>Provincial</v>
      </c>
      <c r="T1345" s="30" t="str">
        <f ca="1">IFERROR(__xludf.DUMMYFUNCTION("""COMPUTED_VALUE"""),"-")</f>
        <v>-</v>
      </c>
    </row>
    <row r="1346" spans="1:20" ht="15.75" customHeight="1" x14ac:dyDescent="0.25">
      <c r="A1346" s="30" t="str">
        <f ca="1">IFERROR(__xludf.DUMMYFUNCTION("""COMPUTED_VALUE"""),"10540772164457")</f>
        <v>10540772164457</v>
      </c>
      <c r="B1346" s="30" t="str">
        <f ca="1">IFERROR(__xludf.DUMMYFUNCTION("""COMPUTED_VALUE"""),"HOSPITAL NIVEL I HMNA LUITPOLDA SES DE CAPIOVI")</f>
        <v>HOSPITAL NIVEL I HMNA LUITPOLDA SES DE CAPIOVI</v>
      </c>
      <c r="C1346" s="30" t="str">
        <f ca="1">IFERROR(__xludf.DUMMYFUNCTION("""COMPUTED_VALUE"""),"Misiones")</f>
        <v>Misiones</v>
      </c>
      <c r="D1346" s="30" t="str">
        <f ca="1">IFERROR(__xludf.DUMMYFUNCTION("""COMPUTED_VALUE"""),"54")</f>
        <v>54</v>
      </c>
      <c r="E1346" s="30" t="str">
        <f ca="1">IFERROR(__xludf.DUMMYFUNCTION("""COMPUTED_VALUE"""),"")</f>
        <v/>
      </c>
      <c r="F1346" s="29"/>
      <c r="G1346" s="29"/>
      <c r="H1346" s="30" t="str">
        <f ca="1">IFERROR(__xludf.DUMMYFUNCTION("""COMPUTED_VALUE"""),"activo")</f>
        <v>activo</v>
      </c>
      <c r="I1346" s="29"/>
      <c r="J1346" s="29"/>
      <c r="K1346" s="29"/>
      <c r="L1346" s="30" t="str">
        <f ca="1">IFERROR(__xludf.DUMMYFUNCTION("""COMPUTED_VALUE"""),"No")</f>
        <v>No</v>
      </c>
      <c r="M1346" s="30" t="str">
        <f ca="1">IFERROR(__xludf.DUMMYFUNCTION("""COMPUTED_VALUE"""),"54077010000")</f>
        <v>54077010000</v>
      </c>
      <c r="N1346" s="30" t="str">
        <f ca="1">IFERROR(__xludf.DUMMYFUNCTION("""COMPUTED_VALUE"""),"CAPIOVI")</f>
        <v>CAPIOVI</v>
      </c>
      <c r="O1346" s="30" t="str">
        <f ca="1">IFERROR(__xludf.DUMMYFUNCTION("""COMPUTED_VALUE"""),"5477")</f>
        <v>5477</v>
      </c>
      <c r="P1346" s="30" t="str">
        <f ca="1">IFERROR(__xludf.DUMMYFUNCTION("""COMPUTED_VALUE"""),"LIBERTADOR GRL. SAN MARTÍN")</f>
        <v>LIBERTADOR GRL. SAN MARTÍN</v>
      </c>
      <c r="Q1346" s="30" t="str">
        <f ca="1">IFERROR(__xludf.DUMMYFUNCTION("""COMPUTED_VALUE"""),"-26.93098")</f>
        <v>-26.93098</v>
      </c>
      <c r="R1346" s="30" t="str">
        <f ca="1">IFERROR(__xludf.DUMMYFUNCTION("""COMPUTED_VALUE"""),"-55.05786")</f>
        <v>-55.05786</v>
      </c>
      <c r="S1346" s="30" t="str">
        <f ca="1">IFERROR(__xludf.DUMMYFUNCTION("""COMPUTED_VALUE"""),"Provincial")</f>
        <v>Provincial</v>
      </c>
      <c r="T1346" s="30" t="str">
        <f ca="1">IFERROR(__xludf.DUMMYFUNCTION("""COMPUTED_VALUE"""),"-")</f>
        <v>-</v>
      </c>
    </row>
    <row r="1347" spans="1:20" ht="15.75" customHeight="1" x14ac:dyDescent="0.25">
      <c r="A1347" s="30" t="str">
        <f ca="1">IFERROR(__xludf.DUMMYFUNCTION("""COMPUTED_VALUE"""),"10540772164462")</f>
        <v>10540772164462</v>
      </c>
      <c r="B1347" s="30" t="str">
        <f ca="1">IFERROR(__xludf.DUMMYFUNCTION("""COMPUTED_VALUE"""),"HOSPITAL DE PUERTO RICO - NIVEL II - DR. RICARDO GUTIERREZ")</f>
        <v>HOSPITAL DE PUERTO RICO - NIVEL II - DR. RICARDO GUTIERREZ</v>
      </c>
      <c r="C1347" s="30" t="str">
        <f ca="1">IFERROR(__xludf.DUMMYFUNCTION("""COMPUTED_VALUE"""),"Misiones")</f>
        <v>Misiones</v>
      </c>
      <c r="D1347" s="30" t="str">
        <f ca="1">IFERROR(__xludf.DUMMYFUNCTION("""COMPUTED_VALUE"""),"54")</f>
        <v>54</v>
      </c>
      <c r="E1347" s="30" t="str">
        <f ca="1">IFERROR(__xludf.DUMMYFUNCTION("""COMPUTED_VALUE"""),"")</f>
        <v/>
      </c>
      <c r="F1347" s="29"/>
      <c r="G1347" s="29"/>
      <c r="H1347" s="30" t="str">
        <f ca="1">IFERROR(__xludf.DUMMYFUNCTION("""COMPUTED_VALUE"""),"activo")</f>
        <v>activo</v>
      </c>
      <c r="I1347" s="29"/>
      <c r="J1347" s="29"/>
      <c r="K1347" s="29"/>
      <c r="L1347" s="30" t="str">
        <f ca="1">IFERROR(__xludf.DUMMYFUNCTION("""COMPUTED_VALUE"""),"No")</f>
        <v>No</v>
      </c>
      <c r="M1347" s="30" t="str">
        <f ca="1">IFERROR(__xludf.DUMMYFUNCTION("""COMPUTED_VALUE"""),"54077060000")</f>
        <v>54077060000</v>
      </c>
      <c r="N1347" s="30" t="str">
        <f ca="1">IFERROR(__xludf.DUMMYFUNCTION("""COMPUTED_VALUE"""),"PUERTO RICO")</f>
        <v>PUERTO RICO</v>
      </c>
      <c r="O1347" s="30" t="str">
        <f ca="1">IFERROR(__xludf.DUMMYFUNCTION("""COMPUTED_VALUE"""),"5477")</f>
        <v>5477</v>
      </c>
      <c r="P1347" s="30" t="str">
        <f ca="1">IFERROR(__xludf.DUMMYFUNCTION("""COMPUTED_VALUE"""),"LIBERTADOR GRL. SAN MARTÍN")</f>
        <v>LIBERTADOR GRL. SAN MARTÍN</v>
      </c>
      <c r="Q1347" s="30" t="str">
        <f ca="1">IFERROR(__xludf.DUMMYFUNCTION("""COMPUTED_VALUE"""),"-26.815259")</f>
        <v>-26.815259</v>
      </c>
      <c r="R1347" s="30" t="str">
        <f ca="1">IFERROR(__xludf.DUMMYFUNCTION("""COMPUTED_VALUE"""),"-55.0274185")</f>
        <v>-55.0274185</v>
      </c>
      <c r="S1347" s="30" t="str">
        <f ca="1">IFERROR(__xludf.DUMMYFUNCTION("""COMPUTED_VALUE"""),"Provincial")</f>
        <v>Provincial</v>
      </c>
      <c r="T1347" s="30" t="str">
        <f ca="1">IFERROR(__xludf.DUMMYFUNCTION("""COMPUTED_VALUE"""),"-")</f>
        <v>-</v>
      </c>
    </row>
    <row r="1348" spans="1:20" ht="15.75" customHeight="1" x14ac:dyDescent="0.25">
      <c r="A1348" s="30" t="str">
        <f ca="1">IFERROR(__xludf.DUMMYFUNCTION("""COMPUTED_VALUE"""),"10540842164463")</f>
        <v>10540842164463</v>
      </c>
      <c r="B1348" s="30" t="str">
        <f ca="1">IFERROR(__xludf.DUMMYFUNCTION("""COMPUTED_VALUE"""),"HOSPITAL DE MONTECARLO - NIVEL I - DR. OSCAR EUGENIO DARU")</f>
        <v>HOSPITAL DE MONTECARLO - NIVEL I - DR. OSCAR EUGENIO DARU</v>
      </c>
      <c r="C1348" s="30" t="str">
        <f ca="1">IFERROR(__xludf.DUMMYFUNCTION("""COMPUTED_VALUE"""),"Misiones")</f>
        <v>Misiones</v>
      </c>
      <c r="D1348" s="30" t="str">
        <f ca="1">IFERROR(__xludf.DUMMYFUNCTION("""COMPUTED_VALUE"""),"54")</f>
        <v>54</v>
      </c>
      <c r="E1348" s="30" t="str">
        <f ca="1">IFERROR(__xludf.DUMMYFUNCTION("""COMPUTED_VALUE"""),"si")</f>
        <v>si</v>
      </c>
      <c r="F1348" s="29"/>
      <c r="G1348" s="29"/>
      <c r="H1348" s="30" t="str">
        <f ca="1">IFERROR(__xludf.DUMMYFUNCTION("""COMPUTED_VALUE"""),"activo")</f>
        <v>activo</v>
      </c>
      <c r="I1348" s="29"/>
      <c r="J1348" s="29"/>
      <c r="K1348" s="29"/>
      <c r="L1348" s="30" t="str">
        <f ca="1">IFERROR(__xludf.DUMMYFUNCTION("""COMPUTED_VALUE"""),"No")</f>
        <v>No</v>
      </c>
      <c r="M1348" s="30" t="str">
        <f ca="1">IFERROR(__xludf.DUMMYFUNCTION("""COMPUTED_VALUE"""),"54084030000")</f>
        <v>54084030000</v>
      </c>
      <c r="N1348" s="30" t="str">
        <f ca="1">IFERROR(__xludf.DUMMYFUNCTION("""COMPUTED_VALUE"""),"MONTECARLO")</f>
        <v>MONTECARLO</v>
      </c>
      <c r="O1348" s="30" t="str">
        <f ca="1">IFERROR(__xludf.DUMMYFUNCTION("""COMPUTED_VALUE"""),"5484")</f>
        <v>5484</v>
      </c>
      <c r="P1348" s="30" t="str">
        <f ca="1">IFERROR(__xludf.DUMMYFUNCTION("""COMPUTED_VALUE"""),"MONTECARLO")</f>
        <v>MONTECARLO</v>
      </c>
      <c r="Q1348" s="30" t="str">
        <f ca="1">IFERROR(__xludf.DUMMYFUNCTION("""COMPUTED_VALUE"""),"-26.5684384")</f>
        <v>-26.5684384</v>
      </c>
      <c r="R1348" s="30" t="str">
        <f ca="1">IFERROR(__xludf.DUMMYFUNCTION("""COMPUTED_VALUE"""),"-54.7665377")</f>
        <v>-54.7665377</v>
      </c>
      <c r="S1348" s="30" t="str">
        <f ca="1">IFERROR(__xludf.DUMMYFUNCTION("""COMPUTED_VALUE"""),"Provincial")</f>
        <v>Provincial</v>
      </c>
      <c r="T1348" s="30" t="str">
        <f ca="1">IFERROR(__xludf.DUMMYFUNCTION("""COMPUTED_VALUE"""),"-")</f>
        <v>-</v>
      </c>
    </row>
    <row r="1349" spans="1:20" ht="15.75" customHeight="1" x14ac:dyDescent="0.25">
      <c r="A1349" s="30" t="str">
        <f ca="1">IFERROR(__xludf.DUMMYFUNCTION("""COMPUTED_VALUE"""),"10540842165109")</f>
        <v>10540842165109</v>
      </c>
      <c r="B1349" s="30" t="str">
        <f ca="1">IFERROR(__xludf.DUMMYFUNCTION("""COMPUTED_VALUE"""),"HOSPITAL NIVEL I PUERTO PIRAY")</f>
        <v>HOSPITAL NIVEL I PUERTO PIRAY</v>
      </c>
      <c r="C1349" s="30" t="str">
        <f ca="1">IFERROR(__xludf.DUMMYFUNCTION("""COMPUTED_VALUE"""),"Misiones")</f>
        <v>Misiones</v>
      </c>
      <c r="D1349" s="30" t="str">
        <f ca="1">IFERROR(__xludf.DUMMYFUNCTION("""COMPUTED_VALUE"""),"54")</f>
        <v>54</v>
      </c>
      <c r="E1349" s="30" t="str">
        <f ca="1">IFERROR(__xludf.DUMMYFUNCTION("""COMPUTED_VALUE"""),"")</f>
        <v/>
      </c>
      <c r="F1349" s="29"/>
      <c r="G1349" s="29"/>
      <c r="H1349" s="30" t="str">
        <f ca="1">IFERROR(__xludf.DUMMYFUNCTION("""COMPUTED_VALUE"""),"activo")</f>
        <v>activo</v>
      </c>
      <c r="I1349" s="30" t="str">
        <f ca="1">IFERROR(__xludf.DUMMYFUNCTION("""COMPUTED_VALUE"""),"2020")</f>
        <v>2020</v>
      </c>
      <c r="J1349" s="29"/>
      <c r="K1349" s="29"/>
      <c r="L1349" s="30" t="str">
        <f ca="1">IFERROR(__xludf.DUMMYFUNCTION("""COMPUTED_VALUE"""),"No")</f>
        <v>No</v>
      </c>
      <c r="M1349" s="30" t="str">
        <f ca="1">IFERROR(__xludf.DUMMYFUNCTION("""COMPUTED_VALUE"""),"54084040000")</f>
        <v>54084040000</v>
      </c>
      <c r="N1349" s="30" t="str">
        <f ca="1">IFERROR(__xludf.DUMMYFUNCTION("""COMPUTED_VALUE"""),"PIRAY KILOMETRO 18")</f>
        <v>PIRAY KILOMETRO 18</v>
      </c>
      <c r="O1349" s="30" t="str">
        <f ca="1">IFERROR(__xludf.DUMMYFUNCTION("""COMPUTED_VALUE"""),"5484")</f>
        <v>5484</v>
      </c>
      <c r="P1349" s="30" t="str">
        <f ca="1">IFERROR(__xludf.DUMMYFUNCTION("""COMPUTED_VALUE"""),"MONTECARLO")</f>
        <v>MONTECARLO</v>
      </c>
      <c r="Q1349" s="30" t="str">
        <f ca="1">IFERROR(__xludf.DUMMYFUNCTION("""COMPUTED_VALUE"""),"-26.4670588")</f>
        <v>-26.4670588</v>
      </c>
      <c r="R1349" s="30" t="str">
        <f ca="1">IFERROR(__xludf.DUMMYFUNCTION("""COMPUTED_VALUE"""),"-54.7050275")</f>
        <v>-54.7050275</v>
      </c>
      <c r="S1349" s="30" t="str">
        <f ca="1">IFERROR(__xludf.DUMMYFUNCTION("""COMPUTED_VALUE"""),"Provincial")</f>
        <v>Provincial</v>
      </c>
      <c r="T1349" s="30" t="str">
        <f ca="1">IFERROR(__xludf.DUMMYFUNCTION("""COMPUTED_VALUE"""),"-")</f>
        <v>-</v>
      </c>
    </row>
    <row r="1350" spans="1:20" ht="15.75" customHeight="1" x14ac:dyDescent="0.25">
      <c r="A1350" s="30" t="str">
        <f ca="1">IFERROR(__xludf.DUMMYFUNCTION("""COMPUTED_VALUE"""),"10540982164481")</f>
        <v>10540982164481</v>
      </c>
      <c r="B1350" s="30" t="str">
        <f ca="1">IFERROR(__xludf.DUMMYFUNCTION("""COMPUTED_VALUE"""),"HOSPITAL DE CORPUS - NIVEL I")</f>
        <v>HOSPITAL DE CORPUS - NIVEL I</v>
      </c>
      <c r="C1350" s="30" t="str">
        <f ca="1">IFERROR(__xludf.DUMMYFUNCTION("""COMPUTED_VALUE"""),"Misiones")</f>
        <v>Misiones</v>
      </c>
      <c r="D1350" s="30" t="str">
        <f ca="1">IFERROR(__xludf.DUMMYFUNCTION("""COMPUTED_VALUE"""),"54")</f>
        <v>54</v>
      </c>
      <c r="E1350" s="30" t="str">
        <f ca="1">IFERROR(__xludf.DUMMYFUNCTION("""COMPUTED_VALUE"""),"")</f>
        <v/>
      </c>
      <c r="F1350" s="29"/>
      <c r="G1350" s="29"/>
      <c r="H1350" s="30" t="str">
        <f ca="1">IFERROR(__xludf.DUMMYFUNCTION("""COMPUTED_VALUE"""),"activo")</f>
        <v>activo</v>
      </c>
      <c r="I1350" s="29"/>
      <c r="J1350" s="29"/>
      <c r="K1350" s="29"/>
      <c r="L1350" s="30" t="str">
        <f ca="1">IFERROR(__xludf.DUMMYFUNCTION("""COMPUTED_VALUE"""),"No")</f>
        <v>No</v>
      </c>
      <c r="M1350" s="30" t="str">
        <f ca="1">IFERROR(__xludf.DUMMYFUNCTION("""COMPUTED_VALUE"""),"54098020000")</f>
        <v>54098020000</v>
      </c>
      <c r="N1350" s="30" t="str">
        <f ca="1">IFERROR(__xludf.DUMMYFUNCTION("""COMPUTED_VALUE"""),"CORPUS")</f>
        <v>CORPUS</v>
      </c>
      <c r="O1350" s="30" t="str">
        <f ca="1">IFERROR(__xludf.DUMMYFUNCTION("""COMPUTED_VALUE"""),"5498")</f>
        <v>5498</v>
      </c>
      <c r="P1350" s="30" t="str">
        <f ca="1">IFERROR(__xludf.DUMMYFUNCTION("""COMPUTED_VALUE"""),"SAN IGNACIO")</f>
        <v>SAN IGNACIO</v>
      </c>
      <c r="Q1350" s="30" t="str">
        <f ca="1">IFERROR(__xludf.DUMMYFUNCTION("""COMPUTED_VALUE"""),"-27.13097")</f>
        <v>-27.13097</v>
      </c>
      <c r="R1350" s="30" t="str">
        <f ca="1">IFERROR(__xludf.DUMMYFUNCTION("""COMPUTED_VALUE"""),"-55.512209")</f>
        <v>-55.512209</v>
      </c>
      <c r="S1350" s="30" t="str">
        <f ca="1">IFERROR(__xludf.DUMMYFUNCTION("""COMPUTED_VALUE"""),"Provincial")</f>
        <v>Provincial</v>
      </c>
      <c r="T1350" s="30" t="str">
        <f ca="1">IFERROR(__xludf.DUMMYFUNCTION("""COMPUTED_VALUE"""),"-")</f>
        <v>-</v>
      </c>
    </row>
    <row r="1351" spans="1:20" ht="15.75" customHeight="1" x14ac:dyDescent="0.25">
      <c r="A1351" s="30" t="str">
        <f ca="1">IFERROR(__xludf.DUMMYFUNCTION("""COMPUTED_VALUE"""),"10540982164482")</f>
        <v>10540982164482</v>
      </c>
      <c r="B1351" s="30" t="str">
        <f ca="1">IFERROR(__xludf.DUMMYFUNCTION("""COMPUTED_VALUE"""),"HOSPITAL DE GOBERNADOR ROCA - NIVEL I - LUIS ROLANDELLI")</f>
        <v>HOSPITAL DE GOBERNADOR ROCA - NIVEL I - LUIS ROLANDELLI</v>
      </c>
      <c r="C1351" s="30" t="str">
        <f ca="1">IFERROR(__xludf.DUMMYFUNCTION("""COMPUTED_VALUE"""),"Misiones")</f>
        <v>Misiones</v>
      </c>
      <c r="D1351" s="30" t="str">
        <f ca="1">IFERROR(__xludf.DUMMYFUNCTION("""COMPUTED_VALUE"""),"54")</f>
        <v>54</v>
      </c>
      <c r="E1351" s="30" t="str">
        <f ca="1">IFERROR(__xludf.DUMMYFUNCTION("""COMPUTED_VALUE"""),"")</f>
        <v/>
      </c>
      <c r="F1351" s="29"/>
      <c r="G1351" s="29"/>
      <c r="H1351" s="30" t="str">
        <f ca="1">IFERROR(__xludf.DUMMYFUNCTION("""COMPUTED_VALUE"""),"activo")</f>
        <v>activo</v>
      </c>
      <c r="I1351" s="29"/>
      <c r="J1351" s="29"/>
      <c r="K1351" s="29"/>
      <c r="L1351" s="30" t="str">
        <f ca="1">IFERROR(__xludf.DUMMYFUNCTION("""COMPUTED_VALUE"""),"No")</f>
        <v>No</v>
      </c>
      <c r="M1351" s="30" t="str">
        <f ca="1">IFERROR(__xludf.DUMMYFUNCTION("""COMPUTED_VALUE"""),"54098050000")</f>
        <v>54098050000</v>
      </c>
      <c r="N1351" s="30" t="str">
        <f ca="1">IFERROR(__xludf.DUMMYFUNCTION("""COMPUTED_VALUE"""),"GOBERNADOR ROCA")</f>
        <v>GOBERNADOR ROCA</v>
      </c>
      <c r="O1351" s="30" t="str">
        <f ca="1">IFERROR(__xludf.DUMMYFUNCTION("""COMPUTED_VALUE"""),"5498")</f>
        <v>5498</v>
      </c>
      <c r="P1351" s="30" t="str">
        <f ca="1">IFERROR(__xludf.DUMMYFUNCTION("""COMPUTED_VALUE"""),"SAN IGNACIO")</f>
        <v>SAN IGNACIO</v>
      </c>
      <c r="Q1351" s="30" t="str">
        <f ca="1">IFERROR(__xludf.DUMMYFUNCTION("""COMPUTED_VALUE"""),"-27.1839878")</f>
        <v>-27.1839878</v>
      </c>
      <c r="R1351" s="30" t="str">
        <f ca="1">IFERROR(__xludf.DUMMYFUNCTION("""COMPUTED_VALUE"""),"-55.465774")</f>
        <v>-55.465774</v>
      </c>
      <c r="S1351" s="30" t="str">
        <f ca="1">IFERROR(__xludf.DUMMYFUNCTION("""COMPUTED_VALUE"""),"Provincial")</f>
        <v>Provincial</v>
      </c>
      <c r="T1351" s="30" t="str">
        <f ca="1">IFERROR(__xludf.DUMMYFUNCTION("""COMPUTED_VALUE"""),"-")</f>
        <v>-</v>
      </c>
    </row>
    <row r="1352" spans="1:20" ht="15.75" customHeight="1" x14ac:dyDescent="0.25">
      <c r="A1352" s="30" t="str">
        <f ca="1">IFERROR(__xludf.DUMMYFUNCTION("""COMPUTED_VALUE"""),"10540982164483")</f>
        <v>10540982164483</v>
      </c>
      <c r="B1352" s="30" t="str">
        <f ca="1">IFERROR(__xludf.DUMMYFUNCTION("""COMPUTED_VALUE"""),"HOSPITAL DE JARDIN AMERICA TODOYOSKI KAMADA - NIVEL II")</f>
        <v>HOSPITAL DE JARDIN AMERICA TODOYOSKI KAMADA - NIVEL II</v>
      </c>
      <c r="C1352" s="30" t="str">
        <f ca="1">IFERROR(__xludf.DUMMYFUNCTION("""COMPUTED_VALUE"""),"Misiones")</f>
        <v>Misiones</v>
      </c>
      <c r="D1352" s="30" t="str">
        <f ca="1">IFERROR(__xludf.DUMMYFUNCTION("""COMPUTED_VALUE"""),"54")</f>
        <v>54</v>
      </c>
      <c r="E1352" s="30" t="str">
        <f ca="1">IFERROR(__xludf.DUMMYFUNCTION("""COMPUTED_VALUE"""),"")</f>
        <v/>
      </c>
      <c r="F1352" s="29"/>
      <c r="G1352" s="29"/>
      <c r="H1352" s="30" t="str">
        <f ca="1">IFERROR(__xludf.DUMMYFUNCTION("""COMPUTED_VALUE"""),"inactivo")</f>
        <v>inactivo</v>
      </c>
      <c r="I1352" s="30" t="str">
        <f ca="1">IFERROR(__xludf.DUMMYFUNCTION("""COMPUTED_VALUE"""),"Este efector se dio de baja mediante nota de la provincia 27-7-2022")</f>
        <v>Este efector se dio de baja mediante nota de la provincia 27-7-2022</v>
      </c>
      <c r="J1352" s="29"/>
      <c r="K1352" s="29"/>
      <c r="L1352" s="30" t="str">
        <f ca="1">IFERROR(__xludf.DUMMYFUNCTION("""COMPUTED_VALUE"""),"No")</f>
        <v>No</v>
      </c>
      <c r="M1352" s="30" t="str">
        <f ca="1">IFERROR(__xludf.DUMMYFUNCTION("""COMPUTED_VALUE"""),"54098080000")</f>
        <v>54098080000</v>
      </c>
      <c r="N1352" s="30" t="str">
        <f ca="1">IFERROR(__xludf.DUMMYFUNCTION("""COMPUTED_VALUE"""),"JARDIN AMERICA")</f>
        <v>JARDIN AMERICA</v>
      </c>
      <c r="O1352" s="30" t="str">
        <f ca="1">IFERROR(__xludf.DUMMYFUNCTION("""COMPUTED_VALUE"""),"5498")</f>
        <v>5498</v>
      </c>
      <c r="P1352" s="30" t="str">
        <f ca="1">IFERROR(__xludf.DUMMYFUNCTION("""COMPUTED_VALUE"""),"SAN IGNACIO")</f>
        <v>SAN IGNACIO</v>
      </c>
      <c r="Q1352" s="30" t="str">
        <f ca="1">IFERROR(__xludf.DUMMYFUNCTION("""COMPUTED_VALUE"""),"-27.0384763")</f>
        <v>-27.0384763</v>
      </c>
      <c r="R1352" s="30" t="str">
        <f ca="1">IFERROR(__xludf.DUMMYFUNCTION("""COMPUTED_VALUE"""),"-55.2296101")</f>
        <v>-55.2296101</v>
      </c>
      <c r="S1352" s="30" t="str">
        <f ca="1">IFERROR(__xludf.DUMMYFUNCTION("""COMPUTED_VALUE"""),"Provincial")</f>
        <v>Provincial</v>
      </c>
      <c r="T1352" s="30" t="str">
        <f ca="1">IFERROR(__xludf.DUMMYFUNCTION("""COMPUTED_VALUE"""),"-")</f>
        <v>-</v>
      </c>
    </row>
    <row r="1353" spans="1:20" ht="15.75" customHeight="1" x14ac:dyDescent="0.25">
      <c r="A1353" s="30" t="str">
        <f ca="1">IFERROR(__xludf.DUMMYFUNCTION("""COMPUTED_VALUE"""),"10540982164486")</f>
        <v>10540982164486</v>
      </c>
      <c r="B1353" s="30" t="str">
        <f ca="1">IFERROR(__xludf.DUMMYFUNCTION("""COMPUTED_VALUE"""),"HOSPITAL DE SAN IGNACIO DR HEBERTO VALDOVINO - NIVEL I")</f>
        <v>HOSPITAL DE SAN IGNACIO DR HEBERTO VALDOVINO - NIVEL I</v>
      </c>
      <c r="C1353" s="30" t="str">
        <f ca="1">IFERROR(__xludf.DUMMYFUNCTION("""COMPUTED_VALUE"""),"Misiones")</f>
        <v>Misiones</v>
      </c>
      <c r="D1353" s="30" t="str">
        <f ca="1">IFERROR(__xludf.DUMMYFUNCTION("""COMPUTED_VALUE"""),"54")</f>
        <v>54</v>
      </c>
      <c r="E1353" s="30" t="str">
        <f ca="1">IFERROR(__xludf.DUMMYFUNCTION("""COMPUTED_VALUE"""),"si")</f>
        <v>si</v>
      </c>
      <c r="F1353" s="29"/>
      <c r="G1353" s="29"/>
      <c r="H1353" s="30" t="str">
        <f ca="1">IFERROR(__xludf.DUMMYFUNCTION("""COMPUTED_VALUE"""),"activo")</f>
        <v>activo</v>
      </c>
      <c r="I1353" s="29"/>
      <c r="J1353" s="29"/>
      <c r="K1353" s="29"/>
      <c r="L1353" s="30" t="str">
        <f ca="1">IFERROR(__xludf.DUMMYFUNCTION("""COMPUTED_VALUE"""),"No")</f>
        <v>No</v>
      </c>
      <c r="M1353" s="30" t="str">
        <f ca="1">IFERROR(__xludf.DUMMYFUNCTION("""COMPUTED_VALUE"""),"54098110000")</f>
        <v>54098110000</v>
      </c>
      <c r="N1353" s="30" t="str">
        <f ca="1">IFERROR(__xludf.DUMMYFUNCTION("""COMPUTED_VALUE"""),"SAN IGNACIO")</f>
        <v>SAN IGNACIO</v>
      </c>
      <c r="O1353" s="30" t="str">
        <f ca="1">IFERROR(__xludf.DUMMYFUNCTION("""COMPUTED_VALUE"""),"5498")</f>
        <v>5498</v>
      </c>
      <c r="P1353" s="30" t="str">
        <f ca="1">IFERROR(__xludf.DUMMYFUNCTION("""COMPUTED_VALUE"""),"SAN IGNACIO")</f>
        <v>SAN IGNACIO</v>
      </c>
      <c r="Q1353" s="30" t="str">
        <f ca="1">IFERROR(__xludf.DUMMYFUNCTION("""COMPUTED_VALUE"""),"-27.2555829")</f>
        <v>-27.2555829</v>
      </c>
      <c r="R1353" s="30" t="str">
        <f ca="1">IFERROR(__xludf.DUMMYFUNCTION("""COMPUTED_VALUE"""),"-55.5407751")</f>
        <v>-55.5407751</v>
      </c>
      <c r="S1353" s="30" t="str">
        <f ca="1">IFERROR(__xludf.DUMMYFUNCTION("""COMPUTED_VALUE"""),"Provincial")</f>
        <v>Provincial</v>
      </c>
      <c r="T1353" s="30" t="str">
        <f ca="1">IFERROR(__xludf.DUMMYFUNCTION("""COMPUTED_VALUE"""),"-")</f>
        <v>-</v>
      </c>
    </row>
    <row r="1354" spans="1:20" ht="15.75" customHeight="1" x14ac:dyDescent="0.25">
      <c r="A1354" s="30" t="str">
        <f ca="1">IFERROR(__xludf.DUMMYFUNCTION("""COMPUTED_VALUE"""),"10541122164490")</f>
        <v>10541122164490</v>
      </c>
      <c r="B1354" s="30" t="str">
        <f ca="1">IFERROR(__xludf.DUMMYFUNCTION("""COMPUTED_VALUE"""),"HOSPITAL DE SAN PEDRO - NIVEL II")</f>
        <v>HOSPITAL DE SAN PEDRO - NIVEL II</v>
      </c>
      <c r="C1354" s="30" t="str">
        <f ca="1">IFERROR(__xludf.DUMMYFUNCTION("""COMPUTED_VALUE"""),"Misiones")</f>
        <v>Misiones</v>
      </c>
      <c r="D1354" s="30" t="str">
        <f ca="1">IFERROR(__xludf.DUMMYFUNCTION("""COMPUTED_VALUE"""),"54")</f>
        <v>54</v>
      </c>
      <c r="E1354" s="30" t="str">
        <f ca="1">IFERROR(__xludf.DUMMYFUNCTION("""COMPUTED_VALUE"""),"si")</f>
        <v>si</v>
      </c>
      <c r="F1354" s="29"/>
      <c r="G1354" s="29"/>
      <c r="H1354" s="30" t="str">
        <f ca="1">IFERROR(__xludf.DUMMYFUNCTION("""COMPUTED_VALUE"""),"activo")</f>
        <v>activo</v>
      </c>
      <c r="I1354" s="29"/>
      <c r="J1354" s="29"/>
      <c r="K1354" s="29"/>
      <c r="L1354" s="30" t="str">
        <f ca="1">IFERROR(__xludf.DUMMYFUNCTION("""COMPUTED_VALUE"""),"No")</f>
        <v>No</v>
      </c>
      <c r="M1354" s="30" t="str">
        <f ca="1">IFERROR(__xludf.DUMMYFUNCTION("""COMPUTED_VALUE"""),"54112040000")</f>
        <v>54112040000</v>
      </c>
      <c r="N1354" s="30" t="str">
        <f ca="1">IFERROR(__xludf.DUMMYFUNCTION("""COMPUTED_VALUE"""),"SAN PEDRO")</f>
        <v>SAN PEDRO</v>
      </c>
      <c r="O1354" s="30" t="str">
        <f ca="1">IFERROR(__xludf.DUMMYFUNCTION("""COMPUTED_VALUE"""),"54112")</f>
        <v>54112</v>
      </c>
      <c r="P1354" s="30" t="str">
        <f ca="1">IFERROR(__xludf.DUMMYFUNCTION("""COMPUTED_VALUE"""),"SAN PEDRO")</f>
        <v>SAN PEDRO</v>
      </c>
      <c r="Q1354" s="30" t="str">
        <f ca="1">IFERROR(__xludf.DUMMYFUNCTION("""COMPUTED_VALUE"""),"-26.6184312")</f>
        <v>-26.6184312</v>
      </c>
      <c r="R1354" s="30" t="str">
        <f ca="1">IFERROR(__xludf.DUMMYFUNCTION("""COMPUTED_VALUE"""),"-54.1086032")</f>
        <v>-54.1086032</v>
      </c>
      <c r="S1354" s="30" t="str">
        <f ca="1">IFERROR(__xludf.DUMMYFUNCTION("""COMPUTED_VALUE"""),"Provincial")</f>
        <v>Provincial</v>
      </c>
      <c r="T1354" s="30" t="str">
        <f ca="1">IFERROR(__xludf.DUMMYFUNCTION("""COMPUTED_VALUE"""),"-")</f>
        <v>-</v>
      </c>
    </row>
    <row r="1355" spans="1:20" ht="15.75" customHeight="1" x14ac:dyDescent="0.25">
      <c r="A1355" s="30" t="str">
        <f ca="1">IFERROR(__xludf.DUMMYFUNCTION("""COMPUTED_VALUE"""),"10541192164489")</f>
        <v>10541192164489</v>
      </c>
      <c r="B1355" s="30" t="str">
        <f ca="1">IFERROR(__xludf.DUMMYFUNCTION("""COMPUTED_VALUE"""),"HOSPITAL NIVEL I ALBA POSSE")</f>
        <v>HOSPITAL NIVEL I ALBA POSSE</v>
      </c>
      <c r="C1355" s="30" t="str">
        <f ca="1">IFERROR(__xludf.DUMMYFUNCTION("""COMPUTED_VALUE"""),"Misiones")</f>
        <v>Misiones</v>
      </c>
      <c r="D1355" s="30" t="str">
        <f ca="1">IFERROR(__xludf.DUMMYFUNCTION("""COMPUTED_VALUE"""),"54")</f>
        <v>54</v>
      </c>
      <c r="E1355" s="30" t="str">
        <f ca="1">IFERROR(__xludf.DUMMYFUNCTION("""COMPUTED_VALUE"""),"")</f>
        <v/>
      </c>
      <c r="F1355" s="29"/>
      <c r="G1355" s="29"/>
      <c r="H1355" s="30" t="str">
        <f ca="1">IFERROR(__xludf.DUMMYFUNCTION("""COMPUTED_VALUE"""),"inactivo")</f>
        <v>inactivo</v>
      </c>
      <c r="I1355" s="30" t="str">
        <f ca="1">IFERROR(__xludf.DUMMYFUNCTION("""COMPUTED_VALUE"""),"Este efector se dio de baja mediante nota de la provincia 27-7-2022")</f>
        <v>Este efector se dio de baja mediante nota de la provincia 27-7-2022</v>
      </c>
      <c r="J1355" s="29"/>
      <c r="K1355" s="29"/>
      <c r="L1355" s="30" t="str">
        <f ca="1">IFERROR(__xludf.DUMMYFUNCTION("""COMPUTED_VALUE"""),"No")</f>
        <v>No</v>
      </c>
      <c r="M1355" s="30" t="str">
        <f ca="1">IFERROR(__xludf.DUMMYFUNCTION("""COMPUTED_VALUE"""),"54119010000")</f>
        <v>54119010000</v>
      </c>
      <c r="N1355" s="30" t="str">
        <f ca="1">IFERROR(__xludf.DUMMYFUNCTION("""COMPUTED_VALUE"""),"ALBA POSSE")</f>
        <v>ALBA POSSE</v>
      </c>
      <c r="O1355" s="30" t="str">
        <f ca="1">IFERROR(__xludf.DUMMYFUNCTION("""COMPUTED_VALUE"""),"54119")</f>
        <v>54119</v>
      </c>
      <c r="P1355" s="30" t="str">
        <f ca="1">IFERROR(__xludf.DUMMYFUNCTION("""COMPUTED_VALUE"""),"25 DE MAYO")</f>
        <v>25 DE MAYO</v>
      </c>
      <c r="Q1355" s="30" t="str">
        <f ca="1">IFERROR(__xludf.DUMMYFUNCTION("""COMPUTED_VALUE"""),"-27.5653")</f>
        <v>-27.5653</v>
      </c>
      <c r="R1355" s="30" t="str">
        <f ca="1">IFERROR(__xludf.DUMMYFUNCTION("""COMPUTED_VALUE"""),"-54.68318")</f>
        <v>-54.68318</v>
      </c>
      <c r="S1355" s="30" t="str">
        <f ca="1">IFERROR(__xludf.DUMMYFUNCTION("""COMPUTED_VALUE"""),"Provincial")</f>
        <v>Provincial</v>
      </c>
      <c r="T1355" s="30" t="str">
        <f ca="1">IFERROR(__xludf.DUMMYFUNCTION("""COMPUTED_VALUE"""),"-")</f>
        <v>-</v>
      </c>
    </row>
    <row r="1356" spans="1:20" ht="15.75" customHeight="1" x14ac:dyDescent="0.25">
      <c r="A1356" s="30" t="str">
        <f ca="1">IFERROR(__xludf.DUMMYFUNCTION("""COMPUTED_VALUE"""),"10541192164496")</f>
        <v>10541192164496</v>
      </c>
      <c r="B1356" s="30" t="str">
        <f ca="1">IFERROR(__xludf.DUMMYFUNCTION("""COMPUTED_VALUE"""),"HOSPITAL DE 25 DE MAYO - NIVEL I - DR. RICARDO ALBA POSSE")</f>
        <v>HOSPITAL DE 25 DE MAYO - NIVEL I - DR. RICARDO ALBA POSSE</v>
      </c>
      <c r="C1356" s="30" t="str">
        <f ca="1">IFERROR(__xludf.DUMMYFUNCTION("""COMPUTED_VALUE"""),"Misiones")</f>
        <v>Misiones</v>
      </c>
      <c r="D1356" s="30" t="str">
        <f ca="1">IFERROR(__xludf.DUMMYFUNCTION("""COMPUTED_VALUE"""),"54")</f>
        <v>54</v>
      </c>
      <c r="E1356" s="30" t="str">
        <f ca="1">IFERROR(__xludf.DUMMYFUNCTION("""COMPUTED_VALUE"""),"si")</f>
        <v>si</v>
      </c>
      <c r="F1356" s="29"/>
      <c r="G1356" s="29"/>
      <c r="H1356" s="30" t="str">
        <f ca="1">IFERROR(__xludf.DUMMYFUNCTION("""COMPUTED_VALUE"""),"activo")</f>
        <v>activo</v>
      </c>
      <c r="I1356" s="29"/>
      <c r="J1356" s="29"/>
      <c r="K1356" s="29"/>
      <c r="L1356" s="30" t="str">
        <f ca="1">IFERROR(__xludf.DUMMYFUNCTION("""COMPUTED_VALUE"""),"No")</f>
        <v>No</v>
      </c>
      <c r="M1356" s="30" t="str">
        <f ca="1">IFERROR(__xludf.DUMMYFUNCTION("""COMPUTED_VALUE"""),"54119060000")</f>
        <v>54119060000</v>
      </c>
      <c r="N1356" s="30" t="str">
        <f ca="1">IFERROR(__xludf.DUMMYFUNCTION("""COMPUTED_VALUE"""),"25 DE MAYO")</f>
        <v>25 DE MAYO</v>
      </c>
      <c r="O1356" s="30" t="str">
        <f ca="1">IFERROR(__xludf.DUMMYFUNCTION("""COMPUTED_VALUE"""),"54119")</f>
        <v>54119</v>
      </c>
      <c r="P1356" s="30" t="str">
        <f ca="1">IFERROR(__xludf.DUMMYFUNCTION("""COMPUTED_VALUE"""),"25 DE MAYO")</f>
        <v>25 DE MAYO</v>
      </c>
      <c r="Q1356" s="30" t="str">
        <f ca="1">IFERROR(__xludf.DUMMYFUNCTION("""COMPUTED_VALUE"""),"-27.37891759")</f>
        <v>-27.37891759</v>
      </c>
      <c r="R1356" s="30" t="str">
        <f ca="1">IFERROR(__xludf.DUMMYFUNCTION("""COMPUTED_VALUE"""),"-54.7442249")</f>
        <v>-54.7442249</v>
      </c>
      <c r="S1356" s="30" t="str">
        <f ca="1">IFERROR(__xludf.DUMMYFUNCTION("""COMPUTED_VALUE"""),"Provincial")</f>
        <v>Provincial</v>
      </c>
      <c r="T1356" s="30" t="str">
        <f ca="1">IFERROR(__xludf.DUMMYFUNCTION("""COMPUTED_VALUE"""),"-")</f>
        <v>-</v>
      </c>
    </row>
    <row r="1357" spans="1:20" ht="15.75" customHeight="1" x14ac:dyDescent="0.25">
      <c r="A1357" s="30" t="str">
        <f ca="1">IFERROR(__xludf.DUMMYFUNCTION("""COMPUTED_VALUE"""),"10540492164506")</f>
        <v>10540492164506</v>
      </c>
      <c r="B1357" s="30" t="str">
        <f ca="1">IFERROR(__xludf.DUMMYFUNCTION("""COMPUTED_VALUE"""),"HOSPITAL NIVEL I DE ALMIRANTE BROWN")</f>
        <v>HOSPITAL NIVEL I DE ALMIRANTE BROWN</v>
      </c>
      <c r="C1357" s="30" t="str">
        <f ca="1">IFERROR(__xludf.DUMMYFUNCTION("""COMPUTED_VALUE"""),"Misiones")</f>
        <v>Misiones</v>
      </c>
      <c r="D1357" s="30" t="str">
        <f ca="1">IFERROR(__xludf.DUMMYFUNCTION("""COMPUTED_VALUE"""),"54")</f>
        <v>54</v>
      </c>
      <c r="E1357" s="30" t="str">
        <f ca="1">IFERROR(__xludf.DUMMYFUNCTION("""COMPUTED_VALUE"""),"")</f>
        <v/>
      </c>
      <c r="F1357" s="29"/>
      <c r="G1357" s="29"/>
      <c r="H1357" s="30" t="str">
        <f ca="1">IFERROR(__xludf.DUMMYFUNCTION("""COMPUTED_VALUE"""),"activo")</f>
        <v>activo</v>
      </c>
      <c r="I1357" s="29"/>
      <c r="J1357" s="29"/>
      <c r="K1357" s="29"/>
      <c r="L1357" s="30" t="str">
        <f ca="1">IFERROR(__xludf.DUMMYFUNCTION("""COMPUTED_VALUE"""),"No")</f>
        <v>No</v>
      </c>
      <c r="M1357" s="30" t="str">
        <f ca="1">IFERROR(__xludf.DUMMYFUNCTION("""COMPUTED_VALUE"""),"54049010000")</f>
        <v>54049010000</v>
      </c>
      <c r="N1357" s="30" t="str">
        <f ca="1">IFERROR(__xludf.DUMMYFUNCTION("""COMPUTED_VALUE"""),"ALMIRANTE BROWN")</f>
        <v>ALMIRANTE BROWN</v>
      </c>
      <c r="O1357" s="30" t="str">
        <f ca="1">IFERROR(__xludf.DUMMYFUNCTION("""COMPUTED_VALUE"""),"5449")</f>
        <v>5449</v>
      </c>
      <c r="P1357" s="30" t="str">
        <f ca="1">IFERROR(__xludf.DUMMYFUNCTION("""COMPUTED_VALUE"""),"GENERAL MANUEL BELGRANO")</f>
        <v>GENERAL MANUEL BELGRANO</v>
      </c>
      <c r="Q1357" s="30" t="str">
        <f ca="1">IFERROR(__xludf.DUMMYFUNCTION("""COMPUTED_VALUE"""),"-25.6672")</f>
        <v>-25.6672</v>
      </c>
      <c r="R1357" s="30" t="str">
        <f ca="1">IFERROR(__xludf.DUMMYFUNCTION("""COMPUTED_VALUE"""),"-54.049")</f>
        <v>-54.049</v>
      </c>
      <c r="S1357" s="30" t="str">
        <f ca="1">IFERROR(__xludf.DUMMYFUNCTION("""COMPUTED_VALUE"""),"Provincial")</f>
        <v>Provincial</v>
      </c>
      <c r="T1357" s="30" t="str">
        <f ca="1">IFERROR(__xludf.DUMMYFUNCTION("""COMPUTED_VALUE"""),"-")</f>
        <v>-</v>
      </c>
    </row>
    <row r="1358" spans="1:20" ht="15.75" customHeight="1" x14ac:dyDescent="0.25">
      <c r="A1358" s="30" t="str">
        <f ca="1">IFERROR(__xludf.DUMMYFUNCTION("""COMPUTED_VALUE"""),"50540142065202")</f>
        <v>50540142065202</v>
      </c>
      <c r="B1358" s="30" t="str">
        <f ca="1">IFERROR(__xludf.DUMMYFUNCTION("""COMPUTED_VALUE"""),"C.I.C. ARISTOBULO DEL VALLE")</f>
        <v>C.I.C. ARISTOBULO DEL VALLE</v>
      </c>
      <c r="C1358" s="30" t="str">
        <f ca="1">IFERROR(__xludf.DUMMYFUNCTION("""COMPUTED_VALUE"""),"Misiones")</f>
        <v>Misiones</v>
      </c>
      <c r="D1358" s="30" t="str">
        <f ca="1">IFERROR(__xludf.DUMMYFUNCTION("""COMPUTED_VALUE"""),"54")</f>
        <v>54</v>
      </c>
      <c r="E1358" s="30" t="str">
        <f ca="1">IFERROR(__xludf.DUMMYFUNCTION("""COMPUTED_VALUE"""),"si")</f>
        <v>si</v>
      </c>
      <c r="F1358" s="29"/>
      <c r="G1358" s="29"/>
      <c r="H1358" s="30" t="str">
        <f ca="1">IFERROR(__xludf.DUMMYFUNCTION("""COMPUTED_VALUE"""),"activo")</f>
        <v>activo</v>
      </c>
      <c r="I1358" s="29"/>
      <c r="J1358" s="29"/>
      <c r="K1358" s="29"/>
      <c r="L1358" s="30" t="str">
        <f ca="1">IFERROR(__xludf.DUMMYFUNCTION("""COMPUTED_VALUE"""),"No")</f>
        <v>No</v>
      </c>
      <c r="M1358" s="30" t="str">
        <f ca="1">IFERROR(__xludf.DUMMYFUNCTION("""COMPUTED_VALUE"""),"54014010000")</f>
        <v>54014010000</v>
      </c>
      <c r="N1358" s="30" t="str">
        <f ca="1">IFERROR(__xludf.DUMMYFUNCTION("""COMPUTED_VALUE"""),"ARISTOBULO DEL VALLE")</f>
        <v>ARISTOBULO DEL VALLE</v>
      </c>
      <c r="O1358" s="30" t="str">
        <f ca="1">IFERROR(__xludf.DUMMYFUNCTION("""COMPUTED_VALUE"""),"5414")</f>
        <v>5414</v>
      </c>
      <c r="P1358" s="30" t="str">
        <f ca="1">IFERROR(__xludf.DUMMYFUNCTION("""COMPUTED_VALUE"""),"CAINGUÁS")</f>
        <v>CAINGUÁS</v>
      </c>
      <c r="Q1358" s="30" t="str">
        <f ca="1">IFERROR(__xludf.DUMMYFUNCTION("""COMPUTED_VALUE"""),"-27.09655")</f>
        <v>-27.09655</v>
      </c>
      <c r="R1358" s="30" t="str">
        <f ca="1">IFERROR(__xludf.DUMMYFUNCTION("""COMPUTED_VALUE"""),"-54.88819")</f>
        <v>-54.88819</v>
      </c>
      <c r="S1358" s="30" t="str">
        <f ca="1">IFERROR(__xludf.DUMMYFUNCTION("""COMPUTED_VALUE"""),"Municipal")</f>
        <v>Municipal</v>
      </c>
      <c r="T1358" s="29"/>
    </row>
    <row r="1359" spans="1:20" ht="15.75" customHeight="1" x14ac:dyDescent="0.25">
      <c r="A1359" s="30" t="str">
        <f ca="1">IFERROR(__xludf.DUMMYFUNCTION("""COMPUTED_VALUE"""),"10540422164507")</f>
        <v>10540422164507</v>
      </c>
      <c r="B1359" s="30" t="str">
        <f ca="1">IFERROR(__xludf.DUMMYFUNCTION("""COMPUTED_VALUE"""),"HOSPITAL NIVEL I DE COLONIA DELICIA (EX MADO) PADRE ENRIQUE DE MAZZORRA")</f>
        <v>HOSPITAL NIVEL I DE COLONIA DELICIA (EX MADO) PADRE ENRIQUE DE MAZZORRA</v>
      </c>
      <c r="C1359" s="30" t="str">
        <f ca="1">IFERROR(__xludf.DUMMYFUNCTION("""COMPUTED_VALUE"""),"Misiones")</f>
        <v>Misiones</v>
      </c>
      <c r="D1359" s="30" t="str">
        <f ca="1">IFERROR(__xludf.DUMMYFUNCTION("""COMPUTED_VALUE"""),"54")</f>
        <v>54</v>
      </c>
      <c r="E1359" s="30" t="str">
        <f ca="1">IFERROR(__xludf.DUMMYFUNCTION("""COMPUTED_VALUE"""),"")</f>
        <v/>
      </c>
      <c r="F1359" s="29"/>
      <c r="G1359" s="29"/>
      <c r="H1359" s="30" t="str">
        <f ca="1">IFERROR(__xludf.DUMMYFUNCTION("""COMPUTED_VALUE"""),"activo")</f>
        <v>activo</v>
      </c>
      <c r="I1359" s="29"/>
      <c r="J1359" s="29"/>
      <c r="K1359" s="29"/>
      <c r="L1359" s="30" t="str">
        <f ca="1">IFERROR(__xludf.DUMMYFUNCTION("""COMPUTED_VALUE"""),"No")</f>
        <v>No</v>
      </c>
      <c r="M1359" s="30" t="str">
        <f ca="1">IFERROR(__xludf.DUMMYFUNCTION("""COMPUTED_VALUE"""),"54042110")</f>
        <v>54042110</v>
      </c>
      <c r="N1359" s="30" t="str">
        <f ca="1">IFERROR(__xludf.DUMMYFUNCTION("""COMPUTED_VALUE"""),"COLONIA DELICIA")</f>
        <v>COLONIA DELICIA</v>
      </c>
      <c r="O1359" s="30" t="str">
        <f ca="1">IFERROR(__xludf.DUMMYFUNCTION("""COMPUTED_VALUE"""),"5442")</f>
        <v>5442</v>
      </c>
      <c r="P1359" s="30" t="str">
        <f ca="1">IFERROR(__xludf.DUMMYFUNCTION("""COMPUTED_VALUE"""),"ELDORADO")</f>
        <v>ELDORADO</v>
      </c>
      <c r="Q1359" s="30" t="str">
        <f ca="1">IFERROR(__xludf.DUMMYFUNCTION("""COMPUTED_VALUE"""),"-26.2321945")</f>
        <v>-26.2321945</v>
      </c>
      <c r="R1359" s="30" t="str">
        <f ca="1">IFERROR(__xludf.DUMMYFUNCTION("""COMPUTED_VALUE"""),"-54.6043156")</f>
        <v>-54.6043156</v>
      </c>
      <c r="S1359" s="30" t="str">
        <f ca="1">IFERROR(__xludf.DUMMYFUNCTION("""COMPUTED_VALUE"""),"Provincial")</f>
        <v>Provincial</v>
      </c>
      <c r="T1359" s="30" t="str">
        <f ca="1">IFERROR(__xludf.DUMMYFUNCTION("""COMPUTED_VALUE"""),"-")</f>
        <v>-</v>
      </c>
    </row>
    <row r="1360" spans="1:20" ht="15.75" customHeight="1" x14ac:dyDescent="0.25">
      <c r="A1360" s="30" t="str">
        <f ca="1">IFERROR(__xludf.DUMMYFUNCTION("""COMPUTED_VALUE"""),"50540282164005")</f>
        <v>50540282164005</v>
      </c>
      <c r="B1360" s="30" t="str">
        <f ca="1">IFERROR(__xludf.DUMMYFUNCTION("""COMPUTED_VALUE"""),"C.A.P.S. Nº 33 SAN ISIDRO")</f>
        <v>C.A.P.S. Nº 33 SAN ISIDRO</v>
      </c>
      <c r="C1360" s="30" t="str">
        <f ca="1">IFERROR(__xludf.DUMMYFUNCTION("""COMPUTED_VALUE"""),"Misiones")</f>
        <v>Misiones</v>
      </c>
      <c r="D1360" s="30" t="str">
        <f ca="1">IFERROR(__xludf.DUMMYFUNCTION("""COMPUTED_VALUE"""),"54")</f>
        <v>54</v>
      </c>
      <c r="E1360" s="30" t="str">
        <f ca="1">IFERROR(__xludf.DUMMYFUNCTION("""COMPUTED_VALUE"""),"")</f>
        <v/>
      </c>
      <c r="F1360" s="29"/>
      <c r="G1360" s="29"/>
      <c r="H1360" s="30" t="str">
        <f ca="1">IFERROR(__xludf.DUMMYFUNCTION("""COMPUTED_VALUE"""),"activo")</f>
        <v>activo</v>
      </c>
      <c r="I1360" s="29"/>
      <c r="J1360" s="29"/>
      <c r="K1360" s="29"/>
      <c r="L1360" s="30" t="str">
        <f ca="1">IFERROR(__xludf.DUMMYFUNCTION("""COMPUTED_VALUE"""),"No")</f>
        <v>No</v>
      </c>
      <c r="M1360" s="30" t="str">
        <f ca="1">IFERROR(__xludf.DUMMYFUNCTION("""COMPUTED_VALUE"""),"54028030")</f>
        <v>54028030</v>
      </c>
      <c r="N1360" s="30" t="str">
        <f ca="1">IFERROR(__xludf.DUMMYFUNCTION("""COMPUTED_VALUE"""),"POSADAS (MUNICIPIO DE POSADAS)")</f>
        <v>POSADAS (MUNICIPIO DE POSADAS)</v>
      </c>
      <c r="O1360" s="30" t="str">
        <f ca="1">IFERROR(__xludf.DUMMYFUNCTION("""COMPUTED_VALUE"""),"5428")</f>
        <v>5428</v>
      </c>
      <c r="P1360" s="30" t="str">
        <f ca="1">IFERROR(__xludf.DUMMYFUNCTION("""COMPUTED_VALUE"""),"CAPITAL")</f>
        <v>CAPITAL</v>
      </c>
      <c r="Q1360" s="30" t="str">
        <f ca="1">IFERROR(__xludf.DUMMYFUNCTION("""COMPUTED_VALUE"""),"-27.43734339")</f>
        <v>-27.43734339</v>
      </c>
      <c r="R1360" s="30" t="str">
        <f ca="1">IFERROR(__xludf.DUMMYFUNCTION("""COMPUTED_VALUE"""),"-55.93752667")</f>
        <v>-55.93752667</v>
      </c>
      <c r="S1360" s="30" t="str">
        <f ca="1">IFERROR(__xludf.DUMMYFUNCTION("""COMPUTED_VALUE"""),"Provincial")</f>
        <v>Provincial</v>
      </c>
      <c r="T1360" s="30" t="str">
        <f ca="1">IFERROR(__xludf.DUMMYFUNCTION("""COMPUTED_VALUE"""),"-")</f>
        <v>-</v>
      </c>
    </row>
    <row r="1361" spans="1:20" ht="15.75" customHeight="1" x14ac:dyDescent="0.25">
      <c r="A1361" s="30" t="str">
        <f ca="1">IFERROR(__xludf.DUMMYFUNCTION("""COMPUTED_VALUE"""),"50540282164007")</f>
        <v>50540282164007</v>
      </c>
      <c r="B1361" s="30" t="str">
        <f ca="1">IFERROR(__xludf.DUMMYFUNCTION("""COMPUTED_VALUE"""),"C.A.P.S N° 32 ITAEMBE MINI")</f>
        <v>C.A.P.S N° 32 ITAEMBE MINI</v>
      </c>
      <c r="C1361" s="30" t="str">
        <f ca="1">IFERROR(__xludf.DUMMYFUNCTION("""COMPUTED_VALUE"""),"Misiones")</f>
        <v>Misiones</v>
      </c>
      <c r="D1361" s="30" t="str">
        <f ca="1">IFERROR(__xludf.DUMMYFUNCTION("""COMPUTED_VALUE"""),"54")</f>
        <v>54</v>
      </c>
      <c r="E1361" s="30" t="str">
        <f ca="1">IFERROR(__xludf.DUMMYFUNCTION("""COMPUTED_VALUE"""),"")</f>
        <v/>
      </c>
      <c r="F1361" s="29"/>
      <c r="G1361" s="29"/>
      <c r="H1361" s="30" t="str">
        <f ca="1">IFERROR(__xludf.DUMMYFUNCTION("""COMPUTED_VALUE"""),"activo")</f>
        <v>activo</v>
      </c>
      <c r="I1361" s="29"/>
      <c r="J1361" s="29"/>
      <c r="K1361" s="29"/>
      <c r="L1361" s="30" t="str">
        <f ca="1">IFERROR(__xludf.DUMMYFUNCTION("""COMPUTED_VALUE"""),"No")</f>
        <v>No</v>
      </c>
      <c r="M1361" s="30" t="str">
        <f ca="1">IFERROR(__xludf.DUMMYFUNCTION("""COMPUTED_VALUE"""),"54028030")</f>
        <v>54028030</v>
      </c>
      <c r="N1361" s="30" t="str">
        <f ca="1">IFERROR(__xludf.DUMMYFUNCTION("""COMPUTED_VALUE"""),"POSADAS (MUNICIPIO DE POSADAS)")</f>
        <v>POSADAS (MUNICIPIO DE POSADAS)</v>
      </c>
      <c r="O1361" s="30" t="str">
        <f ca="1">IFERROR(__xludf.DUMMYFUNCTION("""COMPUTED_VALUE"""),"5428")</f>
        <v>5428</v>
      </c>
      <c r="P1361" s="30" t="str">
        <f ca="1">IFERROR(__xludf.DUMMYFUNCTION("""COMPUTED_VALUE"""),"CAPITAL")</f>
        <v>CAPITAL</v>
      </c>
      <c r="Q1361" s="30" t="str">
        <f ca="1">IFERROR(__xludf.DUMMYFUNCTION("""COMPUTED_VALUE"""),"-27.4141651")</f>
        <v>-27.4141651</v>
      </c>
      <c r="R1361" s="30" t="str">
        <f ca="1">IFERROR(__xludf.DUMMYFUNCTION("""COMPUTED_VALUE"""),"-55.9561145")</f>
        <v>-55.9561145</v>
      </c>
      <c r="S1361" s="30" t="str">
        <f ca="1">IFERROR(__xludf.DUMMYFUNCTION("""COMPUTED_VALUE"""),"Provincial")</f>
        <v>Provincial</v>
      </c>
      <c r="T1361" s="30" t="str">
        <f ca="1">IFERROR(__xludf.DUMMYFUNCTION("""COMPUTED_VALUE"""),"-")</f>
        <v>-</v>
      </c>
    </row>
    <row r="1362" spans="1:20" ht="15.75" customHeight="1" x14ac:dyDescent="0.25">
      <c r="A1362" s="30" t="str">
        <f ca="1">IFERROR(__xludf.DUMMYFUNCTION("""COMPUTED_VALUE"""),"50540282164010")</f>
        <v>50540282164010</v>
      </c>
      <c r="B1362" s="30" t="str">
        <f ca="1">IFERROR(__xludf.DUMMYFUNCTION("""COMPUTED_VALUE"""),"C.A.P.S. Nº 26 LOMA POI - EBY A3-2")</f>
        <v>C.A.P.S. Nº 26 LOMA POI - EBY A3-2</v>
      </c>
      <c r="C1362" s="30" t="str">
        <f ca="1">IFERROR(__xludf.DUMMYFUNCTION("""COMPUTED_VALUE"""),"Misiones")</f>
        <v>Misiones</v>
      </c>
      <c r="D1362" s="30" t="str">
        <f ca="1">IFERROR(__xludf.DUMMYFUNCTION("""COMPUTED_VALUE"""),"54")</f>
        <v>54</v>
      </c>
      <c r="E1362" s="30" t="str">
        <f ca="1">IFERROR(__xludf.DUMMYFUNCTION("""COMPUTED_VALUE"""),"")</f>
        <v/>
      </c>
      <c r="F1362" s="29"/>
      <c r="G1362" s="30" t="str">
        <f ca="1">IFERROR(__xludf.DUMMYFUNCTION("""COMPUTED_VALUE"""),"10540282166069")</f>
        <v>10540282166069</v>
      </c>
      <c r="H1362" s="30" t="str">
        <f ca="1">IFERROR(__xludf.DUMMYFUNCTION("""COMPUTED_VALUE"""),"inactivo")</f>
        <v>inactivo</v>
      </c>
      <c r="I1362" s="29"/>
      <c r="J1362" s="29"/>
      <c r="K1362" s="29"/>
      <c r="L1362" s="30" t="str">
        <f ca="1">IFERROR(__xludf.DUMMYFUNCTION("""COMPUTED_VALUE"""),"No")</f>
        <v>No</v>
      </c>
      <c r="M1362" s="30" t="str">
        <f ca="1">IFERROR(__xludf.DUMMYFUNCTION("""COMPUTED_VALUE"""),"54028030")</f>
        <v>54028030</v>
      </c>
      <c r="N1362" s="30" t="str">
        <f ca="1">IFERROR(__xludf.DUMMYFUNCTION("""COMPUTED_VALUE"""),"POSADAS (MUNICIPIO DE POSADAS)")</f>
        <v>POSADAS (MUNICIPIO DE POSADAS)</v>
      </c>
      <c r="O1362" s="30" t="str">
        <f ca="1">IFERROR(__xludf.DUMMYFUNCTION("""COMPUTED_VALUE"""),"5428")</f>
        <v>5428</v>
      </c>
      <c r="P1362" s="30" t="str">
        <f ca="1">IFERROR(__xludf.DUMMYFUNCTION("""COMPUTED_VALUE"""),"CAPITAL")</f>
        <v>CAPITAL</v>
      </c>
      <c r="Q1362" s="30" t="str">
        <f ca="1">IFERROR(__xludf.DUMMYFUNCTION("""COMPUTED_VALUE"""),"-27.42146549")</f>
        <v>-27.42146549</v>
      </c>
      <c r="R1362" s="30" t="str">
        <f ca="1">IFERROR(__xludf.DUMMYFUNCTION("""COMPUTED_VALUE"""),"-55.88602826")</f>
        <v>-55.88602826</v>
      </c>
      <c r="S1362" s="30" t="str">
        <f ca="1">IFERROR(__xludf.DUMMYFUNCTION("""COMPUTED_VALUE"""),"Provincial")</f>
        <v>Provincial</v>
      </c>
      <c r="T1362" s="30" t="str">
        <f ca="1">IFERROR(__xludf.DUMMYFUNCTION("""COMPUTED_VALUE"""),"-")</f>
        <v>-</v>
      </c>
    </row>
    <row r="1363" spans="1:20" ht="15.75" customHeight="1" x14ac:dyDescent="0.25">
      <c r="A1363" s="30" t="str">
        <f ca="1">IFERROR(__xludf.DUMMYFUNCTION("""COMPUTED_VALUE"""),"10540282166069")</f>
        <v>10540282166069</v>
      </c>
      <c r="B1363" s="30" t="str">
        <f ca="1">IFERROR(__xludf.DUMMYFUNCTION("""COMPUTED_VALUE"""),"HOSPITAL NIVEL I ITAEMBE GUAZU")</f>
        <v>HOSPITAL NIVEL I ITAEMBE GUAZU</v>
      </c>
      <c r="C1363" s="30" t="str">
        <f ca="1">IFERROR(__xludf.DUMMYFUNCTION("""COMPUTED_VALUE"""),"Misiones")</f>
        <v>Misiones</v>
      </c>
      <c r="D1363" s="30">
        <f ca="1">IFERROR(__xludf.DUMMYFUNCTION("""COMPUTED_VALUE"""),54)</f>
        <v>54</v>
      </c>
      <c r="E1363" s="30" t="str">
        <f ca="1">IFERROR(__xludf.DUMMYFUNCTION("""COMPUTED_VALUE"""),"")</f>
        <v/>
      </c>
      <c r="F1363" s="30" t="str">
        <f ca="1">IFERROR(__xludf.DUMMYFUNCTION("""COMPUTED_VALUE"""),"50540282164010")</f>
        <v>50540282164010</v>
      </c>
      <c r="G1363" s="29"/>
      <c r="H1363" s="30" t="str">
        <f ca="1">IFERROR(__xludf.DUMMYFUNCTION("""COMPUTED_VALUE"""),"activo")</f>
        <v>activo</v>
      </c>
      <c r="I1363" s="29"/>
      <c r="J1363" s="29"/>
      <c r="K1363" s="29"/>
      <c r="L1363" s="30" t="str">
        <f ca="1">IFERROR(__xludf.DUMMYFUNCTION("""COMPUTED_VALUE"""),"No")</f>
        <v>No</v>
      </c>
      <c r="M1363" s="30">
        <f ca="1">IFERROR(__xludf.DUMMYFUNCTION("""COMPUTED_VALUE"""),54028030000)</f>
        <v>54028030000</v>
      </c>
      <c r="N1363" s="30" t="str">
        <f ca="1">IFERROR(__xludf.DUMMYFUNCTION("""COMPUTED_VALUE"""),"POSADAS")</f>
        <v>POSADAS</v>
      </c>
      <c r="O1363" s="30" t="str">
        <f ca="1">IFERROR(__xludf.DUMMYFUNCTION("""COMPUTED_VALUE"""),"#N/A")</f>
        <v>#N/A</v>
      </c>
      <c r="P1363" s="30" t="str">
        <f ca="1">IFERROR(__xludf.DUMMYFUNCTION("""COMPUTED_VALUE"""),"CAPITAL")</f>
        <v>CAPITAL</v>
      </c>
      <c r="Q1363" s="30"/>
      <c r="R1363" s="30"/>
      <c r="S1363" s="30" t="str">
        <f ca="1">IFERROR(__xludf.DUMMYFUNCTION("""COMPUTED_VALUE"""),"Provincial")</f>
        <v>Provincial</v>
      </c>
      <c r="T1363" s="30" t="str">
        <f ca="1">IFERROR(__xludf.DUMMYFUNCTION("""COMPUTED_VALUE"""),"-")</f>
        <v>-</v>
      </c>
    </row>
    <row r="1364" spans="1:20" ht="15.75" customHeight="1" x14ac:dyDescent="0.25">
      <c r="A1364" s="30" t="str">
        <f ca="1">IFERROR(__xludf.DUMMYFUNCTION("""COMPUTED_VALUE"""),"50540422164205")</f>
        <v>50540422164205</v>
      </c>
      <c r="B1364" s="30" t="str">
        <f ca="1">IFERROR(__xludf.DUMMYFUNCTION("""COMPUTED_VALUE"""),"C.I.C. KOCH KM 7")</f>
        <v>C.I.C. KOCH KM 7</v>
      </c>
      <c r="C1364" s="30" t="str">
        <f ca="1">IFERROR(__xludf.DUMMYFUNCTION("""COMPUTED_VALUE"""),"Misiones")</f>
        <v>Misiones</v>
      </c>
      <c r="D1364" s="30" t="str">
        <f ca="1">IFERROR(__xludf.DUMMYFUNCTION("""COMPUTED_VALUE"""),"54")</f>
        <v>54</v>
      </c>
      <c r="E1364" s="30" t="str">
        <f ca="1">IFERROR(__xludf.DUMMYFUNCTION("""COMPUTED_VALUE"""),"")</f>
        <v/>
      </c>
      <c r="F1364" s="29"/>
      <c r="G1364" s="29"/>
      <c r="H1364" s="30" t="str">
        <f ca="1">IFERROR(__xludf.DUMMYFUNCTION("""COMPUTED_VALUE"""),"activo")</f>
        <v>activo</v>
      </c>
      <c r="I1364" s="29"/>
      <c r="J1364" s="29"/>
      <c r="K1364" s="29"/>
      <c r="L1364" s="30" t="str">
        <f ca="1">IFERROR(__xludf.DUMMYFUNCTION("""COMPUTED_VALUE"""),"No")</f>
        <v>No</v>
      </c>
      <c r="M1364" s="30" t="str">
        <f ca="1">IFERROR(__xludf.DUMMYFUNCTION("""COMPUTED_VALUE"""),"54042020000")</f>
        <v>54042020000</v>
      </c>
      <c r="N1364" s="30" t="str">
        <f ca="1">IFERROR(__xludf.DUMMYFUNCTION("""COMPUTED_VALUE"""),"ELDORADO")</f>
        <v>ELDORADO</v>
      </c>
      <c r="O1364" s="30" t="str">
        <f ca="1">IFERROR(__xludf.DUMMYFUNCTION("""COMPUTED_VALUE"""),"5442")</f>
        <v>5442</v>
      </c>
      <c r="P1364" s="30" t="str">
        <f ca="1">IFERROR(__xludf.DUMMYFUNCTION("""COMPUTED_VALUE"""),"ELDORADO")</f>
        <v>ELDORADO</v>
      </c>
      <c r="Q1364" s="30" t="str">
        <f ca="1">IFERROR(__xludf.DUMMYFUNCTION("""COMPUTED_VALUE"""),"-26.3993")</f>
        <v>-26.3993</v>
      </c>
      <c r="R1364" s="30" t="str">
        <f ca="1">IFERROR(__xludf.DUMMYFUNCTION("""COMPUTED_VALUE"""),"-54.62616")</f>
        <v>-54.62616</v>
      </c>
      <c r="S1364" s="30" t="str">
        <f ca="1">IFERROR(__xludf.DUMMYFUNCTION("""COMPUTED_VALUE"""),"Municipal")</f>
        <v>Municipal</v>
      </c>
      <c r="T1364" s="29"/>
    </row>
    <row r="1365" spans="1:20" ht="15.75" customHeight="1" x14ac:dyDescent="0.25">
      <c r="A1365" s="30" t="str">
        <f ca="1">IFERROR(__xludf.DUMMYFUNCTION("""COMPUTED_VALUE"""),"50540282164012")</f>
        <v>50540282164012</v>
      </c>
      <c r="B1365" s="30" t="str">
        <f ca="1">IFERROR(__xludf.DUMMYFUNCTION("""COMPUTED_VALUE"""),"C.A.P.S. Nº 23 SAN LORENZO - LA NUEVA ESPERANZA - EBY A4")</f>
        <v>C.A.P.S. Nº 23 SAN LORENZO - LA NUEVA ESPERANZA - EBY A4</v>
      </c>
      <c r="C1365" s="30" t="str">
        <f ca="1">IFERROR(__xludf.DUMMYFUNCTION("""COMPUTED_VALUE"""),"Misiones")</f>
        <v>Misiones</v>
      </c>
      <c r="D1365" s="30" t="str">
        <f ca="1">IFERROR(__xludf.DUMMYFUNCTION("""COMPUTED_VALUE"""),"54")</f>
        <v>54</v>
      </c>
      <c r="E1365" s="30" t="str">
        <f ca="1">IFERROR(__xludf.DUMMYFUNCTION("""COMPUTED_VALUE"""),"si")</f>
        <v>si</v>
      </c>
      <c r="F1365" s="29"/>
      <c r="G1365" s="29"/>
      <c r="H1365" s="30" t="str">
        <f ca="1">IFERROR(__xludf.DUMMYFUNCTION("""COMPUTED_VALUE"""),"activo")</f>
        <v>activo</v>
      </c>
      <c r="I1365" s="29"/>
      <c r="J1365" s="29"/>
      <c r="K1365" s="29"/>
      <c r="L1365" s="30" t="str">
        <f ca="1">IFERROR(__xludf.DUMMYFUNCTION("""COMPUTED_VALUE"""),"No")</f>
        <v>No</v>
      </c>
      <c r="M1365" s="30" t="str">
        <f ca="1">IFERROR(__xludf.DUMMYFUNCTION("""COMPUTED_VALUE"""),"54028030")</f>
        <v>54028030</v>
      </c>
      <c r="N1365" s="30" t="str">
        <f ca="1">IFERROR(__xludf.DUMMYFUNCTION("""COMPUTED_VALUE"""),"POSADAS (MUNICIPIO DE POSADAS)")</f>
        <v>POSADAS (MUNICIPIO DE POSADAS)</v>
      </c>
      <c r="O1365" s="30" t="str">
        <f ca="1">IFERROR(__xludf.DUMMYFUNCTION("""COMPUTED_VALUE"""),"5428")</f>
        <v>5428</v>
      </c>
      <c r="P1365" s="30" t="str">
        <f ca="1">IFERROR(__xludf.DUMMYFUNCTION("""COMPUTED_VALUE"""),"CAPITAL")</f>
        <v>CAPITAL</v>
      </c>
      <c r="Q1365" s="30" t="str">
        <f ca="1">IFERROR(__xludf.DUMMYFUNCTION("""COMPUTED_VALUE"""),"-27.43546")</f>
        <v>-27.43546</v>
      </c>
      <c r="R1365" s="30" t="str">
        <f ca="1">IFERROR(__xludf.DUMMYFUNCTION("""COMPUTED_VALUE"""),"-55.91299")</f>
        <v>-55.91299</v>
      </c>
      <c r="S1365" s="30" t="str">
        <f ca="1">IFERROR(__xludf.DUMMYFUNCTION("""COMPUTED_VALUE"""),"Provincial")</f>
        <v>Provincial</v>
      </c>
      <c r="T1365" s="30" t="str">
        <f ca="1">IFERROR(__xludf.DUMMYFUNCTION("""COMPUTED_VALUE"""),"-")</f>
        <v>-</v>
      </c>
    </row>
    <row r="1366" spans="1:20" ht="15.75" customHeight="1" x14ac:dyDescent="0.25">
      <c r="A1366" s="30" t="str">
        <f ca="1">IFERROR(__xludf.DUMMYFUNCTION("""COMPUTED_VALUE"""),"50540282164015")</f>
        <v>50540282164015</v>
      </c>
      <c r="B1366" s="30" t="str">
        <f ca="1">IFERROR(__xludf.DUMMYFUNCTION("""COMPUTED_VALUE"""),"C.A.P.S. Nº 17 EL ZAIMAN")</f>
        <v>C.A.P.S. Nº 17 EL ZAIMAN</v>
      </c>
      <c r="C1366" s="30" t="str">
        <f ca="1">IFERROR(__xludf.DUMMYFUNCTION("""COMPUTED_VALUE"""),"Misiones")</f>
        <v>Misiones</v>
      </c>
      <c r="D1366" s="30" t="str">
        <f ca="1">IFERROR(__xludf.DUMMYFUNCTION("""COMPUTED_VALUE"""),"54")</f>
        <v>54</v>
      </c>
      <c r="E1366" s="30" t="str">
        <f ca="1">IFERROR(__xludf.DUMMYFUNCTION("""COMPUTED_VALUE"""),"si")</f>
        <v>si</v>
      </c>
      <c r="F1366" s="29"/>
      <c r="G1366" s="29"/>
      <c r="H1366" s="30" t="str">
        <f ca="1">IFERROR(__xludf.DUMMYFUNCTION("""COMPUTED_VALUE"""),"activo")</f>
        <v>activo</v>
      </c>
      <c r="I1366" s="29"/>
      <c r="J1366" s="29"/>
      <c r="K1366" s="29"/>
      <c r="L1366" s="30" t="str">
        <f ca="1">IFERROR(__xludf.DUMMYFUNCTION("""COMPUTED_VALUE"""),"No")</f>
        <v>No</v>
      </c>
      <c r="M1366" s="30" t="str">
        <f ca="1">IFERROR(__xludf.DUMMYFUNCTION("""COMPUTED_VALUE"""),"54028030")</f>
        <v>54028030</v>
      </c>
      <c r="N1366" s="30" t="str">
        <f ca="1">IFERROR(__xludf.DUMMYFUNCTION("""COMPUTED_VALUE"""),"POSADAS (MUNICIPIO DE POSADAS)")</f>
        <v>POSADAS (MUNICIPIO DE POSADAS)</v>
      </c>
      <c r="O1366" s="30" t="str">
        <f ca="1">IFERROR(__xludf.DUMMYFUNCTION("""COMPUTED_VALUE"""),"5428")</f>
        <v>5428</v>
      </c>
      <c r="P1366" s="30" t="str">
        <f ca="1">IFERROR(__xludf.DUMMYFUNCTION("""COMPUTED_VALUE"""),"CAPITAL")</f>
        <v>CAPITAL</v>
      </c>
      <c r="Q1366" s="30" t="str">
        <f ca="1">IFERROR(__xludf.DUMMYFUNCTION("""COMPUTED_VALUE"""),"-27.41694")</f>
        <v>-27.41694</v>
      </c>
      <c r="R1366" s="30" t="str">
        <f ca="1">IFERROR(__xludf.DUMMYFUNCTION("""COMPUTED_VALUE"""),"-55.90145")</f>
        <v>-55.90145</v>
      </c>
      <c r="S1366" s="30" t="str">
        <f ca="1">IFERROR(__xludf.DUMMYFUNCTION("""COMPUTED_VALUE"""),"Provincial")</f>
        <v>Provincial</v>
      </c>
      <c r="T1366" s="30" t="str">
        <f ca="1">IFERROR(__xludf.DUMMYFUNCTION("""COMPUTED_VALUE"""),"-")</f>
        <v>-</v>
      </c>
    </row>
    <row r="1367" spans="1:20" ht="15.75" customHeight="1" x14ac:dyDescent="0.25">
      <c r="A1367" s="30" t="str">
        <f ca="1">IFERROR(__xludf.DUMMYFUNCTION("""COMPUTED_VALUE"""),"50540282164021")</f>
        <v>50540282164021</v>
      </c>
      <c r="B1367" s="30" t="str">
        <f ca="1">IFERROR(__xludf.DUMMYFUNCTION("""COMPUTED_VALUE"""),"C.A.P.S. Nº 8 ROCAMORA")</f>
        <v>C.A.P.S. Nº 8 ROCAMORA</v>
      </c>
      <c r="C1367" s="30" t="str">
        <f ca="1">IFERROR(__xludf.DUMMYFUNCTION("""COMPUTED_VALUE"""),"Misiones")</f>
        <v>Misiones</v>
      </c>
      <c r="D1367" s="30" t="str">
        <f ca="1">IFERROR(__xludf.DUMMYFUNCTION("""COMPUTED_VALUE"""),"54")</f>
        <v>54</v>
      </c>
      <c r="E1367" s="30" t="str">
        <f ca="1">IFERROR(__xludf.DUMMYFUNCTION("""COMPUTED_VALUE"""),"")</f>
        <v/>
      </c>
      <c r="F1367" s="29"/>
      <c r="G1367" s="29"/>
      <c r="H1367" s="30" t="str">
        <f ca="1">IFERROR(__xludf.DUMMYFUNCTION("""COMPUTED_VALUE"""),"activo")</f>
        <v>activo</v>
      </c>
      <c r="I1367" s="29"/>
      <c r="J1367" s="29"/>
      <c r="K1367" s="29"/>
      <c r="L1367" s="30" t="str">
        <f ca="1">IFERROR(__xludf.DUMMYFUNCTION("""COMPUTED_VALUE"""),"No")</f>
        <v>No</v>
      </c>
      <c r="M1367" s="30" t="str">
        <f ca="1">IFERROR(__xludf.DUMMYFUNCTION("""COMPUTED_VALUE"""),"54028030")</f>
        <v>54028030</v>
      </c>
      <c r="N1367" s="30" t="str">
        <f ca="1">IFERROR(__xludf.DUMMYFUNCTION("""COMPUTED_VALUE"""),"POSADAS (MUNICIPIO DE POSADAS)")</f>
        <v>POSADAS (MUNICIPIO DE POSADAS)</v>
      </c>
      <c r="O1367" s="30" t="str">
        <f ca="1">IFERROR(__xludf.DUMMYFUNCTION("""COMPUTED_VALUE"""),"5428")</f>
        <v>5428</v>
      </c>
      <c r="P1367" s="30" t="str">
        <f ca="1">IFERROR(__xludf.DUMMYFUNCTION("""COMPUTED_VALUE"""),"CAPITAL")</f>
        <v>CAPITAL</v>
      </c>
      <c r="Q1367" s="30" t="str">
        <f ca="1">IFERROR(__xludf.DUMMYFUNCTION("""COMPUTED_VALUE"""),"-27.37612255")</f>
        <v>-27.37612255</v>
      </c>
      <c r="R1367" s="30" t="str">
        <f ca="1">IFERROR(__xludf.DUMMYFUNCTION("""COMPUTED_VALUE"""),"-55.91372207")</f>
        <v>-55.91372207</v>
      </c>
      <c r="S1367" s="30" t="str">
        <f ca="1">IFERROR(__xludf.DUMMYFUNCTION("""COMPUTED_VALUE"""),"Provincial")</f>
        <v>Provincial</v>
      </c>
      <c r="T1367" s="30" t="str">
        <f ca="1">IFERROR(__xludf.DUMMYFUNCTION("""COMPUTED_VALUE"""),"-")</f>
        <v>-</v>
      </c>
    </row>
    <row r="1368" spans="1:20" ht="15.75" customHeight="1" x14ac:dyDescent="0.25">
      <c r="A1368" s="30" t="str">
        <f ca="1">IFERROR(__xludf.DUMMYFUNCTION("""COMPUTED_VALUE"""),"50540282164022")</f>
        <v>50540282164022</v>
      </c>
      <c r="B1368" s="30" t="str">
        <f ca="1">IFERROR(__xludf.DUMMYFUNCTION("""COMPUTED_VALUE"""),"C.A.P.S. Nº 7 SESQUICENTENARIO")</f>
        <v>C.A.P.S. Nº 7 SESQUICENTENARIO</v>
      </c>
      <c r="C1368" s="30" t="str">
        <f ca="1">IFERROR(__xludf.DUMMYFUNCTION("""COMPUTED_VALUE"""),"Misiones")</f>
        <v>Misiones</v>
      </c>
      <c r="D1368" s="30" t="str">
        <f ca="1">IFERROR(__xludf.DUMMYFUNCTION("""COMPUTED_VALUE"""),"54")</f>
        <v>54</v>
      </c>
      <c r="E1368" s="30" t="str">
        <f ca="1">IFERROR(__xludf.DUMMYFUNCTION("""COMPUTED_VALUE"""),"")</f>
        <v/>
      </c>
      <c r="F1368" s="29"/>
      <c r="G1368" s="29"/>
      <c r="H1368" s="30" t="str">
        <f ca="1">IFERROR(__xludf.DUMMYFUNCTION("""COMPUTED_VALUE"""),"activo")</f>
        <v>activo</v>
      </c>
      <c r="I1368" s="29"/>
      <c r="J1368" s="29"/>
      <c r="K1368" s="29"/>
      <c r="L1368" s="30" t="str">
        <f ca="1">IFERROR(__xludf.DUMMYFUNCTION("""COMPUTED_VALUE"""),"No")</f>
        <v>No</v>
      </c>
      <c r="M1368" s="30" t="str">
        <f ca="1">IFERROR(__xludf.DUMMYFUNCTION("""COMPUTED_VALUE"""),"54028030")</f>
        <v>54028030</v>
      </c>
      <c r="N1368" s="30" t="str">
        <f ca="1">IFERROR(__xludf.DUMMYFUNCTION("""COMPUTED_VALUE"""),"POSADAS (MUNICIPIO DE POSADAS)")</f>
        <v>POSADAS (MUNICIPIO DE POSADAS)</v>
      </c>
      <c r="O1368" s="30" t="str">
        <f ca="1">IFERROR(__xludf.DUMMYFUNCTION("""COMPUTED_VALUE"""),"5428")</f>
        <v>5428</v>
      </c>
      <c r="P1368" s="30" t="str">
        <f ca="1">IFERROR(__xludf.DUMMYFUNCTION("""COMPUTED_VALUE"""),"CAPITAL")</f>
        <v>CAPITAL</v>
      </c>
      <c r="Q1368" s="30" t="str">
        <f ca="1">IFERROR(__xludf.DUMMYFUNCTION("""COMPUTED_VALUE"""),"-27.42324")</f>
        <v>-27.42324</v>
      </c>
      <c r="R1368" s="30" t="str">
        <f ca="1">IFERROR(__xludf.DUMMYFUNCTION("""COMPUTED_VALUE"""),"-55.89668")</f>
        <v>-55.89668</v>
      </c>
      <c r="S1368" s="30" t="str">
        <f ca="1">IFERROR(__xludf.DUMMYFUNCTION("""COMPUTED_VALUE"""),"Provincial")</f>
        <v>Provincial</v>
      </c>
      <c r="T1368" s="30" t="str">
        <f ca="1">IFERROR(__xludf.DUMMYFUNCTION("""COMPUTED_VALUE"""),"-")</f>
        <v>-</v>
      </c>
    </row>
    <row r="1369" spans="1:20" ht="15.75" customHeight="1" x14ac:dyDescent="0.25">
      <c r="A1369" s="30" t="str">
        <f ca="1">IFERROR(__xludf.DUMMYFUNCTION("""COMPUTED_VALUE"""),"50540282164024")</f>
        <v>50540282164024</v>
      </c>
      <c r="B1369" s="30" t="str">
        <f ca="1">IFERROR(__xludf.DUMMYFUNCTION("""COMPUTED_VALUE"""),"C.A.P.S. Nº 4 LA PICADA")</f>
        <v>C.A.P.S. Nº 4 LA PICADA</v>
      </c>
      <c r="C1369" s="30" t="str">
        <f ca="1">IFERROR(__xludf.DUMMYFUNCTION("""COMPUTED_VALUE"""),"Misiones")</f>
        <v>Misiones</v>
      </c>
      <c r="D1369" s="30" t="str">
        <f ca="1">IFERROR(__xludf.DUMMYFUNCTION("""COMPUTED_VALUE"""),"54")</f>
        <v>54</v>
      </c>
      <c r="E1369" s="30" t="str">
        <f ca="1">IFERROR(__xludf.DUMMYFUNCTION("""COMPUTED_VALUE"""),"")</f>
        <v/>
      </c>
      <c r="F1369" s="29"/>
      <c r="G1369" s="29"/>
      <c r="H1369" s="30" t="str">
        <f ca="1">IFERROR(__xludf.DUMMYFUNCTION("""COMPUTED_VALUE"""),"activo")</f>
        <v>activo</v>
      </c>
      <c r="I1369" s="29"/>
      <c r="J1369" s="29"/>
      <c r="K1369" s="29"/>
      <c r="L1369" s="30" t="str">
        <f ca="1">IFERROR(__xludf.DUMMYFUNCTION("""COMPUTED_VALUE"""),"No")</f>
        <v>No</v>
      </c>
      <c r="M1369" s="30" t="str">
        <f ca="1">IFERROR(__xludf.DUMMYFUNCTION("""COMPUTED_VALUE"""),"54028030")</f>
        <v>54028030</v>
      </c>
      <c r="N1369" s="30" t="str">
        <f ca="1">IFERROR(__xludf.DUMMYFUNCTION("""COMPUTED_VALUE"""),"POSADAS (MUNICIPIO DE POSADAS)")</f>
        <v>POSADAS (MUNICIPIO DE POSADAS)</v>
      </c>
      <c r="O1369" s="30" t="str">
        <f ca="1">IFERROR(__xludf.DUMMYFUNCTION("""COMPUTED_VALUE"""),"5428")</f>
        <v>5428</v>
      </c>
      <c r="P1369" s="30" t="str">
        <f ca="1">IFERROR(__xludf.DUMMYFUNCTION("""COMPUTED_VALUE"""),"CAPITAL")</f>
        <v>CAPITAL</v>
      </c>
      <c r="Q1369" s="30" t="str">
        <f ca="1">IFERROR(__xludf.DUMMYFUNCTION("""COMPUTED_VALUE"""),"-27.36937")</f>
        <v>-27.36937</v>
      </c>
      <c r="R1369" s="30" t="str">
        <f ca="1">IFERROR(__xludf.DUMMYFUNCTION("""COMPUTED_VALUE"""),"-55.91115")</f>
        <v>-55.91115</v>
      </c>
      <c r="S1369" s="30" t="str">
        <f ca="1">IFERROR(__xludf.DUMMYFUNCTION("""COMPUTED_VALUE"""),"Provincial")</f>
        <v>Provincial</v>
      </c>
      <c r="T1369" s="30" t="str">
        <f ca="1">IFERROR(__xludf.DUMMYFUNCTION("""COMPUTED_VALUE"""),"-")</f>
        <v>-</v>
      </c>
    </row>
    <row r="1370" spans="1:20" ht="15.75" customHeight="1" x14ac:dyDescent="0.25">
      <c r="A1370" s="30" t="str">
        <f ca="1">IFERROR(__xludf.DUMMYFUNCTION("""COMPUTED_VALUE"""),"50540282164025")</f>
        <v>50540282164025</v>
      </c>
      <c r="B1370" s="30" t="str">
        <f ca="1">IFERROR(__xludf.DUMMYFUNCTION("""COMPUTED_VALUE"""),"C.A.P.S. Nº 3 CHACRA 181 - ESC. EJERCITO ARGENTINO")</f>
        <v>C.A.P.S. Nº 3 CHACRA 181 - ESC. EJERCITO ARGENTINO</v>
      </c>
      <c r="C1370" s="30" t="str">
        <f ca="1">IFERROR(__xludf.DUMMYFUNCTION("""COMPUTED_VALUE"""),"Misiones")</f>
        <v>Misiones</v>
      </c>
      <c r="D1370" s="30" t="str">
        <f ca="1">IFERROR(__xludf.DUMMYFUNCTION("""COMPUTED_VALUE"""),"54")</f>
        <v>54</v>
      </c>
      <c r="E1370" s="30" t="str">
        <f ca="1">IFERROR(__xludf.DUMMYFUNCTION("""COMPUTED_VALUE"""),"si")</f>
        <v>si</v>
      </c>
      <c r="F1370" s="29"/>
      <c r="G1370" s="29"/>
      <c r="H1370" s="30" t="str">
        <f ca="1">IFERROR(__xludf.DUMMYFUNCTION("""COMPUTED_VALUE"""),"activo")</f>
        <v>activo</v>
      </c>
      <c r="I1370" s="29"/>
      <c r="J1370" s="29"/>
      <c r="K1370" s="29"/>
      <c r="L1370" s="30" t="str">
        <f ca="1">IFERROR(__xludf.DUMMYFUNCTION("""COMPUTED_VALUE"""),"No")</f>
        <v>No</v>
      </c>
      <c r="M1370" s="30" t="str">
        <f ca="1">IFERROR(__xludf.DUMMYFUNCTION("""COMPUTED_VALUE"""),"54028030")</f>
        <v>54028030</v>
      </c>
      <c r="N1370" s="30" t="str">
        <f ca="1">IFERROR(__xludf.DUMMYFUNCTION("""COMPUTED_VALUE"""),"POSADAS (MUNICIPIO DE POSADAS)")</f>
        <v>POSADAS (MUNICIPIO DE POSADAS)</v>
      </c>
      <c r="O1370" s="30" t="str">
        <f ca="1">IFERROR(__xludf.DUMMYFUNCTION("""COMPUTED_VALUE"""),"5428")</f>
        <v>5428</v>
      </c>
      <c r="P1370" s="30" t="str">
        <f ca="1">IFERROR(__xludf.DUMMYFUNCTION("""COMPUTED_VALUE"""),"CAPITAL")</f>
        <v>CAPITAL</v>
      </c>
      <c r="Q1370" s="30" t="str">
        <f ca="1">IFERROR(__xludf.DUMMYFUNCTION("""COMPUTED_VALUE"""),"-27.35793")</f>
        <v>-27.35793</v>
      </c>
      <c r="R1370" s="30" t="str">
        <f ca="1">IFERROR(__xludf.DUMMYFUNCTION("""COMPUTED_VALUE"""),"-55.91508")</f>
        <v>-55.91508</v>
      </c>
      <c r="S1370" s="30" t="str">
        <f ca="1">IFERROR(__xludf.DUMMYFUNCTION("""COMPUTED_VALUE"""),"Provincial")</f>
        <v>Provincial</v>
      </c>
      <c r="T1370" s="30" t="str">
        <f ca="1">IFERROR(__xludf.DUMMYFUNCTION("""COMPUTED_VALUE"""),"-")</f>
        <v>-</v>
      </c>
    </row>
    <row r="1371" spans="1:20" ht="15.75" customHeight="1" x14ac:dyDescent="0.25">
      <c r="A1371" s="30" t="str">
        <f ca="1">IFERROR(__xludf.DUMMYFUNCTION("""COMPUTED_VALUE"""),"50540282164027")</f>
        <v>50540282164027</v>
      </c>
      <c r="B1371" s="30" t="str">
        <f ca="1">IFERROR(__xludf.DUMMYFUNCTION("""COMPUTED_VALUE"""),"C.A.P.S. Nº 1 SAN MIGUEL")</f>
        <v>C.A.P.S. Nº 1 SAN MIGUEL</v>
      </c>
      <c r="C1371" s="30" t="str">
        <f ca="1">IFERROR(__xludf.DUMMYFUNCTION("""COMPUTED_VALUE"""),"Misiones")</f>
        <v>Misiones</v>
      </c>
      <c r="D1371" s="30" t="str">
        <f ca="1">IFERROR(__xludf.DUMMYFUNCTION("""COMPUTED_VALUE"""),"54")</f>
        <v>54</v>
      </c>
      <c r="E1371" s="30" t="str">
        <f ca="1">IFERROR(__xludf.DUMMYFUNCTION("""COMPUTED_VALUE"""),"")</f>
        <v/>
      </c>
      <c r="F1371" s="29"/>
      <c r="G1371" s="30" t="str">
        <f ca="1">IFERROR(__xludf.DUMMYFUNCTION("""COMPUTED_VALUE"""),"50540282164009")</f>
        <v>50540282164009</v>
      </c>
      <c r="H1371" s="30" t="str">
        <f ca="1">IFERROR(__xludf.DUMMYFUNCTION("""COMPUTED_VALUE"""),"inactivo")</f>
        <v>inactivo</v>
      </c>
      <c r="I1371" s="29"/>
      <c r="J1371" s="29"/>
      <c r="K1371" s="29"/>
      <c r="L1371" s="30" t="str">
        <f ca="1">IFERROR(__xludf.DUMMYFUNCTION("""COMPUTED_VALUE"""),"No")</f>
        <v>No</v>
      </c>
      <c r="M1371" s="30" t="str">
        <f ca="1">IFERROR(__xludf.DUMMYFUNCTION("""COMPUTED_VALUE"""),"54028030")</f>
        <v>54028030</v>
      </c>
      <c r="N1371" s="30" t="str">
        <f ca="1">IFERROR(__xludf.DUMMYFUNCTION("""COMPUTED_VALUE"""),"POSADAS (MUNICIPIO DE POSADAS)")</f>
        <v>POSADAS (MUNICIPIO DE POSADAS)</v>
      </c>
      <c r="O1371" s="30" t="str">
        <f ca="1">IFERROR(__xludf.DUMMYFUNCTION("""COMPUTED_VALUE"""),"5428")</f>
        <v>5428</v>
      </c>
      <c r="P1371" s="30" t="str">
        <f ca="1">IFERROR(__xludf.DUMMYFUNCTION("""COMPUTED_VALUE"""),"CAPITAL")</f>
        <v>CAPITAL</v>
      </c>
      <c r="Q1371" s="30" t="str">
        <f ca="1">IFERROR(__xludf.DUMMYFUNCTION("""COMPUTED_VALUE"""),"-27.3640498")</f>
        <v>-27.3640498</v>
      </c>
      <c r="R1371" s="30" t="str">
        <f ca="1">IFERROR(__xludf.DUMMYFUNCTION("""COMPUTED_VALUE"""),"-55.93147578")</f>
        <v>-55.93147578</v>
      </c>
      <c r="S1371" s="30" t="str">
        <f ca="1">IFERROR(__xludf.DUMMYFUNCTION("""COMPUTED_VALUE"""),"Provincial")</f>
        <v>Provincial</v>
      </c>
      <c r="T1371" s="30" t="str">
        <f ca="1">IFERROR(__xludf.DUMMYFUNCTION("""COMPUTED_VALUE"""),"-")</f>
        <v>-</v>
      </c>
    </row>
    <row r="1372" spans="1:20" ht="15.75" customHeight="1" x14ac:dyDescent="0.25">
      <c r="A1372" s="30" t="str">
        <f ca="1">IFERROR(__xludf.DUMMYFUNCTION("""COMPUTED_VALUE"""),"50540282164009")</f>
        <v>50540282164009</v>
      </c>
      <c r="B1372" s="30" t="str">
        <f ca="1">IFERROR(__xludf.DUMMYFUNCTION("""COMPUTED_VALUE"""),"C.A.P.S. Nº 28 BARRIO TACURU")</f>
        <v>C.A.P.S. Nº 28 BARRIO TACURU</v>
      </c>
      <c r="C1372" s="30" t="str">
        <f ca="1">IFERROR(__xludf.DUMMYFUNCTION("""COMPUTED_VALUE"""),"Misiones")</f>
        <v>Misiones</v>
      </c>
      <c r="D1372" s="30" t="str">
        <f ca="1">IFERROR(__xludf.DUMMYFUNCTION("""COMPUTED_VALUE"""),"54")</f>
        <v>54</v>
      </c>
      <c r="E1372" s="30" t="str">
        <f ca="1">IFERROR(__xludf.DUMMYFUNCTION("""COMPUTED_VALUE"""),"")</f>
        <v/>
      </c>
      <c r="F1372" s="30" t="str">
        <f ca="1">IFERROR(__xludf.DUMMYFUNCTION("""COMPUTED_VALUE"""),"50540282164027")</f>
        <v>50540282164027</v>
      </c>
      <c r="G1372" s="29"/>
      <c r="H1372" s="30" t="str">
        <f ca="1">IFERROR(__xludf.DUMMYFUNCTION("""COMPUTED_VALUE"""),"activo")</f>
        <v>activo</v>
      </c>
      <c r="I1372" s="29"/>
      <c r="J1372" s="29"/>
      <c r="K1372" s="29"/>
      <c r="L1372" s="30" t="str">
        <f ca="1">IFERROR(__xludf.DUMMYFUNCTION("""COMPUTED_VALUE"""),"No")</f>
        <v>No</v>
      </c>
      <c r="M1372" s="30" t="str">
        <f ca="1">IFERROR(__xludf.DUMMYFUNCTION("""COMPUTED_VALUE"""),"54028030")</f>
        <v>54028030</v>
      </c>
      <c r="N1372" s="30" t="str">
        <f ca="1">IFERROR(__xludf.DUMMYFUNCTION("""COMPUTED_VALUE"""),"POSADAS (MUNICIPIO DE POSADAS)")</f>
        <v>POSADAS (MUNICIPIO DE POSADAS)</v>
      </c>
      <c r="O1372" s="30" t="str">
        <f ca="1">IFERROR(__xludf.DUMMYFUNCTION("""COMPUTED_VALUE"""),"5428")</f>
        <v>5428</v>
      </c>
      <c r="P1372" s="30" t="str">
        <f ca="1">IFERROR(__xludf.DUMMYFUNCTION("""COMPUTED_VALUE"""),"CAPITAL")</f>
        <v>CAPITAL</v>
      </c>
      <c r="Q1372" s="30" t="str">
        <f ca="1">IFERROR(__xludf.DUMMYFUNCTION("""COMPUTED_VALUE"""),"-27.38908004")</f>
        <v>-27.38908004</v>
      </c>
      <c r="R1372" s="30" t="str">
        <f ca="1">IFERROR(__xludf.DUMMYFUNCTION("""COMPUTED_VALUE"""),"-55.92142311")</f>
        <v>-55.92142311</v>
      </c>
      <c r="S1372" s="30" t="str">
        <f ca="1">IFERROR(__xludf.DUMMYFUNCTION("""COMPUTED_VALUE"""),"Provincial")</f>
        <v>Provincial</v>
      </c>
      <c r="T1372" s="30" t="str">
        <f ca="1">IFERROR(__xludf.DUMMYFUNCTION("""COMPUTED_VALUE"""),"-")</f>
        <v>-</v>
      </c>
    </row>
    <row r="1373" spans="1:20" ht="15.75" customHeight="1" x14ac:dyDescent="0.25">
      <c r="A1373" s="30" t="str">
        <f ca="1">IFERROR(__xludf.DUMMYFUNCTION("""COMPUTED_VALUE"""),"50540282164028")</f>
        <v>50540282164028</v>
      </c>
      <c r="B1373" s="30" t="str">
        <f ca="1">IFERROR(__xludf.DUMMYFUNCTION("""COMPUTED_VALUE"""),"C.A.P.S. Nº 20 ÑU PORA")</f>
        <v>C.A.P.S. Nº 20 ÑU PORA</v>
      </c>
      <c r="C1373" s="30" t="str">
        <f ca="1">IFERROR(__xludf.DUMMYFUNCTION("""COMPUTED_VALUE"""),"Misiones")</f>
        <v>Misiones</v>
      </c>
      <c r="D1373" s="30" t="str">
        <f ca="1">IFERROR(__xludf.DUMMYFUNCTION("""COMPUTED_VALUE"""),"54")</f>
        <v>54</v>
      </c>
      <c r="E1373" s="30" t="str">
        <f ca="1">IFERROR(__xludf.DUMMYFUNCTION("""COMPUTED_VALUE"""),"si")</f>
        <v>si</v>
      </c>
      <c r="F1373" s="29"/>
      <c r="G1373" s="29"/>
      <c r="H1373" s="30" t="str">
        <f ca="1">IFERROR(__xludf.DUMMYFUNCTION("""COMPUTED_VALUE"""),"activo")</f>
        <v>activo</v>
      </c>
      <c r="I1373" s="29"/>
      <c r="J1373" s="29"/>
      <c r="K1373" s="29"/>
      <c r="L1373" s="30" t="str">
        <f ca="1">IFERROR(__xludf.DUMMYFUNCTION("""COMPUTED_VALUE"""),"No")</f>
        <v>No</v>
      </c>
      <c r="M1373" s="30" t="str">
        <f ca="1">IFERROR(__xludf.DUMMYFUNCTION("""COMPUTED_VALUE"""),"54028010000")</f>
        <v>54028010000</v>
      </c>
      <c r="N1373" s="30" t="str">
        <f ca="1">IFERROR(__xludf.DUMMYFUNCTION("""COMPUTED_VALUE"""),"GARUPA")</f>
        <v>GARUPA</v>
      </c>
      <c r="O1373" s="30" t="str">
        <f ca="1">IFERROR(__xludf.DUMMYFUNCTION("""COMPUTED_VALUE"""),"5428")</f>
        <v>5428</v>
      </c>
      <c r="P1373" s="30" t="str">
        <f ca="1">IFERROR(__xludf.DUMMYFUNCTION("""COMPUTED_VALUE"""),"CAPITAL")</f>
        <v>CAPITAL</v>
      </c>
      <c r="Q1373" s="30" t="str">
        <f ca="1">IFERROR(__xludf.DUMMYFUNCTION("""COMPUTED_VALUE"""),"-27.44747")</f>
        <v>-27.44747</v>
      </c>
      <c r="R1373" s="30" t="str">
        <f ca="1">IFERROR(__xludf.DUMMYFUNCTION("""COMPUTED_VALUE"""),"-55.85993")</f>
        <v>-55.85993</v>
      </c>
      <c r="S1373" s="30" t="str">
        <f ca="1">IFERROR(__xludf.DUMMYFUNCTION("""COMPUTED_VALUE"""),"Provincial")</f>
        <v>Provincial</v>
      </c>
      <c r="T1373" s="30" t="str">
        <f ca="1">IFERROR(__xludf.DUMMYFUNCTION("""COMPUTED_VALUE"""),"-")</f>
        <v>-</v>
      </c>
    </row>
    <row r="1374" spans="1:20" ht="15.75" customHeight="1" x14ac:dyDescent="0.25">
      <c r="A1374" s="30" t="str">
        <f ca="1">IFERROR(__xludf.DUMMYFUNCTION("""COMPUTED_VALUE"""),"50540282164029")</f>
        <v>50540282164029</v>
      </c>
      <c r="B1374" s="30" t="str">
        <f ca="1">IFERROR(__xludf.DUMMYFUNCTION("""COMPUTED_VALUE"""),"C.A.P.S. Nº 19 DON SANTIAGO")</f>
        <v>C.A.P.S. Nº 19 DON SANTIAGO</v>
      </c>
      <c r="C1374" s="30" t="str">
        <f ca="1">IFERROR(__xludf.DUMMYFUNCTION("""COMPUTED_VALUE"""),"Misiones")</f>
        <v>Misiones</v>
      </c>
      <c r="D1374" s="30" t="str">
        <f ca="1">IFERROR(__xludf.DUMMYFUNCTION("""COMPUTED_VALUE"""),"54")</f>
        <v>54</v>
      </c>
      <c r="E1374" s="30" t="str">
        <f ca="1">IFERROR(__xludf.DUMMYFUNCTION("""COMPUTED_VALUE"""),"")</f>
        <v/>
      </c>
      <c r="F1374" s="29"/>
      <c r="G1374" s="29"/>
      <c r="H1374" s="30" t="str">
        <f ca="1">IFERROR(__xludf.DUMMYFUNCTION("""COMPUTED_VALUE"""),"activo")</f>
        <v>activo</v>
      </c>
      <c r="I1374" s="29"/>
      <c r="J1374" s="29"/>
      <c r="K1374" s="29"/>
      <c r="L1374" s="30" t="str">
        <f ca="1">IFERROR(__xludf.DUMMYFUNCTION("""COMPUTED_VALUE"""),"No")</f>
        <v>No</v>
      </c>
      <c r="M1374" s="30" t="str">
        <f ca="1">IFERROR(__xludf.DUMMYFUNCTION("""COMPUTED_VALUE"""),"54028010000")</f>
        <v>54028010000</v>
      </c>
      <c r="N1374" s="30" t="str">
        <f ca="1">IFERROR(__xludf.DUMMYFUNCTION("""COMPUTED_VALUE"""),"GARUPA")</f>
        <v>GARUPA</v>
      </c>
      <c r="O1374" s="30" t="str">
        <f ca="1">IFERROR(__xludf.DUMMYFUNCTION("""COMPUTED_VALUE"""),"5428")</f>
        <v>5428</v>
      </c>
      <c r="P1374" s="30" t="str">
        <f ca="1">IFERROR(__xludf.DUMMYFUNCTION("""COMPUTED_VALUE"""),"CAPITAL")</f>
        <v>CAPITAL</v>
      </c>
      <c r="Q1374" s="30" t="str">
        <f ca="1">IFERROR(__xludf.DUMMYFUNCTION("""COMPUTED_VALUE"""),"-27.4663206")</f>
        <v>-27.4663206</v>
      </c>
      <c r="R1374" s="30" t="str">
        <f ca="1">IFERROR(__xludf.DUMMYFUNCTION("""COMPUTED_VALUE"""),"-55.8597848")</f>
        <v>-55.8597848</v>
      </c>
      <c r="S1374" s="30" t="str">
        <f ca="1">IFERROR(__xludf.DUMMYFUNCTION("""COMPUTED_VALUE"""),"Provincial")</f>
        <v>Provincial</v>
      </c>
      <c r="T1374" s="30" t="str">
        <f ca="1">IFERROR(__xludf.DUMMYFUNCTION("""COMPUTED_VALUE"""),"-")</f>
        <v>-</v>
      </c>
    </row>
    <row r="1375" spans="1:20" ht="15.75" customHeight="1" x14ac:dyDescent="0.25">
      <c r="A1375" s="30" t="str">
        <f ca="1">IFERROR(__xludf.DUMMYFUNCTION("""COMPUTED_VALUE"""),"50540282165661")</f>
        <v>50540282165661</v>
      </c>
      <c r="B1375" s="30" t="str">
        <f ca="1">IFERROR(__xludf.DUMMYFUNCTION("""COMPUTED_VALUE"""),"C.A.P.S. Nº 5 YACYRETA")</f>
        <v>C.A.P.S. Nº 5 YACYRETA</v>
      </c>
      <c r="C1375" s="30" t="str">
        <f ca="1">IFERROR(__xludf.DUMMYFUNCTION("""COMPUTED_VALUE"""),"Misiones")</f>
        <v>Misiones</v>
      </c>
      <c r="D1375" s="30" t="str">
        <f ca="1">IFERROR(__xludf.DUMMYFUNCTION("""COMPUTED_VALUE"""),"54")</f>
        <v>54</v>
      </c>
      <c r="E1375" s="30" t="str">
        <f ca="1">IFERROR(__xludf.DUMMYFUNCTION("""COMPUTED_VALUE"""),"")</f>
        <v/>
      </c>
      <c r="F1375" s="29"/>
      <c r="G1375" s="29"/>
      <c r="H1375" s="30" t="str">
        <f ca="1">IFERROR(__xludf.DUMMYFUNCTION("""COMPUTED_VALUE"""),"activo")</f>
        <v>activo</v>
      </c>
      <c r="I1375" s="29"/>
      <c r="J1375" s="29"/>
      <c r="K1375" s="29"/>
      <c r="L1375" s="30" t="str">
        <f ca="1">IFERROR(__xludf.DUMMYFUNCTION("""COMPUTED_VALUE"""),"No")</f>
        <v>No</v>
      </c>
      <c r="M1375" s="30" t="str">
        <f ca="1">IFERROR(__xludf.DUMMYFUNCTION("""COMPUTED_VALUE"""),"54028030")</f>
        <v>54028030</v>
      </c>
      <c r="N1375" s="30" t="str">
        <f ca="1">IFERROR(__xludf.DUMMYFUNCTION("""COMPUTED_VALUE"""),"POSADAS (MUNICIPIO DE POSADAS)")</f>
        <v>POSADAS (MUNICIPIO DE POSADAS)</v>
      </c>
      <c r="O1375" s="30" t="str">
        <f ca="1">IFERROR(__xludf.DUMMYFUNCTION("""COMPUTED_VALUE"""),"5428")</f>
        <v>5428</v>
      </c>
      <c r="P1375" s="30" t="str">
        <f ca="1">IFERROR(__xludf.DUMMYFUNCTION("""COMPUTED_VALUE"""),"CAPITAL")</f>
        <v>CAPITAL</v>
      </c>
      <c r="Q1375" s="30" t="str">
        <f ca="1">IFERROR(__xludf.DUMMYFUNCTION("""COMPUTED_VALUE"""),"-27.37496617")</f>
        <v>-27.37496617</v>
      </c>
      <c r="R1375" s="30" t="str">
        <f ca="1">IFERROR(__xludf.DUMMYFUNCTION("""COMPUTED_VALUE"""),"-55.92639685")</f>
        <v>-55.92639685</v>
      </c>
      <c r="S1375" s="30" t="str">
        <f ca="1">IFERROR(__xludf.DUMMYFUNCTION("""COMPUTED_VALUE"""),"Provincial")</f>
        <v>Provincial</v>
      </c>
      <c r="T1375" s="30" t="str">
        <f ca="1">IFERROR(__xludf.DUMMYFUNCTION("""COMPUTED_VALUE"""),"-")</f>
        <v>-</v>
      </c>
    </row>
    <row r="1376" spans="1:20" ht="15.75" customHeight="1" x14ac:dyDescent="0.25">
      <c r="A1376" s="30" t="str">
        <f ca="1">IFERROR(__xludf.DUMMYFUNCTION("""COMPUTED_VALUE"""),"50540702265173")</f>
        <v>50540702265173</v>
      </c>
      <c r="B1376" s="30" t="str">
        <f ca="1">IFERROR(__xludf.DUMMYFUNCTION("""COMPUTED_VALUE"""),"C.I.C. LEANDRO N. ALEM")</f>
        <v>C.I.C. LEANDRO N. ALEM</v>
      </c>
      <c r="C1376" s="30" t="str">
        <f ca="1">IFERROR(__xludf.DUMMYFUNCTION("""COMPUTED_VALUE"""),"Misiones")</f>
        <v>Misiones</v>
      </c>
      <c r="D1376" s="30" t="str">
        <f ca="1">IFERROR(__xludf.DUMMYFUNCTION("""COMPUTED_VALUE"""),"54")</f>
        <v>54</v>
      </c>
      <c r="E1376" s="30" t="str">
        <f ca="1">IFERROR(__xludf.DUMMYFUNCTION("""COMPUTED_VALUE"""),"")</f>
        <v/>
      </c>
      <c r="F1376" s="29"/>
      <c r="G1376" s="29"/>
      <c r="H1376" s="30" t="str">
        <f ca="1">IFERROR(__xludf.DUMMYFUNCTION("""COMPUTED_VALUE"""),"activo")</f>
        <v>activo</v>
      </c>
      <c r="I1376" s="29"/>
      <c r="J1376" s="29"/>
      <c r="K1376" s="29"/>
      <c r="L1376" s="30" t="str">
        <f ca="1">IFERROR(__xludf.DUMMYFUNCTION("""COMPUTED_VALUE"""),"No")</f>
        <v>No</v>
      </c>
      <c r="M1376" s="30" t="str">
        <f ca="1">IFERROR(__xludf.DUMMYFUNCTION("""COMPUTED_VALUE"""),"54070070000")</f>
        <v>54070070000</v>
      </c>
      <c r="N1376" s="30" t="str">
        <f ca="1">IFERROR(__xludf.DUMMYFUNCTION("""COMPUTED_VALUE"""),"LEANDRO N. ALEM")</f>
        <v>LEANDRO N. ALEM</v>
      </c>
      <c r="O1376" s="30" t="str">
        <f ca="1">IFERROR(__xludf.DUMMYFUNCTION("""COMPUTED_VALUE"""),"5470")</f>
        <v>5470</v>
      </c>
      <c r="P1376" s="30" t="str">
        <f ca="1">IFERROR(__xludf.DUMMYFUNCTION("""COMPUTED_VALUE"""),"LEANDRO N. ALEM")</f>
        <v>LEANDRO N. ALEM</v>
      </c>
      <c r="Q1376" s="30" t="str">
        <f ca="1">IFERROR(__xludf.DUMMYFUNCTION("""COMPUTED_VALUE"""),"-27.59173084")</f>
        <v>-27.59173084</v>
      </c>
      <c r="R1376" s="30" t="str">
        <f ca="1">IFERROR(__xludf.DUMMYFUNCTION("""COMPUTED_VALUE"""),"-55.33635646")</f>
        <v>-55.33635646</v>
      </c>
      <c r="S1376" s="30" t="str">
        <f ca="1">IFERROR(__xludf.DUMMYFUNCTION("""COMPUTED_VALUE"""),"Municipal")</f>
        <v>Municipal</v>
      </c>
      <c r="T1376" s="29"/>
    </row>
    <row r="1377" spans="1:20" ht="15.75" customHeight="1" x14ac:dyDescent="0.25">
      <c r="A1377" s="30" t="str">
        <f ca="1">IFERROR(__xludf.DUMMYFUNCTION("""COMPUTED_VALUE"""),"10540702164453")</f>
        <v>10540702164453</v>
      </c>
      <c r="B1377" s="30" t="str">
        <f ca="1">IFERROR(__xludf.DUMMYFUNCTION("""COMPUTED_VALUE"""),"HOSPITAL SAMIC NIVEL III DE AUTOGESTION L. N. ALEM DR. JUAN FERNANDO ALEGRE")</f>
        <v>HOSPITAL SAMIC NIVEL III DE AUTOGESTION L. N. ALEM DR. JUAN FERNANDO ALEGRE</v>
      </c>
      <c r="C1377" s="30" t="str">
        <f ca="1">IFERROR(__xludf.DUMMYFUNCTION("""COMPUTED_VALUE"""),"Misiones")</f>
        <v>Misiones</v>
      </c>
      <c r="D1377" s="30" t="str">
        <f ca="1">IFERROR(__xludf.DUMMYFUNCTION("""COMPUTED_VALUE"""),"54")</f>
        <v>54</v>
      </c>
      <c r="E1377" s="30" t="str">
        <f ca="1">IFERROR(__xludf.DUMMYFUNCTION("""COMPUTED_VALUE"""),"")</f>
        <v/>
      </c>
      <c r="F1377" s="29"/>
      <c r="G1377" s="29"/>
      <c r="H1377" s="30" t="str">
        <f ca="1">IFERROR(__xludf.DUMMYFUNCTION("""COMPUTED_VALUE"""),"activo")</f>
        <v>activo</v>
      </c>
      <c r="I1377" s="29"/>
      <c r="J1377" s="29"/>
      <c r="K1377" s="29"/>
      <c r="L1377" s="30" t="str">
        <f ca="1">IFERROR(__xludf.DUMMYFUNCTION("""COMPUTED_VALUE"""),"No")</f>
        <v>No</v>
      </c>
      <c r="M1377" s="30" t="str">
        <f ca="1">IFERROR(__xludf.DUMMYFUNCTION("""COMPUTED_VALUE"""),"54070070000")</f>
        <v>54070070000</v>
      </c>
      <c r="N1377" s="30" t="str">
        <f ca="1">IFERROR(__xludf.DUMMYFUNCTION("""COMPUTED_VALUE"""),"LEANDRO N. ALEM")</f>
        <v>LEANDRO N. ALEM</v>
      </c>
      <c r="O1377" s="30" t="str">
        <f ca="1">IFERROR(__xludf.DUMMYFUNCTION("""COMPUTED_VALUE"""),"5470")</f>
        <v>5470</v>
      </c>
      <c r="P1377" s="30" t="str">
        <f ca="1">IFERROR(__xludf.DUMMYFUNCTION("""COMPUTED_VALUE"""),"LEANDRO N. ALEM")</f>
        <v>LEANDRO N. ALEM</v>
      </c>
      <c r="Q1377" s="30" t="str">
        <f ca="1">IFERROR(__xludf.DUMMYFUNCTION("""COMPUTED_VALUE"""),"-27.60781949")</f>
        <v>-27.60781949</v>
      </c>
      <c r="R1377" s="30" t="str">
        <f ca="1">IFERROR(__xludf.DUMMYFUNCTION("""COMPUTED_VALUE"""),"-55.33008814")</f>
        <v>-55.33008814</v>
      </c>
      <c r="S1377" s="30" t="str">
        <f ca="1">IFERROR(__xludf.DUMMYFUNCTION("""COMPUTED_VALUE"""),"Provincial")</f>
        <v>Provincial</v>
      </c>
      <c r="T1377" s="30" t="str">
        <f ca="1">IFERROR(__xludf.DUMMYFUNCTION("""COMPUTED_VALUE"""),"-")</f>
        <v>-</v>
      </c>
    </row>
    <row r="1378" spans="1:20" ht="15.75" customHeight="1" x14ac:dyDescent="0.25">
      <c r="A1378" s="30" t="str">
        <f ca="1">IFERROR(__xludf.DUMMYFUNCTION("""COMPUTED_VALUE"""),"50540422164203")</f>
        <v>50540422164203</v>
      </c>
      <c r="B1378" s="30" t="str">
        <f ca="1">IFERROR(__xludf.DUMMYFUNCTION("""COMPUTED_VALUE"""),"HOSPITAL DE NIVEL 1 ZONA OESTE RAMON GARDES - ELDORADO-")</f>
        <v>HOSPITAL DE NIVEL 1 ZONA OESTE RAMON GARDES - ELDORADO-</v>
      </c>
      <c r="C1378" s="30" t="str">
        <f ca="1">IFERROR(__xludf.DUMMYFUNCTION("""COMPUTED_VALUE"""),"Misiones")</f>
        <v>Misiones</v>
      </c>
      <c r="D1378" s="30" t="str">
        <f ca="1">IFERROR(__xludf.DUMMYFUNCTION("""COMPUTED_VALUE"""),"54")</f>
        <v>54</v>
      </c>
      <c r="E1378" s="30" t="str">
        <f ca="1">IFERROR(__xludf.DUMMYFUNCTION("""COMPUTED_VALUE"""),"si")</f>
        <v>si</v>
      </c>
      <c r="F1378" s="29"/>
      <c r="G1378" s="29"/>
      <c r="H1378" s="30" t="str">
        <f ca="1">IFERROR(__xludf.DUMMYFUNCTION("""COMPUTED_VALUE"""),"activo")</f>
        <v>activo</v>
      </c>
      <c r="I1378" s="29"/>
      <c r="J1378" s="29"/>
      <c r="K1378" s="29"/>
      <c r="L1378" s="30" t="str">
        <f ca="1">IFERROR(__xludf.DUMMYFUNCTION("""COMPUTED_VALUE"""),"No")</f>
        <v>No</v>
      </c>
      <c r="M1378" s="30" t="str">
        <f ca="1">IFERROR(__xludf.DUMMYFUNCTION("""COMPUTED_VALUE"""),"54042020000")</f>
        <v>54042020000</v>
      </c>
      <c r="N1378" s="30" t="str">
        <f ca="1">IFERROR(__xludf.DUMMYFUNCTION("""COMPUTED_VALUE"""),"ELDORADO")</f>
        <v>ELDORADO</v>
      </c>
      <c r="O1378" s="30" t="str">
        <f ca="1">IFERROR(__xludf.DUMMYFUNCTION("""COMPUTED_VALUE"""),"5442")</f>
        <v>5442</v>
      </c>
      <c r="P1378" s="30" t="str">
        <f ca="1">IFERROR(__xludf.DUMMYFUNCTION("""COMPUTED_VALUE"""),"ELDORADO")</f>
        <v>ELDORADO</v>
      </c>
      <c r="Q1378" s="30" t="str">
        <f ca="1">IFERROR(__xludf.DUMMYFUNCTION("""COMPUTED_VALUE"""),"-26.40731")</f>
        <v>-26.40731</v>
      </c>
      <c r="R1378" s="30" t="str">
        <f ca="1">IFERROR(__xludf.DUMMYFUNCTION("""COMPUTED_VALUE"""),"-54.66396")</f>
        <v>-54.66396</v>
      </c>
      <c r="S1378" s="30" t="str">
        <f ca="1">IFERROR(__xludf.DUMMYFUNCTION("""COMPUTED_VALUE"""),"Provincial")</f>
        <v>Provincial</v>
      </c>
      <c r="T1378" s="30" t="str">
        <f ca="1">IFERROR(__xludf.DUMMYFUNCTION("""COMPUTED_VALUE"""),"-")</f>
        <v>-</v>
      </c>
    </row>
    <row r="1379" spans="1:20" ht="15.75" customHeight="1" x14ac:dyDescent="0.25">
      <c r="A1379" s="30" t="str">
        <f ca="1">IFERROR(__xludf.DUMMYFUNCTION("""COMPUTED_VALUE"""),"50540632164230")</f>
        <v>50540632164230</v>
      </c>
      <c r="B1379" s="30" t="str">
        <f ca="1">IFERROR(__xludf.DUMMYFUNCTION("""COMPUTED_VALUE"""),"C.A.P.S. BARRIO BELEN- IGUAZU")</f>
        <v>C.A.P.S. BARRIO BELEN- IGUAZU</v>
      </c>
      <c r="C1379" s="30" t="str">
        <f ca="1">IFERROR(__xludf.DUMMYFUNCTION("""COMPUTED_VALUE"""),"Misiones")</f>
        <v>Misiones</v>
      </c>
      <c r="D1379" s="30" t="str">
        <f ca="1">IFERROR(__xludf.DUMMYFUNCTION("""COMPUTED_VALUE"""),"54")</f>
        <v>54</v>
      </c>
      <c r="E1379" s="30" t="str">
        <f ca="1">IFERROR(__xludf.DUMMYFUNCTION("""COMPUTED_VALUE"""),"")</f>
        <v/>
      </c>
      <c r="F1379" s="29"/>
      <c r="G1379" s="29"/>
      <c r="H1379" s="30" t="str">
        <f ca="1">IFERROR(__xludf.DUMMYFUNCTION("""COMPUTED_VALUE"""),"activo")</f>
        <v>activo</v>
      </c>
      <c r="I1379" s="29"/>
      <c r="J1379" s="29"/>
      <c r="K1379" s="29"/>
      <c r="L1379" s="30" t="str">
        <f ca="1">IFERROR(__xludf.DUMMYFUNCTION("""COMPUTED_VALUE"""),"No")</f>
        <v>No</v>
      </c>
      <c r="M1379" s="30" t="str">
        <f ca="1">IFERROR(__xludf.DUMMYFUNCTION("""COMPUTED_VALUE"""),"54063030000")</f>
        <v>54063030000</v>
      </c>
      <c r="N1379" s="30" t="str">
        <f ca="1">IFERROR(__xludf.DUMMYFUNCTION("""COMPUTED_VALUE"""),"PUERTO IGUAZU")</f>
        <v>PUERTO IGUAZU</v>
      </c>
      <c r="O1379" s="30" t="str">
        <f ca="1">IFERROR(__xludf.DUMMYFUNCTION("""COMPUTED_VALUE"""),"5463")</f>
        <v>5463</v>
      </c>
      <c r="P1379" s="30" t="str">
        <f ca="1">IFERROR(__xludf.DUMMYFUNCTION("""COMPUTED_VALUE"""),"IGUAZÚ")</f>
        <v>IGUAZÚ</v>
      </c>
      <c r="Q1379" s="30" t="str">
        <f ca="1">IFERROR(__xludf.DUMMYFUNCTION("""COMPUTED_VALUE"""),"-25.615466")</f>
        <v>-25.615466</v>
      </c>
      <c r="R1379" s="30" t="str">
        <f ca="1">IFERROR(__xludf.DUMMYFUNCTION("""COMPUTED_VALUE"""),"-54.581475")</f>
        <v>-54.581475</v>
      </c>
      <c r="S1379" s="30" t="str">
        <f ca="1">IFERROR(__xludf.DUMMYFUNCTION("""COMPUTED_VALUE"""),"Provincial")</f>
        <v>Provincial</v>
      </c>
      <c r="T1379" s="30" t="str">
        <f ca="1">IFERROR(__xludf.DUMMYFUNCTION("""COMPUTED_VALUE"""),"-")</f>
        <v>-</v>
      </c>
    </row>
    <row r="1380" spans="1:20" ht="15.75" customHeight="1" x14ac:dyDescent="0.25">
      <c r="A1380" s="30" t="str">
        <f ca="1">IFERROR(__xludf.DUMMYFUNCTION("""COMPUTED_VALUE"""),"50540632164251")</f>
        <v>50540632164251</v>
      </c>
      <c r="B1380" s="30" t="str">
        <f ca="1">IFERROR(__xludf.DUMMYFUNCTION("""COMPUTED_VALUE"""),"C.A.P.S. WANDA CENTRO (O BARRIO UNION)")</f>
        <v>C.A.P.S. WANDA CENTRO (O BARRIO UNION)</v>
      </c>
      <c r="C1380" s="30" t="str">
        <f ca="1">IFERROR(__xludf.DUMMYFUNCTION("""COMPUTED_VALUE"""),"Misiones")</f>
        <v>Misiones</v>
      </c>
      <c r="D1380" s="30" t="str">
        <f ca="1">IFERROR(__xludf.DUMMYFUNCTION("""COMPUTED_VALUE"""),"54")</f>
        <v>54</v>
      </c>
      <c r="E1380" s="30" t="str">
        <f ca="1">IFERROR(__xludf.DUMMYFUNCTION("""COMPUTED_VALUE"""),"")</f>
        <v/>
      </c>
      <c r="F1380" s="29"/>
      <c r="G1380" s="30" t="str">
        <f ca="1">IFERROR(__xludf.DUMMYFUNCTION("""COMPUTED_VALUE"""),"53540422166008")</f>
        <v>53540422166008</v>
      </c>
      <c r="H1380" s="30" t="str">
        <f ca="1">IFERROR(__xludf.DUMMYFUNCTION("""COMPUTED_VALUE"""),"inactivo")</f>
        <v>inactivo</v>
      </c>
      <c r="I1380" s="29"/>
      <c r="J1380" s="29"/>
      <c r="K1380" s="29"/>
      <c r="L1380" s="30" t="str">
        <f ca="1">IFERROR(__xludf.DUMMYFUNCTION("""COMPUTED_VALUE"""),"No")</f>
        <v>No</v>
      </c>
      <c r="M1380" s="30" t="str">
        <f ca="1">IFERROR(__xludf.DUMMYFUNCTION("""COMPUTED_VALUE"""),"54063040000")</f>
        <v>54063040000</v>
      </c>
      <c r="N1380" s="30" t="str">
        <f ca="1">IFERROR(__xludf.DUMMYFUNCTION("""COMPUTED_VALUE"""),"WANDA")</f>
        <v>WANDA</v>
      </c>
      <c r="O1380" s="30" t="str">
        <f ca="1">IFERROR(__xludf.DUMMYFUNCTION("""COMPUTED_VALUE"""),"5463")</f>
        <v>5463</v>
      </c>
      <c r="P1380" s="30" t="str">
        <f ca="1">IFERROR(__xludf.DUMMYFUNCTION("""COMPUTED_VALUE"""),"IGUAZÚ")</f>
        <v>IGUAZÚ</v>
      </c>
      <c r="Q1380" s="30" t="str">
        <f ca="1">IFERROR(__xludf.DUMMYFUNCTION("""COMPUTED_VALUE"""),"-25.97493")</f>
        <v>-25.97493</v>
      </c>
      <c r="R1380" s="30" t="str">
        <f ca="1">IFERROR(__xludf.DUMMYFUNCTION("""COMPUTED_VALUE"""),"-54.562763")</f>
        <v>-54.562763</v>
      </c>
      <c r="S1380" s="30" t="str">
        <f ca="1">IFERROR(__xludf.DUMMYFUNCTION("""COMPUTED_VALUE"""),"Provincial")</f>
        <v>Provincial</v>
      </c>
      <c r="T1380" s="30" t="str">
        <f ca="1">IFERROR(__xludf.DUMMYFUNCTION("""COMPUTED_VALUE"""),"-")</f>
        <v>-</v>
      </c>
    </row>
    <row r="1381" spans="1:20" ht="15.75" customHeight="1" x14ac:dyDescent="0.25">
      <c r="A1381" s="30" t="str">
        <f ca="1">IFERROR(__xludf.DUMMYFUNCTION("""COMPUTED_VALUE"""),"53540422166008")</f>
        <v>53540422166008</v>
      </c>
      <c r="B1381" s="30" t="str">
        <f ca="1">IFERROR(__xludf.DUMMYFUNCTION("""COMPUTED_VALUE"""),"C.A.P.S. PERUTI")</f>
        <v>C.A.P.S. PERUTI</v>
      </c>
      <c r="C1381" s="30" t="str">
        <f ca="1">IFERROR(__xludf.DUMMYFUNCTION("""COMPUTED_VALUE"""),"Misiones")</f>
        <v>Misiones</v>
      </c>
      <c r="D1381" s="30" t="str">
        <f ca="1">IFERROR(__xludf.DUMMYFUNCTION("""COMPUTED_VALUE"""),"54")</f>
        <v>54</v>
      </c>
      <c r="E1381" s="30" t="str">
        <f ca="1">IFERROR(__xludf.DUMMYFUNCTION("""COMPUTED_VALUE"""),"si")</f>
        <v>si</v>
      </c>
      <c r="F1381" s="30" t="str">
        <f ca="1">IFERROR(__xludf.DUMMYFUNCTION("""COMPUTED_VALUE"""),"50540632164251")</f>
        <v>50540632164251</v>
      </c>
      <c r="G1381" s="29"/>
      <c r="H1381" s="30" t="str">
        <f ca="1">IFERROR(__xludf.DUMMYFUNCTION("""COMPUTED_VALUE"""),"activo")</f>
        <v>activo</v>
      </c>
      <c r="I1381" s="29"/>
      <c r="J1381" s="29"/>
      <c r="K1381" s="29"/>
      <c r="L1381" s="30" t="str">
        <f ca="1">IFERROR(__xludf.DUMMYFUNCTION("""COMPUTED_VALUE"""),"No")</f>
        <v>No</v>
      </c>
      <c r="M1381" s="30" t="str">
        <f ca="1">IFERROR(__xludf.DUMMYFUNCTION("""COMPUTED_VALUE"""),"54042020000")</f>
        <v>54042020000</v>
      </c>
      <c r="N1381" s="30" t="str">
        <f ca="1">IFERROR(__xludf.DUMMYFUNCTION("""COMPUTED_VALUE"""),"ELDORADO")</f>
        <v>ELDORADO</v>
      </c>
      <c r="O1381" s="30" t="str">
        <f ca="1">IFERROR(__xludf.DUMMYFUNCTION("""COMPUTED_VALUE"""),"5442")</f>
        <v>5442</v>
      </c>
      <c r="P1381" s="30" t="str">
        <f ca="1">IFERROR(__xludf.DUMMYFUNCTION("""COMPUTED_VALUE"""),"ELDORADO")</f>
        <v>ELDORADO</v>
      </c>
      <c r="Q1381" s="30" t="str">
        <f ca="1">IFERROR(__xludf.DUMMYFUNCTION("""COMPUTED_VALUE"""),"-26.436148")</f>
        <v>-26.436148</v>
      </c>
      <c r="R1381" s="30" t="str">
        <f ca="1">IFERROR(__xludf.DUMMYFUNCTION("""COMPUTED_VALUE"""),"-54.642769")</f>
        <v>-54.642769</v>
      </c>
      <c r="S1381" s="30" t="str">
        <f ca="1">IFERROR(__xludf.DUMMYFUNCTION("""COMPUTED_VALUE"""),"Provincial")</f>
        <v>Provincial</v>
      </c>
      <c r="T1381" s="30" t="str">
        <f ca="1">IFERROR(__xludf.DUMMYFUNCTION("""COMPUTED_VALUE"""),"-")</f>
        <v>-</v>
      </c>
    </row>
    <row r="1382" spans="1:20" ht="15.75" customHeight="1" x14ac:dyDescent="0.25">
      <c r="A1382" s="30" t="str">
        <f ca="1">IFERROR(__xludf.DUMMYFUNCTION("""COMPUTED_VALUE"""),"50540632164252")</f>
        <v>50540632164252</v>
      </c>
      <c r="B1382" s="30" t="str">
        <f ca="1">IFERROR(__xludf.DUMMYFUNCTION("""COMPUTED_VALUE"""),"C.A.P.S. PUERTO WANDA")</f>
        <v>C.A.P.S. PUERTO WANDA</v>
      </c>
      <c r="C1382" s="30" t="str">
        <f ca="1">IFERROR(__xludf.DUMMYFUNCTION("""COMPUTED_VALUE"""),"Misiones")</f>
        <v>Misiones</v>
      </c>
      <c r="D1382" s="30" t="str">
        <f ca="1">IFERROR(__xludf.DUMMYFUNCTION("""COMPUTED_VALUE"""),"54")</f>
        <v>54</v>
      </c>
      <c r="E1382" s="30" t="str">
        <f ca="1">IFERROR(__xludf.DUMMYFUNCTION("""COMPUTED_VALUE"""),"")</f>
        <v/>
      </c>
      <c r="F1382" s="29"/>
      <c r="G1382" s="29"/>
      <c r="H1382" s="30" t="str">
        <f ca="1">IFERROR(__xludf.DUMMYFUNCTION("""COMPUTED_VALUE"""),"activo")</f>
        <v>activo</v>
      </c>
      <c r="I1382" s="29"/>
      <c r="J1382" s="29"/>
      <c r="K1382" s="29"/>
      <c r="L1382" s="30" t="str">
        <f ca="1">IFERROR(__xludf.DUMMYFUNCTION("""COMPUTED_VALUE"""),"No")</f>
        <v>No</v>
      </c>
      <c r="M1382" s="30" t="str">
        <f ca="1">IFERROR(__xludf.DUMMYFUNCTION("""COMPUTED_VALUE"""),"54063040000")</f>
        <v>54063040000</v>
      </c>
      <c r="N1382" s="30" t="str">
        <f ca="1">IFERROR(__xludf.DUMMYFUNCTION("""COMPUTED_VALUE"""),"WANDA")</f>
        <v>WANDA</v>
      </c>
      <c r="O1382" s="30" t="str">
        <f ca="1">IFERROR(__xludf.DUMMYFUNCTION("""COMPUTED_VALUE"""),"5463")</f>
        <v>5463</v>
      </c>
      <c r="P1382" s="30" t="str">
        <f ca="1">IFERROR(__xludf.DUMMYFUNCTION("""COMPUTED_VALUE"""),"IGUAZÚ")</f>
        <v>IGUAZÚ</v>
      </c>
      <c r="Q1382" s="30" t="str">
        <f ca="1">IFERROR(__xludf.DUMMYFUNCTION("""COMPUTED_VALUE"""),"-25.9664814")</f>
        <v>-25.9664814</v>
      </c>
      <c r="R1382" s="30" t="str">
        <f ca="1">IFERROR(__xludf.DUMMYFUNCTION("""COMPUTED_VALUE"""),"-54.59251821")</f>
        <v>-54.59251821</v>
      </c>
      <c r="S1382" s="30" t="str">
        <f ca="1">IFERROR(__xludf.DUMMYFUNCTION("""COMPUTED_VALUE"""),"Provincial")</f>
        <v>Provincial</v>
      </c>
      <c r="T1382" s="30" t="str">
        <f ca="1">IFERROR(__xludf.DUMMYFUNCTION("""COMPUTED_VALUE"""),"-")</f>
        <v>-</v>
      </c>
    </row>
    <row r="1383" spans="1:20" ht="15.75" customHeight="1" x14ac:dyDescent="0.25">
      <c r="A1383" s="30" t="str">
        <f ca="1">IFERROR(__xludf.DUMMYFUNCTION("""COMPUTED_VALUE"""),"50540772164128")</f>
        <v>50540772164128</v>
      </c>
      <c r="B1383" s="30" t="str">
        <f ca="1">IFERROR(__xludf.DUMMYFUNCTION("""COMPUTED_VALUE"""),"C.A.P.S. GARUHAPE - JULIO CESAR DOY")</f>
        <v>C.A.P.S. GARUHAPE - JULIO CESAR DOY</v>
      </c>
      <c r="C1383" s="30" t="str">
        <f ca="1">IFERROR(__xludf.DUMMYFUNCTION("""COMPUTED_VALUE"""),"Misiones")</f>
        <v>Misiones</v>
      </c>
      <c r="D1383" s="30" t="str">
        <f ca="1">IFERROR(__xludf.DUMMYFUNCTION("""COMPUTED_VALUE"""),"54")</f>
        <v>54</v>
      </c>
      <c r="E1383" s="30" t="str">
        <f ca="1">IFERROR(__xludf.DUMMYFUNCTION("""COMPUTED_VALUE"""),"")</f>
        <v/>
      </c>
      <c r="F1383" s="29"/>
      <c r="G1383" s="29"/>
      <c r="H1383" s="30" t="str">
        <f ca="1">IFERROR(__xludf.DUMMYFUNCTION("""COMPUTED_VALUE"""),"activo")</f>
        <v>activo</v>
      </c>
      <c r="I1383" s="29"/>
      <c r="J1383" s="29"/>
      <c r="K1383" s="29"/>
      <c r="L1383" s="30" t="str">
        <f ca="1">IFERROR(__xludf.DUMMYFUNCTION("""COMPUTED_VALUE"""),"No")</f>
        <v>No</v>
      </c>
      <c r="M1383" s="30" t="str">
        <f ca="1">IFERROR(__xludf.DUMMYFUNCTION("""COMPUTED_VALUE"""),"54077030000")</f>
        <v>54077030000</v>
      </c>
      <c r="N1383" s="30" t="str">
        <f ca="1">IFERROR(__xludf.DUMMYFUNCTION("""COMPUTED_VALUE"""),"GARUHAPE")</f>
        <v>GARUHAPE</v>
      </c>
      <c r="O1383" s="30" t="str">
        <f ca="1">IFERROR(__xludf.DUMMYFUNCTION("""COMPUTED_VALUE"""),"5477")</f>
        <v>5477</v>
      </c>
      <c r="P1383" s="30" t="str">
        <f ca="1">IFERROR(__xludf.DUMMYFUNCTION("""COMPUTED_VALUE"""),"LIBERTADOR GRL. SAN MARTÍN")</f>
        <v>LIBERTADOR GRL. SAN MARTÍN</v>
      </c>
      <c r="Q1383" s="30" t="str">
        <f ca="1">IFERROR(__xludf.DUMMYFUNCTION("""COMPUTED_VALUE"""),"-26.81904")</f>
        <v>-26.81904</v>
      </c>
      <c r="R1383" s="30" t="str">
        <f ca="1">IFERROR(__xludf.DUMMYFUNCTION("""COMPUTED_VALUE"""),"-54.958773")</f>
        <v>-54.958773</v>
      </c>
      <c r="S1383" s="30" t="str">
        <f ca="1">IFERROR(__xludf.DUMMYFUNCTION("""COMPUTED_VALUE"""),"Provincial")</f>
        <v>Provincial</v>
      </c>
      <c r="T1383" s="30" t="str">
        <f ca="1">IFERROR(__xludf.DUMMYFUNCTION("""COMPUTED_VALUE"""),"-")</f>
        <v>-</v>
      </c>
    </row>
    <row r="1384" spans="1:20" ht="15.75" customHeight="1" x14ac:dyDescent="0.25">
      <c r="A1384" s="30" t="str">
        <f ca="1">IFERROR(__xludf.DUMMYFUNCTION("""COMPUTED_VALUE"""),"50540772164190")</f>
        <v>50540772164190</v>
      </c>
      <c r="B1384" s="30" t="str">
        <f ca="1">IFERROR(__xludf.DUMMYFUNCTION("""COMPUTED_VALUE"""),"C.A.P.S. EL ALCAZAR")</f>
        <v>C.A.P.S. EL ALCAZAR</v>
      </c>
      <c r="C1384" s="30" t="str">
        <f ca="1">IFERROR(__xludf.DUMMYFUNCTION("""COMPUTED_VALUE"""),"Misiones")</f>
        <v>Misiones</v>
      </c>
      <c r="D1384" s="30" t="str">
        <f ca="1">IFERROR(__xludf.DUMMYFUNCTION("""COMPUTED_VALUE"""),"54")</f>
        <v>54</v>
      </c>
      <c r="E1384" s="30" t="str">
        <f ca="1">IFERROR(__xludf.DUMMYFUNCTION("""COMPUTED_VALUE"""),"si")</f>
        <v>si</v>
      </c>
      <c r="F1384" s="29"/>
      <c r="G1384" s="29"/>
      <c r="H1384" s="30" t="str">
        <f ca="1">IFERROR(__xludf.DUMMYFUNCTION("""COMPUTED_VALUE"""),"activo")</f>
        <v>activo</v>
      </c>
      <c r="I1384" s="29"/>
      <c r="J1384" s="29"/>
      <c r="K1384" s="29"/>
      <c r="L1384" s="30" t="str">
        <f ca="1">IFERROR(__xludf.DUMMYFUNCTION("""COMPUTED_VALUE"""),"No")</f>
        <v>No</v>
      </c>
      <c r="M1384" s="30" t="str">
        <f ca="1">IFERROR(__xludf.DUMMYFUNCTION("""COMPUTED_VALUE"""),"54077020000")</f>
        <v>54077020000</v>
      </c>
      <c r="N1384" s="30" t="str">
        <f ca="1">IFERROR(__xludf.DUMMYFUNCTION("""COMPUTED_VALUE"""),"EL ALCAZAR")</f>
        <v>EL ALCAZAR</v>
      </c>
      <c r="O1384" s="30" t="str">
        <f ca="1">IFERROR(__xludf.DUMMYFUNCTION("""COMPUTED_VALUE"""),"5477")</f>
        <v>5477</v>
      </c>
      <c r="P1384" s="30" t="str">
        <f ca="1">IFERROR(__xludf.DUMMYFUNCTION("""COMPUTED_VALUE"""),"LIBERTADOR GRL. SAN MARTÍN")</f>
        <v>LIBERTADOR GRL. SAN MARTÍN</v>
      </c>
      <c r="Q1384" s="30" t="str">
        <f ca="1">IFERROR(__xludf.DUMMYFUNCTION("""COMPUTED_VALUE"""),"-26.71522259")</f>
        <v>-26.71522259</v>
      </c>
      <c r="R1384" s="30" t="str">
        <f ca="1">IFERROR(__xludf.DUMMYFUNCTION("""COMPUTED_VALUE"""),"-54.81391847")</f>
        <v>-54.81391847</v>
      </c>
      <c r="S1384" s="30" t="str">
        <f ca="1">IFERROR(__xludf.DUMMYFUNCTION("""COMPUTED_VALUE"""),"Provincial")</f>
        <v>Provincial</v>
      </c>
      <c r="T1384" s="30" t="str">
        <f ca="1">IFERROR(__xludf.DUMMYFUNCTION("""COMPUTED_VALUE"""),"-")</f>
        <v>-</v>
      </c>
    </row>
    <row r="1385" spans="1:20" ht="15.75" customHeight="1" x14ac:dyDescent="0.25">
      <c r="A1385" s="30" t="str">
        <f ca="1">IFERROR(__xludf.DUMMYFUNCTION("""COMPUTED_VALUE"""),"50540912164139")</f>
        <v>50540912164139</v>
      </c>
      <c r="B1385" s="30" t="str">
        <f ca="1">IFERROR(__xludf.DUMMYFUNCTION("""COMPUTED_VALUE"""),"C.A.P.S. GUARANI")</f>
        <v>C.A.P.S. GUARANI</v>
      </c>
      <c r="C1385" s="30" t="str">
        <f ca="1">IFERROR(__xludf.DUMMYFUNCTION("""COMPUTED_VALUE"""),"Misiones")</f>
        <v>Misiones</v>
      </c>
      <c r="D1385" s="30" t="str">
        <f ca="1">IFERROR(__xludf.DUMMYFUNCTION("""COMPUTED_VALUE"""),"54")</f>
        <v>54</v>
      </c>
      <c r="E1385" s="30" t="str">
        <f ca="1">IFERROR(__xludf.DUMMYFUNCTION("""COMPUTED_VALUE"""),"")</f>
        <v/>
      </c>
      <c r="F1385" s="29"/>
      <c r="G1385" s="29"/>
      <c r="H1385" s="30" t="str">
        <f ca="1">IFERROR(__xludf.DUMMYFUNCTION("""COMPUTED_VALUE"""),"inactivo")</f>
        <v>inactivo</v>
      </c>
      <c r="I1385" s="30" t="str">
        <f ca="1">IFERROR(__xludf.DUMMYFUNCTION("""COMPUTED_VALUE"""),"Este efector se dio de baja mediante nota de la provincia el 27-7-2022")</f>
        <v>Este efector se dio de baja mediante nota de la provincia el 27-7-2022</v>
      </c>
      <c r="J1385" s="29"/>
      <c r="K1385" s="29"/>
      <c r="L1385" s="30" t="str">
        <f ca="1">IFERROR(__xludf.DUMMYFUNCTION("""COMPUTED_VALUE"""),"No")</f>
        <v>No</v>
      </c>
      <c r="M1385" s="30" t="str">
        <f ca="1">IFERROR(__xludf.DUMMYFUNCTION("""COMPUTED_VALUE"""),"54091060000")</f>
        <v>54091060000</v>
      </c>
      <c r="N1385" s="30" t="str">
        <f ca="1">IFERROR(__xludf.DUMMYFUNCTION("""COMPUTED_VALUE"""),"GUARANI")</f>
        <v>GUARANI</v>
      </c>
      <c r="O1385" s="30" t="str">
        <f ca="1">IFERROR(__xludf.DUMMYFUNCTION("""COMPUTED_VALUE"""),"5491")</f>
        <v>5491</v>
      </c>
      <c r="P1385" s="30" t="str">
        <f ca="1">IFERROR(__xludf.DUMMYFUNCTION("""COMPUTED_VALUE"""),"OBERÁ")</f>
        <v>OBERÁ</v>
      </c>
      <c r="Q1385" s="30" t="str">
        <f ca="1">IFERROR(__xludf.DUMMYFUNCTION("""COMPUTED_VALUE"""),"-27.52526")</f>
        <v>-27.52526</v>
      </c>
      <c r="R1385" s="30" t="str">
        <f ca="1">IFERROR(__xludf.DUMMYFUNCTION("""COMPUTED_VALUE"""),"-55.16019")</f>
        <v>-55.16019</v>
      </c>
      <c r="S1385" s="30" t="str">
        <f ca="1">IFERROR(__xludf.DUMMYFUNCTION("""COMPUTED_VALUE"""),"Provincial")</f>
        <v>Provincial</v>
      </c>
      <c r="T1385" s="30" t="str">
        <f ca="1">IFERROR(__xludf.DUMMYFUNCTION("""COMPUTED_VALUE"""),"-")</f>
        <v>-</v>
      </c>
    </row>
    <row r="1386" spans="1:20" ht="15.75" customHeight="1" x14ac:dyDescent="0.25">
      <c r="A1386" s="30" t="str">
        <f ca="1">IFERROR(__xludf.DUMMYFUNCTION("""COMPUTED_VALUE"""),"50540912164143")</f>
        <v>50540912164143</v>
      </c>
      <c r="B1386" s="30" t="str">
        <f ca="1">IFERROR(__xludf.DUMMYFUNCTION("""COMPUTED_VALUE"""),"CAPS CAMPO RAMON")</f>
        <v>CAPS CAMPO RAMON</v>
      </c>
      <c r="C1386" s="30" t="str">
        <f ca="1">IFERROR(__xludf.DUMMYFUNCTION("""COMPUTED_VALUE"""),"Misiones")</f>
        <v>Misiones</v>
      </c>
      <c r="D1386" s="30" t="str">
        <f ca="1">IFERROR(__xludf.DUMMYFUNCTION("""COMPUTED_VALUE"""),"54")</f>
        <v>54</v>
      </c>
      <c r="E1386" s="30" t="str">
        <f ca="1">IFERROR(__xludf.DUMMYFUNCTION("""COMPUTED_VALUE"""),"")</f>
        <v/>
      </c>
      <c r="F1386" s="29"/>
      <c r="G1386" s="29"/>
      <c r="H1386" s="30" t="str">
        <f ca="1">IFERROR(__xludf.DUMMYFUNCTION("""COMPUTED_VALUE"""),"inactivo")</f>
        <v>inactivo</v>
      </c>
      <c r="I1386" s="30" t="str">
        <f ca="1">IFERROR(__xludf.DUMMYFUNCTION("""COMPUTED_VALUE"""),"no coincide nombre con sisa 51540912265206 (campo ramon)")</f>
        <v>no coincide nombre con sisa 51540912265206 (campo ramon)</v>
      </c>
      <c r="J1386" s="29"/>
      <c r="K1386" s="29"/>
      <c r="L1386" s="30" t="str">
        <f ca="1">IFERROR(__xludf.DUMMYFUNCTION("""COMPUTED_VALUE"""),"No")</f>
        <v>No</v>
      </c>
      <c r="M1386" s="30" t="str">
        <f ca="1">IFERROR(__xludf.DUMMYFUNCTION("""COMPUTED_VALUE"""),"#N/A")</f>
        <v>#N/A</v>
      </c>
      <c r="N1386" s="30" t="str">
        <f ca="1">IFERROR(__xludf.DUMMYFUNCTION("""COMPUTED_VALUE"""),"#N/A")</f>
        <v>#N/A</v>
      </c>
      <c r="O1386" s="30" t="str">
        <f ca="1">IFERROR(__xludf.DUMMYFUNCTION("""COMPUTED_VALUE"""),"#N/A")</f>
        <v>#N/A</v>
      </c>
      <c r="P1386" s="30" t="str">
        <f ca="1">IFERROR(__xludf.DUMMYFUNCTION("""COMPUTED_VALUE"""),"Oberá")</f>
        <v>Oberá</v>
      </c>
      <c r="Q1386" s="30" t="str">
        <f ca="1">IFERROR(__xludf.DUMMYFUNCTION("""COMPUTED_VALUE"""),"#N/A")</f>
        <v>#N/A</v>
      </c>
      <c r="R1386" s="30" t="str">
        <f ca="1">IFERROR(__xludf.DUMMYFUNCTION("""COMPUTED_VALUE"""),"#N/A")</f>
        <v>#N/A</v>
      </c>
      <c r="S1386" s="30" t="str">
        <f ca="1">IFERROR(__xludf.DUMMYFUNCTION("""COMPUTED_VALUE"""),"#N/A")</f>
        <v>#N/A</v>
      </c>
      <c r="T1386" s="29"/>
    </row>
    <row r="1387" spans="1:20" ht="15.75" customHeight="1" x14ac:dyDescent="0.25">
      <c r="A1387" s="30" t="str">
        <f ca="1">IFERROR(__xludf.DUMMYFUNCTION("""COMPUTED_VALUE"""),"50540912164149")</f>
        <v>50540912164149</v>
      </c>
      <c r="B1387" s="30" t="str">
        <f ca="1">IFERROR(__xludf.DUMMYFUNCTION("""COMPUTED_VALUE"""),"C.A.P.S. TRES ESQUINAS")</f>
        <v>C.A.P.S. TRES ESQUINAS</v>
      </c>
      <c r="C1387" s="30" t="str">
        <f ca="1">IFERROR(__xludf.DUMMYFUNCTION("""COMPUTED_VALUE"""),"Misiones")</f>
        <v>Misiones</v>
      </c>
      <c r="D1387" s="30" t="str">
        <f ca="1">IFERROR(__xludf.DUMMYFUNCTION("""COMPUTED_VALUE"""),"54")</f>
        <v>54</v>
      </c>
      <c r="E1387" s="30" t="str">
        <f ca="1">IFERROR(__xludf.DUMMYFUNCTION("""COMPUTED_VALUE"""),"si")</f>
        <v>si</v>
      </c>
      <c r="F1387" s="29"/>
      <c r="G1387" s="29"/>
      <c r="H1387" s="30" t="str">
        <f ca="1">IFERROR(__xludf.DUMMYFUNCTION("""COMPUTED_VALUE"""),"activo")</f>
        <v>activo</v>
      </c>
      <c r="I1387" s="29"/>
      <c r="J1387" s="29"/>
      <c r="K1387" s="29"/>
      <c r="L1387" s="30" t="str">
        <f ca="1">IFERROR(__xludf.DUMMYFUNCTION("""COMPUTED_VALUE"""),"No")</f>
        <v>No</v>
      </c>
      <c r="M1387" s="30" t="str">
        <f ca="1">IFERROR(__xludf.DUMMYFUNCTION("""COMPUTED_VALUE"""),"54091080000")</f>
        <v>54091080000</v>
      </c>
      <c r="N1387" s="30" t="str">
        <f ca="1">IFERROR(__xludf.DUMMYFUNCTION("""COMPUTED_VALUE"""),"OBERA")</f>
        <v>OBERA</v>
      </c>
      <c r="O1387" s="30" t="str">
        <f ca="1">IFERROR(__xludf.DUMMYFUNCTION("""COMPUTED_VALUE"""),"5491")</f>
        <v>5491</v>
      </c>
      <c r="P1387" s="30" t="str">
        <f ca="1">IFERROR(__xludf.DUMMYFUNCTION("""COMPUTED_VALUE"""),"OBERÁ")</f>
        <v>OBERÁ</v>
      </c>
      <c r="Q1387" s="30" t="str">
        <f ca="1">IFERROR(__xludf.DUMMYFUNCTION("""COMPUTED_VALUE"""),"-27.5038227")</f>
        <v>-27.5038227</v>
      </c>
      <c r="R1387" s="30" t="str">
        <f ca="1">IFERROR(__xludf.DUMMYFUNCTION("""COMPUTED_VALUE"""),"-55.1273718")</f>
        <v>-55.1273718</v>
      </c>
      <c r="S1387" s="30" t="str">
        <f ca="1">IFERROR(__xludf.DUMMYFUNCTION("""COMPUTED_VALUE"""),"Provincial")</f>
        <v>Provincial</v>
      </c>
      <c r="T1387" s="30" t="str">
        <f ca="1">IFERROR(__xludf.DUMMYFUNCTION("""COMPUTED_VALUE"""),"-")</f>
        <v>-</v>
      </c>
    </row>
    <row r="1388" spans="1:20" ht="15.75" customHeight="1" x14ac:dyDescent="0.25">
      <c r="A1388" s="30" t="str">
        <f ca="1">IFERROR(__xludf.DUMMYFUNCTION("""COMPUTED_VALUE"""),"50540912164151")</f>
        <v>50540912164151</v>
      </c>
      <c r="B1388" s="30" t="str">
        <f ca="1">IFERROR(__xludf.DUMMYFUNCTION("""COMPUTED_VALUE"""),"C.A.P.S. N° 6 YERBAL VIEJO (KM 8)")</f>
        <v>C.A.P.S. N° 6 YERBAL VIEJO (KM 8)</v>
      </c>
      <c r="C1388" s="30" t="str">
        <f ca="1">IFERROR(__xludf.DUMMYFUNCTION("""COMPUTED_VALUE"""),"Misiones")</f>
        <v>Misiones</v>
      </c>
      <c r="D1388" s="30" t="str">
        <f ca="1">IFERROR(__xludf.DUMMYFUNCTION("""COMPUTED_VALUE"""),"54")</f>
        <v>54</v>
      </c>
      <c r="E1388" s="30" t="str">
        <f ca="1">IFERROR(__xludf.DUMMYFUNCTION("""COMPUTED_VALUE"""),"")</f>
        <v/>
      </c>
      <c r="F1388" s="29"/>
      <c r="G1388" s="29"/>
      <c r="H1388" s="30" t="str">
        <f ca="1">IFERROR(__xludf.DUMMYFUNCTION("""COMPUTED_VALUE"""),"activo")</f>
        <v>activo</v>
      </c>
      <c r="I1388" s="29"/>
      <c r="J1388" s="29"/>
      <c r="K1388" s="29"/>
      <c r="L1388" s="30" t="str">
        <f ca="1">IFERROR(__xludf.DUMMYFUNCTION("""COMPUTED_VALUE"""),"No")</f>
        <v>No</v>
      </c>
      <c r="M1388" s="30" t="str">
        <f ca="1">IFERROR(__xludf.DUMMYFUNCTION("""COMPUTED_VALUE"""),"54091080000")</f>
        <v>54091080000</v>
      </c>
      <c r="N1388" s="30" t="str">
        <f ca="1">IFERROR(__xludf.DUMMYFUNCTION("""COMPUTED_VALUE"""),"OBERA")</f>
        <v>OBERA</v>
      </c>
      <c r="O1388" s="30" t="str">
        <f ca="1">IFERROR(__xludf.DUMMYFUNCTION("""COMPUTED_VALUE"""),"5491")</f>
        <v>5491</v>
      </c>
      <c r="P1388" s="30" t="str">
        <f ca="1">IFERROR(__xludf.DUMMYFUNCTION("""COMPUTED_VALUE"""),"OBERÁ")</f>
        <v>OBERÁ</v>
      </c>
      <c r="Q1388" s="30" t="str">
        <f ca="1">IFERROR(__xludf.DUMMYFUNCTION("""COMPUTED_VALUE"""),"-27.48835")</f>
        <v>-27.48835</v>
      </c>
      <c r="R1388" s="30" t="str">
        <f ca="1">IFERROR(__xludf.DUMMYFUNCTION("""COMPUTED_VALUE"""),"-55.10111")</f>
        <v>-55.10111</v>
      </c>
      <c r="S1388" s="30" t="str">
        <f ca="1">IFERROR(__xludf.DUMMYFUNCTION("""COMPUTED_VALUE"""),"Provincial")</f>
        <v>Provincial</v>
      </c>
      <c r="T1388" s="30" t="str">
        <f ca="1">IFERROR(__xludf.DUMMYFUNCTION("""COMPUTED_VALUE"""),"-")</f>
        <v>-</v>
      </c>
    </row>
    <row r="1389" spans="1:20" ht="15.75" customHeight="1" x14ac:dyDescent="0.25">
      <c r="A1389" s="30" t="str">
        <f ca="1">IFERROR(__xludf.DUMMYFUNCTION("""COMPUTED_VALUE"""),"50540912164152")</f>
        <v>50540912164152</v>
      </c>
      <c r="B1389" s="30" t="str">
        <f ca="1">IFERROR(__xludf.DUMMYFUNCTION("""COMPUTED_VALUE"""),"C.A.P.S. N° 11 - SAN MIGUEL")</f>
        <v>C.A.P.S. N° 11 - SAN MIGUEL</v>
      </c>
      <c r="C1389" s="30" t="str">
        <f ca="1">IFERROR(__xludf.DUMMYFUNCTION("""COMPUTED_VALUE"""),"Misiones")</f>
        <v>Misiones</v>
      </c>
      <c r="D1389" s="30" t="str">
        <f ca="1">IFERROR(__xludf.DUMMYFUNCTION("""COMPUTED_VALUE"""),"54")</f>
        <v>54</v>
      </c>
      <c r="E1389" s="30" t="str">
        <f ca="1">IFERROR(__xludf.DUMMYFUNCTION("""COMPUTED_VALUE"""),"")</f>
        <v/>
      </c>
      <c r="F1389" s="29"/>
      <c r="G1389" s="29"/>
      <c r="H1389" s="30" t="str">
        <f ca="1">IFERROR(__xludf.DUMMYFUNCTION("""COMPUTED_VALUE"""),"activo")</f>
        <v>activo</v>
      </c>
      <c r="I1389" s="29"/>
      <c r="J1389" s="29"/>
      <c r="K1389" s="29"/>
      <c r="L1389" s="30" t="str">
        <f ca="1">IFERROR(__xludf.DUMMYFUNCTION("""COMPUTED_VALUE"""),"No")</f>
        <v>No</v>
      </c>
      <c r="M1389" s="30" t="str">
        <f ca="1">IFERROR(__xludf.DUMMYFUNCTION("""COMPUTED_VALUE"""),"54091080000")</f>
        <v>54091080000</v>
      </c>
      <c r="N1389" s="30" t="str">
        <f ca="1">IFERROR(__xludf.DUMMYFUNCTION("""COMPUTED_VALUE"""),"OBERA")</f>
        <v>OBERA</v>
      </c>
      <c r="O1389" s="30" t="str">
        <f ca="1">IFERROR(__xludf.DUMMYFUNCTION("""COMPUTED_VALUE"""),"5491")</f>
        <v>5491</v>
      </c>
      <c r="P1389" s="30" t="str">
        <f ca="1">IFERROR(__xludf.DUMMYFUNCTION("""COMPUTED_VALUE"""),"OBERÁ")</f>
        <v>OBERÁ</v>
      </c>
      <c r="Q1389" s="30" t="str">
        <f ca="1">IFERROR(__xludf.DUMMYFUNCTION("""COMPUTED_VALUE"""),"-27.45873")</f>
        <v>-27.45873</v>
      </c>
      <c r="R1389" s="30" t="str">
        <f ca="1">IFERROR(__xludf.DUMMYFUNCTION("""COMPUTED_VALUE"""),"-55.11755")</f>
        <v>-55.11755</v>
      </c>
      <c r="S1389" s="30" t="str">
        <f ca="1">IFERROR(__xludf.DUMMYFUNCTION("""COMPUTED_VALUE"""),"Provincial")</f>
        <v>Provincial</v>
      </c>
      <c r="T1389" s="30" t="str">
        <f ca="1">IFERROR(__xludf.DUMMYFUNCTION("""COMPUTED_VALUE"""),"-")</f>
        <v>-</v>
      </c>
    </row>
    <row r="1390" spans="1:20" ht="15.75" customHeight="1" x14ac:dyDescent="0.25">
      <c r="A1390" s="30" t="str">
        <f ca="1">IFERROR(__xludf.DUMMYFUNCTION("""COMPUTED_VALUE"""),"50540912164153")</f>
        <v>50540912164153</v>
      </c>
      <c r="B1390" s="30" t="str">
        <f ca="1">IFERROR(__xludf.DUMMYFUNCTION("""COMPUTED_VALUE"""),"C.A.P.S. N° 4 - 100 HECTAREAS")</f>
        <v>C.A.P.S. N° 4 - 100 HECTAREAS</v>
      </c>
      <c r="C1390" s="30" t="str">
        <f ca="1">IFERROR(__xludf.DUMMYFUNCTION("""COMPUTED_VALUE"""),"Misiones")</f>
        <v>Misiones</v>
      </c>
      <c r="D1390" s="30" t="str">
        <f ca="1">IFERROR(__xludf.DUMMYFUNCTION("""COMPUTED_VALUE"""),"54")</f>
        <v>54</v>
      </c>
      <c r="E1390" s="30" t="str">
        <f ca="1">IFERROR(__xludf.DUMMYFUNCTION("""COMPUTED_VALUE"""),"")</f>
        <v/>
      </c>
      <c r="F1390" s="29"/>
      <c r="G1390" s="29"/>
      <c r="H1390" s="30" t="str">
        <f ca="1">IFERROR(__xludf.DUMMYFUNCTION("""COMPUTED_VALUE"""),"activo")</f>
        <v>activo</v>
      </c>
      <c r="I1390" s="29"/>
      <c r="J1390" s="29"/>
      <c r="K1390" s="29"/>
      <c r="L1390" s="30" t="str">
        <f ca="1">IFERROR(__xludf.DUMMYFUNCTION("""COMPUTED_VALUE"""),"No")</f>
        <v>No</v>
      </c>
      <c r="M1390" s="30" t="str">
        <f ca="1">IFERROR(__xludf.DUMMYFUNCTION("""COMPUTED_VALUE"""),"54091080000")</f>
        <v>54091080000</v>
      </c>
      <c r="N1390" s="30" t="str">
        <f ca="1">IFERROR(__xludf.DUMMYFUNCTION("""COMPUTED_VALUE"""),"OBERA")</f>
        <v>OBERA</v>
      </c>
      <c r="O1390" s="30" t="str">
        <f ca="1">IFERROR(__xludf.DUMMYFUNCTION("""COMPUTED_VALUE"""),"5491")</f>
        <v>5491</v>
      </c>
      <c r="P1390" s="30" t="str">
        <f ca="1">IFERROR(__xludf.DUMMYFUNCTION("""COMPUTED_VALUE"""),"OBERÁ")</f>
        <v>OBERÁ</v>
      </c>
      <c r="Q1390" s="30" t="str">
        <f ca="1">IFERROR(__xludf.DUMMYFUNCTION("""COMPUTED_VALUE"""),"-27.46385")</f>
        <v>-27.46385</v>
      </c>
      <c r="R1390" s="30" t="str">
        <f ca="1">IFERROR(__xludf.DUMMYFUNCTION("""COMPUTED_VALUE"""),"-55.12579")</f>
        <v>-55.12579</v>
      </c>
      <c r="S1390" s="30" t="str">
        <f ca="1">IFERROR(__xludf.DUMMYFUNCTION("""COMPUTED_VALUE"""),"Provincial")</f>
        <v>Provincial</v>
      </c>
      <c r="T1390" s="30" t="str">
        <f ca="1">IFERROR(__xludf.DUMMYFUNCTION("""COMPUTED_VALUE"""),"-")</f>
        <v>-</v>
      </c>
    </row>
    <row r="1391" spans="1:20" ht="15.75" customHeight="1" x14ac:dyDescent="0.25">
      <c r="A1391" s="30" t="str">
        <f ca="1">IFERROR(__xludf.DUMMYFUNCTION("""COMPUTED_VALUE"""),"50540632164233")</f>
        <v>50540632164233</v>
      </c>
      <c r="B1391" s="30" t="str">
        <f ca="1">IFERROR(__xludf.DUMMYFUNCTION("""COMPUTED_VALUE"""),"C.A.P.S. BARRIO 300 VIVIENDAS IPRODHA")</f>
        <v>C.A.P.S. BARRIO 300 VIVIENDAS IPRODHA</v>
      </c>
      <c r="C1391" s="30" t="str">
        <f ca="1">IFERROR(__xludf.DUMMYFUNCTION("""COMPUTED_VALUE"""),"Misiones")</f>
        <v>Misiones</v>
      </c>
      <c r="D1391" s="30" t="str">
        <f ca="1">IFERROR(__xludf.DUMMYFUNCTION("""COMPUTED_VALUE"""),"54")</f>
        <v>54</v>
      </c>
      <c r="E1391" s="30" t="str">
        <f ca="1">IFERROR(__xludf.DUMMYFUNCTION("""COMPUTED_VALUE"""),"si")</f>
        <v>si</v>
      </c>
      <c r="F1391" s="29"/>
      <c r="G1391" s="29"/>
      <c r="H1391" s="30" t="str">
        <f ca="1">IFERROR(__xludf.DUMMYFUNCTION("""COMPUTED_VALUE"""),"inactivo")</f>
        <v>inactivo</v>
      </c>
      <c r="I1391" s="30" t="str">
        <f ca="1">IFERROR(__xludf.DUMMYFUNCTION("""COMPUTED_VALUE"""),"Este efector se dio de baja mediante nota de la provincia el 27-7-2022")</f>
        <v>Este efector se dio de baja mediante nota de la provincia el 27-7-2022</v>
      </c>
      <c r="J1391" s="29"/>
      <c r="K1391" s="29"/>
      <c r="L1391" s="30" t="str">
        <f ca="1">IFERROR(__xludf.DUMMYFUNCTION("""COMPUTED_VALUE"""),"No")</f>
        <v>No</v>
      </c>
      <c r="M1391" s="30" t="str">
        <f ca="1">IFERROR(__xludf.DUMMYFUNCTION("""COMPUTED_VALUE"""),"54063030000")</f>
        <v>54063030000</v>
      </c>
      <c r="N1391" s="30" t="str">
        <f ca="1">IFERROR(__xludf.DUMMYFUNCTION("""COMPUTED_VALUE"""),"PUERTO IGUAZU")</f>
        <v>PUERTO IGUAZU</v>
      </c>
      <c r="O1391" s="30" t="str">
        <f ca="1">IFERROR(__xludf.DUMMYFUNCTION("""COMPUTED_VALUE"""),"5463")</f>
        <v>5463</v>
      </c>
      <c r="P1391" s="30" t="str">
        <f ca="1">IFERROR(__xludf.DUMMYFUNCTION("""COMPUTED_VALUE"""),"IGUAZÚ")</f>
        <v>IGUAZÚ</v>
      </c>
      <c r="Q1391" s="30" t="str">
        <f ca="1">IFERROR(__xludf.DUMMYFUNCTION("""COMPUTED_VALUE"""),"-25.612848")</f>
        <v>-25.612848</v>
      </c>
      <c r="R1391" s="30" t="str">
        <f ca="1">IFERROR(__xludf.DUMMYFUNCTION("""COMPUTED_VALUE"""),"-54.566787")</f>
        <v>-54.566787</v>
      </c>
      <c r="S1391" s="30" t="str">
        <f ca="1">IFERROR(__xludf.DUMMYFUNCTION("""COMPUTED_VALUE"""),"Provincial")</f>
        <v>Provincial</v>
      </c>
      <c r="T1391" s="30" t="str">
        <f ca="1">IFERROR(__xludf.DUMMYFUNCTION("""COMPUTED_VALUE"""),"-")</f>
        <v>-</v>
      </c>
    </row>
    <row r="1392" spans="1:20" ht="15.75" customHeight="1" x14ac:dyDescent="0.25">
      <c r="A1392" s="30" t="str">
        <f ca="1">IFERROR(__xludf.DUMMYFUNCTION("""COMPUTED_VALUE"""),"50540982265204")</f>
        <v>50540982265204</v>
      </c>
      <c r="B1392" s="30" t="str">
        <f ca="1">IFERROR(__xludf.DUMMYFUNCTION("""COMPUTED_VALUE"""),"C.I.C. SANTO PIPO")</f>
        <v>C.I.C. SANTO PIPO</v>
      </c>
      <c r="C1392" s="30" t="str">
        <f ca="1">IFERROR(__xludf.DUMMYFUNCTION("""COMPUTED_VALUE"""),"Misiones")</f>
        <v>Misiones</v>
      </c>
      <c r="D1392" s="30" t="str">
        <f ca="1">IFERROR(__xludf.DUMMYFUNCTION("""COMPUTED_VALUE"""),"54")</f>
        <v>54</v>
      </c>
      <c r="E1392" s="30" t="str">
        <f ca="1">IFERROR(__xludf.DUMMYFUNCTION("""COMPUTED_VALUE"""),"")</f>
        <v/>
      </c>
      <c r="F1392" s="29"/>
      <c r="G1392" s="29"/>
      <c r="H1392" s="30" t="str">
        <f ca="1">IFERROR(__xludf.DUMMYFUNCTION("""COMPUTED_VALUE"""),"activo")</f>
        <v>activo</v>
      </c>
      <c r="I1392" s="29"/>
      <c r="J1392" s="29"/>
      <c r="K1392" s="29"/>
      <c r="L1392" s="30" t="str">
        <f ca="1">IFERROR(__xludf.DUMMYFUNCTION("""COMPUTED_VALUE"""),"No")</f>
        <v>No</v>
      </c>
      <c r="M1392" s="30" t="str">
        <f ca="1">IFERROR(__xludf.DUMMYFUNCTION("""COMPUTED_VALUE"""),"54098120000")</f>
        <v>54098120000</v>
      </c>
      <c r="N1392" s="30" t="str">
        <f ca="1">IFERROR(__xludf.DUMMYFUNCTION("""COMPUTED_VALUE"""),"SANTO PIPO")</f>
        <v>SANTO PIPO</v>
      </c>
      <c r="O1392" s="30" t="str">
        <f ca="1">IFERROR(__xludf.DUMMYFUNCTION("""COMPUTED_VALUE"""),"5498")</f>
        <v>5498</v>
      </c>
      <c r="P1392" s="30" t="str">
        <f ca="1">IFERROR(__xludf.DUMMYFUNCTION("""COMPUTED_VALUE"""),"SAN IGNACIO")</f>
        <v>SAN IGNACIO</v>
      </c>
      <c r="Q1392" s="30" t="str">
        <f ca="1">IFERROR(__xludf.DUMMYFUNCTION("""COMPUTED_VALUE"""),"-27.13578103")</f>
        <v>-27.13578103</v>
      </c>
      <c r="R1392" s="30" t="str">
        <f ca="1">IFERROR(__xludf.DUMMYFUNCTION("""COMPUTED_VALUE"""),"-55.4118526")</f>
        <v>-55.4118526</v>
      </c>
      <c r="S1392" s="30" t="str">
        <f ca="1">IFERROR(__xludf.DUMMYFUNCTION("""COMPUTED_VALUE"""),"Municipal")</f>
        <v>Municipal</v>
      </c>
      <c r="T1392" s="29"/>
    </row>
    <row r="1393" spans="1:20" ht="15.75" customHeight="1" x14ac:dyDescent="0.25">
      <c r="A1393" s="30" t="str">
        <f ca="1">IFERROR(__xludf.DUMMYFUNCTION("""COMPUTED_VALUE"""),"50540282265176")</f>
        <v>50540282265176</v>
      </c>
      <c r="B1393" s="30" t="str">
        <f ca="1">IFERROR(__xludf.DUMMYFUNCTION("""COMPUTED_VALUE"""),"C.A.P.S. - BARRIO LAS ROSAS (MUNICIPAL)")</f>
        <v>C.A.P.S. - BARRIO LAS ROSAS (MUNICIPAL)</v>
      </c>
      <c r="C1393" s="30" t="str">
        <f ca="1">IFERROR(__xludf.DUMMYFUNCTION("""COMPUTED_VALUE"""),"Misiones")</f>
        <v>Misiones</v>
      </c>
      <c r="D1393" s="30" t="str">
        <f ca="1">IFERROR(__xludf.DUMMYFUNCTION("""COMPUTED_VALUE"""),"54")</f>
        <v>54</v>
      </c>
      <c r="E1393" s="30" t="str">
        <f ca="1">IFERROR(__xludf.DUMMYFUNCTION("""COMPUTED_VALUE"""),"")</f>
        <v/>
      </c>
      <c r="F1393" s="29"/>
      <c r="G1393" s="29"/>
      <c r="H1393" s="30" t="str">
        <f ca="1">IFERROR(__xludf.DUMMYFUNCTION("""COMPUTED_VALUE"""),"activo")</f>
        <v>activo</v>
      </c>
      <c r="I1393" s="29"/>
      <c r="J1393" s="29"/>
      <c r="K1393" s="29"/>
      <c r="L1393" s="30" t="str">
        <f ca="1">IFERROR(__xludf.DUMMYFUNCTION("""COMPUTED_VALUE"""),"No")</f>
        <v>No</v>
      </c>
      <c r="M1393" s="30" t="str">
        <f ca="1">IFERROR(__xludf.DUMMYFUNCTION("""COMPUTED_VALUE"""),"54028030")</f>
        <v>54028030</v>
      </c>
      <c r="N1393" s="30" t="str">
        <f ca="1">IFERROR(__xludf.DUMMYFUNCTION("""COMPUTED_VALUE"""),"POSADAS (MUNICIPIO DE POSADAS)")</f>
        <v>POSADAS (MUNICIPIO DE POSADAS)</v>
      </c>
      <c r="O1393" s="30" t="str">
        <f ca="1">IFERROR(__xludf.DUMMYFUNCTION("""COMPUTED_VALUE"""),"5428")</f>
        <v>5428</v>
      </c>
      <c r="P1393" s="30" t="str">
        <f ca="1">IFERROR(__xludf.DUMMYFUNCTION("""COMPUTED_VALUE"""),"CAPITAL")</f>
        <v>CAPITAL</v>
      </c>
      <c r="Q1393" s="30" t="str">
        <f ca="1">IFERROR(__xludf.DUMMYFUNCTION("""COMPUTED_VALUE"""),"-27.39766337")</f>
        <v>-27.39766337</v>
      </c>
      <c r="R1393" s="30" t="str">
        <f ca="1">IFERROR(__xludf.DUMMYFUNCTION("""COMPUTED_VALUE"""),"-55.9236444")</f>
        <v>-55.9236444</v>
      </c>
      <c r="S1393" s="30" t="str">
        <f ca="1">IFERROR(__xludf.DUMMYFUNCTION("""COMPUTED_VALUE"""),"Municipal")</f>
        <v>Municipal</v>
      </c>
      <c r="T1393" s="29"/>
    </row>
    <row r="1394" spans="1:20" ht="15.75" customHeight="1" x14ac:dyDescent="0.25">
      <c r="A1394" s="30" t="str">
        <f ca="1">IFERROR(__xludf.DUMMYFUNCTION("""COMPUTED_VALUE"""),"50540282164016")</f>
        <v>50540282164016</v>
      </c>
      <c r="B1394" s="30" t="str">
        <f ca="1">IFERROR(__xludf.DUMMYFUNCTION("""COMPUTED_VALUE"""),"C.A.P.S. Nº 16 SANTA RITA")</f>
        <v>C.A.P.S. Nº 16 SANTA RITA</v>
      </c>
      <c r="C1394" s="30" t="str">
        <f ca="1">IFERROR(__xludf.DUMMYFUNCTION("""COMPUTED_VALUE"""),"Misiones")</f>
        <v>Misiones</v>
      </c>
      <c r="D1394" s="30" t="str">
        <f ca="1">IFERROR(__xludf.DUMMYFUNCTION("""COMPUTED_VALUE"""),"54")</f>
        <v>54</v>
      </c>
      <c r="E1394" s="30" t="str">
        <f ca="1">IFERROR(__xludf.DUMMYFUNCTION("""COMPUTED_VALUE"""),"")</f>
        <v/>
      </c>
      <c r="F1394" s="29"/>
      <c r="G1394" s="29"/>
      <c r="H1394" s="30" t="str">
        <f ca="1">IFERROR(__xludf.DUMMYFUNCTION("""COMPUTED_VALUE"""),"activo")</f>
        <v>activo</v>
      </c>
      <c r="I1394" s="29"/>
      <c r="J1394" s="29"/>
      <c r="K1394" s="29"/>
      <c r="L1394" s="30" t="str">
        <f ca="1">IFERROR(__xludf.DUMMYFUNCTION("""COMPUTED_VALUE"""),"No")</f>
        <v>No</v>
      </c>
      <c r="M1394" s="30" t="str">
        <f ca="1">IFERROR(__xludf.DUMMYFUNCTION("""COMPUTED_VALUE"""),"54028030")</f>
        <v>54028030</v>
      </c>
      <c r="N1394" s="30" t="str">
        <f ca="1">IFERROR(__xludf.DUMMYFUNCTION("""COMPUTED_VALUE"""),"POSADAS (MUNICIPIO DE POSADAS)")</f>
        <v>POSADAS (MUNICIPIO DE POSADAS)</v>
      </c>
      <c r="O1394" s="30" t="str">
        <f ca="1">IFERROR(__xludf.DUMMYFUNCTION("""COMPUTED_VALUE"""),"5428")</f>
        <v>5428</v>
      </c>
      <c r="P1394" s="30" t="str">
        <f ca="1">IFERROR(__xludf.DUMMYFUNCTION("""COMPUTED_VALUE"""),"CAPITAL")</f>
        <v>CAPITAL</v>
      </c>
      <c r="Q1394" s="30" t="str">
        <f ca="1">IFERROR(__xludf.DUMMYFUNCTION("""COMPUTED_VALUE"""),"-27.38458")</f>
        <v>-27.38458</v>
      </c>
      <c r="R1394" s="30" t="str">
        <f ca="1">IFERROR(__xludf.DUMMYFUNCTION("""COMPUTED_VALUE"""),"-55.93812")</f>
        <v>-55.93812</v>
      </c>
      <c r="S1394" s="30" t="str">
        <f ca="1">IFERROR(__xludf.DUMMYFUNCTION("""COMPUTED_VALUE"""),"Provincial")</f>
        <v>Provincial</v>
      </c>
      <c r="T1394" s="30" t="str">
        <f ca="1">IFERROR(__xludf.DUMMYFUNCTION("""COMPUTED_VALUE"""),"-")</f>
        <v>-</v>
      </c>
    </row>
    <row r="1395" spans="1:20" ht="15.75" customHeight="1" x14ac:dyDescent="0.25">
      <c r="A1395" s="30" t="str">
        <f ca="1">IFERROR(__xludf.DUMMYFUNCTION("""COMPUTED_VALUE"""),"10540912164469")</f>
        <v>10540912164469</v>
      </c>
      <c r="B1395" s="30" t="str">
        <f ca="1">IFERROR(__xludf.DUMMYFUNCTION("""COMPUTED_VALUE"""),"HOSPITAL DE CAMPO VIERA - NIVEL I")</f>
        <v>HOSPITAL DE CAMPO VIERA - NIVEL I</v>
      </c>
      <c r="C1395" s="30" t="str">
        <f ca="1">IFERROR(__xludf.DUMMYFUNCTION("""COMPUTED_VALUE"""),"Misiones")</f>
        <v>Misiones</v>
      </c>
      <c r="D1395" s="30" t="str">
        <f ca="1">IFERROR(__xludf.DUMMYFUNCTION("""COMPUTED_VALUE"""),"54")</f>
        <v>54</v>
      </c>
      <c r="E1395" s="30" t="str">
        <f ca="1">IFERROR(__xludf.DUMMYFUNCTION("""COMPUTED_VALUE"""),"")</f>
        <v/>
      </c>
      <c r="F1395" s="29"/>
      <c r="G1395" s="29"/>
      <c r="H1395" s="30" t="str">
        <f ca="1">IFERROR(__xludf.DUMMYFUNCTION("""COMPUTED_VALUE"""),"activo")</f>
        <v>activo</v>
      </c>
      <c r="I1395" s="29"/>
      <c r="J1395" s="29"/>
      <c r="K1395" s="29"/>
      <c r="L1395" s="30" t="str">
        <f ca="1">IFERROR(__xludf.DUMMYFUNCTION("""COMPUTED_VALUE"""),"No")</f>
        <v>No</v>
      </c>
      <c r="M1395" s="30" t="str">
        <f ca="1">IFERROR(__xludf.DUMMYFUNCTION("""COMPUTED_VALUE"""),"54091030000")</f>
        <v>54091030000</v>
      </c>
      <c r="N1395" s="30" t="str">
        <f ca="1">IFERROR(__xludf.DUMMYFUNCTION("""COMPUTED_VALUE"""),"CAMPO VIERA")</f>
        <v>CAMPO VIERA</v>
      </c>
      <c r="O1395" s="30" t="str">
        <f ca="1">IFERROR(__xludf.DUMMYFUNCTION("""COMPUTED_VALUE"""),"5491")</f>
        <v>5491</v>
      </c>
      <c r="P1395" s="30" t="str">
        <f ca="1">IFERROR(__xludf.DUMMYFUNCTION("""COMPUTED_VALUE"""),"OBERÁ")</f>
        <v>OBERÁ</v>
      </c>
      <c r="Q1395" s="30" t="str">
        <f ca="1">IFERROR(__xludf.DUMMYFUNCTION("""COMPUTED_VALUE"""),"-27.3327")</f>
        <v>-27.3327</v>
      </c>
      <c r="R1395" s="30" t="str">
        <f ca="1">IFERROR(__xludf.DUMMYFUNCTION("""COMPUTED_VALUE"""),"-55.0516")</f>
        <v>-55.0516</v>
      </c>
      <c r="S1395" s="30" t="str">
        <f ca="1">IFERROR(__xludf.DUMMYFUNCTION("""COMPUTED_VALUE"""),"Provincial")</f>
        <v>Provincial</v>
      </c>
      <c r="T1395" s="30" t="str">
        <f ca="1">IFERROR(__xludf.DUMMYFUNCTION("""COMPUTED_VALUE"""),"-")</f>
        <v>-</v>
      </c>
    </row>
    <row r="1396" spans="1:20" ht="15.75" customHeight="1" x14ac:dyDescent="0.25">
      <c r="A1396" s="30" t="str">
        <f ca="1">IFERROR(__xludf.DUMMYFUNCTION("""COMPUTED_VALUE"""),"14540282164524")</f>
        <v>14540282164524</v>
      </c>
      <c r="B1396" s="30" t="str">
        <f ca="1">IFERROR(__xludf.DUMMYFUNCTION("""COMPUTED_VALUE"""),"HOSPITAL DE ENFERMEDADES TRANSMISIBLES - DR. PEDRO BALIÑA")</f>
        <v>HOSPITAL DE ENFERMEDADES TRANSMISIBLES - DR. PEDRO BALIÑA</v>
      </c>
      <c r="C1396" s="30" t="str">
        <f ca="1">IFERROR(__xludf.DUMMYFUNCTION("""COMPUTED_VALUE"""),"Misiones")</f>
        <v>Misiones</v>
      </c>
      <c r="D1396" s="30" t="str">
        <f ca="1">IFERROR(__xludf.DUMMYFUNCTION("""COMPUTED_VALUE"""),"54")</f>
        <v>54</v>
      </c>
      <c r="E1396" s="30" t="str">
        <f ca="1">IFERROR(__xludf.DUMMYFUNCTION("""COMPUTED_VALUE"""),"si")</f>
        <v>si</v>
      </c>
      <c r="F1396" s="29"/>
      <c r="G1396" s="29"/>
      <c r="H1396" s="30" t="str">
        <f ca="1">IFERROR(__xludf.DUMMYFUNCTION("""COMPUTED_VALUE"""),"activo")</f>
        <v>activo</v>
      </c>
      <c r="I1396" s="29"/>
      <c r="J1396" s="29"/>
      <c r="K1396" s="29"/>
      <c r="L1396" s="30" t="str">
        <f ca="1">IFERROR(__xludf.DUMMYFUNCTION("""COMPUTED_VALUE"""),"No")</f>
        <v>No</v>
      </c>
      <c r="M1396" s="30" t="str">
        <f ca="1">IFERROR(__xludf.DUMMYFUNCTION("""COMPUTED_VALUE"""),"54028030")</f>
        <v>54028030</v>
      </c>
      <c r="N1396" s="30" t="str">
        <f ca="1">IFERROR(__xludf.DUMMYFUNCTION("""COMPUTED_VALUE"""),"POSADAS (MUNICIPIO DE POSADAS)")</f>
        <v>POSADAS (MUNICIPIO DE POSADAS)</v>
      </c>
      <c r="O1396" s="30" t="str">
        <f ca="1">IFERROR(__xludf.DUMMYFUNCTION("""COMPUTED_VALUE"""),"5428")</f>
        <v>5428</v>
      </c>
      <c r="P1396" s="30" t="str">
        <f ca="1">IFERROR(__xludf.DUMMYFUNCTION("""COMPUTED_VALUE"""),"CAPITAL")</f>
        <v>CAPITAL</v>
      </c>
      <c r="Q1396" s="30" t="str">
        <f ca="1">IFERROR(__xludf.DUMMYFUNCTION("""COMPUTED_VALUE"""),"-27.39865")</f>
        <v>-27.39865</v>
      </c>
      <c r="R1396" s="30" t="str">
        <f ca="1">IFERROR(__xludf.DUMMYFUNCTION("""COMPUTED_VALUE"""),"-55.951813")</f>
        <v>-55.951813</v>
      </c>
      <c r="S1396" s="30" t="str">
        <f ca="1">IFERROR(__xludf.DUMMYFUNCTION("""COMPUTED_VALUE"""),"Provincial")</f>
        <v>Provincial</v>
      </c>
      <c r="T1396" s="30" t="str">
        <f ca="1">IFERROR(__xludf.DUMMYFUNCTION("""COMPUTED_VALUE"""),"-")</f>
        <v>-</v>
      </c>
    </row>
    <row r="1397" spans="1:20" ht="15.75" customHeight="1" x14ac:dyDescent="0.25">
      <c r="A1397" s="30" t="str">
        <f ca="1">IFERROR(__xludf.DUMMYFUNCTION("""COMPUTED_VALUE"""),"50541122164276")</f>
        <v>50541122164276</v>
      </c>
      <c r="B1397" s="30" t="str">
        <f ca="1">IFERROR(__xludf.DUMMYFUNCTION("""COMPUTED_VALUE"""),"C.A.P.S. COLONIA  PARAISO")</f>
        <v>C.A.P.S. COLONIA  PARAISO</v>
      </c>
      <c r="C1397" s="30" t="str">
        <f ca="1">IFERROR(__xludf.DUMMYFUNCTION("""COMPUTED_VALUE"""),"Misiones")</f>
        <v>Misiones</v>
      </c>
      <c r="D1397" s="30" t="str">
        <f ca="1">IFERROR(__xludf.DUMMYFUNCTION("""COMPUTED_VALUE"""),"54")</f>
        <v>54</v>
      </c>
      <c r="E1397" s="30" t="str">
        <f ca="1">IFERROR(__xludf.DUMMYFUNCTION("""COMPUTED_VALUE"""),"")</f>
        <v/>
      </c>
      <c r="F1397" s="29"/>
      <c r="G1397" s="29"/>
      <c r="H1397" s="30" t="str">
        <f ca="1">IFERROR(__xludf.DUMMYFUNCTION("""COMPUTED_VALUE"""),"activo")</f>
        <v>activo</v>
      </c>
      <c r="I1397" s="29"/>
      <c r="J1397" s="29"/>
      <c r="K1397" s="29"/>
      <c r="L1397" s="30" t="str">
        <f ca="1">IFERROR(__xludf.DUMMYFUNCTION("""COMPUTED_VALUE"""),"No")</f>
        <v>No</v>
      </c>
      <c r="M1397" s="30" t="str">
        <f ca="1">IFERROR(__xludf.DUMMYFUNCTION("""COMPUTED_VALUE"""),"54112040000")</f>
        <v>54112040000</v>
      </c>
      <c r="N1397" s="30" t="str">
        <f ca="1">IFERROR(__xludf.DUMMYFUNCTION("""COMPUTED_VALUE"""),"SAN PEDRO")</f>
        <v>SAN PEDRO</v>
      </c>
      <c r="O1397" s="30" t="str">
        <f ca="1">IFERROR(__xludf.DUMMYFUNCTION("""COMPUTED_VALUE"""),"54112")</f>
        <v>54112</v>
      </c>
      <c r="P1397" s="30" t="str">
        <f ca="1">IFERROR(__xludf.DUMMYFUNCTION("""COMPUTED_VALUE"""),"SAN PEDRO")</f>
        <v>SAN PEDRO</v>
      </c>
      <c r="Q1397" s="30" t="str">
        <f ca="1">IFERROR(__xludf.DUMMYFUNCTION("""COMPUTED_VALUE"""),"-26.69118")</f>
        <v>-26.69118</v>
      </c>
      <c r="R1397" s="30" t="str">
        <f ca="1">IFERROR(__xludf.DUMMYFUNCTION("""COMPUTED_VALUE"""),"-54.20328")</f>
        <v>-54.20328</v>
      </c>
      <c r="S1397" s="30" t="str">
        <f ca="1">IFERROR(__xludf.DUMMYFUNCTION("""COMPUTED_VALUE"""),"Provincial")</f>
        <v>Provincial</v>
      </c>
      <c r="T1397" s="30" t="str">
        <f ca="1">IFERROR(__xludf.DUMMYFUNCTION("""COMPUTED_VALUE"""),"-")</f>
        <v>-</v>
      </c>
    </row>
    <row r="1398" spans="1:20" ht="15.75" customHeight="1" x14ac:dyDescent="0.25">
      <c r="A1398" s="30" t="str">
        <f ca="1">IFERROR(__xludf.DUMMYFUNCTION("""COMPUTED_VALUE"""),"10541192165152")</f>
        <v>10541192165152</v>
      </c>
      <c r="B1398" s="30" t="str">
        <f ca="1">IFERROR(__xludf.DUMMYFUNCTION("""COMPUTED_VALUE"""),"HOSPITAL NIVEL I COLONIA AURORA")</f>
        <v>HOSPITAL NIVEL I COLONIA AURORA</v>
      </c>
      <c r="C1398" s="30" t="str">
        <f ca="1">IFERROR(__xludf.DUMMYFUNCTION("""COMPUTED_VALUE"""),"Misiones")</f>
        <v>Misiones</v>
      </c>
      <c r="D1398" s="30" t="str">
        <f ca="1">IFERROR(__xludf.DUMMYFUNCTION("""COMPUTED_VALUE"""),"54")</f>
        <v>54</v>
      </c>
      <c r="E1398" s="30" t="str">
        <f ca="1">IFERROR(__xludf.DUMMYFUNCTION("""COMPUTED_VALUE"""),"")</f>
        <v/>
      </c>
      <c r="F1398" s="29"/>
      <c r="G1398" s="29"/>
      <c r="H1398" s="30" t="str">
        <f ca="1">IFERROR(__xludf.DUMMYFUNCTION("""COMPUTED_VALUE"""),"activo")</f>
        <v>activo</v>
      </c>
      <c r="I1398" s="29"/>
      <c r="J1398" s="29"/>
      <c r="K1398" s="29"/>
      <c r="L1398" s="30" t="str">
        <f ca="1">IFERROR(__xludf.DUMMYFUNCTION("""COMPUTED_VALUE"""),"No")</f>
        <v>No</v>
      </c>
      <c r="M1398" s="30" t="str">
        <f ca="1">IFERROR(__xludf.DUMMYFUNCTION("""COMPUTED_VALUE"""),"54119030000")</f>
        <v>54119030000</v>
      </c>
      <c r="N1398" s="30" t="str">
        <f ca="1">IFERROR(__xludf.DUMMYFUNCTION("""COMPUTED_VALUE"""),"COLONIA AURORA")</f>
        <v>COLONIA AURORA</v>
      </c>
      <c r="O1398" s="30" t="str">
        <f ca="1">IFERROR(__xludf.DUMMYFUNCTION("""COMPUTED_VALUE"""),"54119")</f>
        <v>54119</v>
      </c>
      <c r="P1398" s="30" t="str">
        <f ca="1">IFERROR(__xludf.DUMMYFUNCTION("""COMPUTED_VALUE"""),"25 DE MAYO")</f>
        <v>25 DE MAYO</v>
      </c>
      <c r="Q1398" s="30" t="str">
        <f ca="1">IFERROR(__xludf.DUMMYFUNCTION("""COMPUTED_VALUE"""),"-27.475351")</f>
        <v>-27.475351</v>
      </c>
      <c r="R1398" s="30" t="str">
        <f ca="1">IFERROR(__xludf.DUMMYFUNCTION("""COMPUTED_VALUE"""),"-54.525885")</f>
        <v>-54.525885</v>
      </c>
      <c r="S1398" s="30" t="str">
        <f ca="1">IFERROR(__xludf.DUMMYFUNCTION("""COMPUTED_VALUE"""),"Provincial")</f>
        <v>Provincial</v>
      </c>
      <c r="T1398" s="30" t="str">
        <f ca="1">IFERROR(__xludf.DUMMYFUNCTION("""COMPUTED_VALUE"""),"-")</f>
        <v>-</v>
      </c>
    </row>
    <row r="1399" spans="1:20" ht="15.75" customHeight="1" x14ac:dyDescent="0.25">
      <c r="A1399" s="30" t="str">
        <f ca="1">IFERROR(__xludf.DUMMYFUNCTION("""COMPUTED_VALUE"""),"10540072164418")</f>
        <v>10540072164418</v>
      </c>
      <c r="B1399" s="30" t="str">
        <f ca="1">IFERROR(__xludf.DUMMYFUNCTION("""COMPUTED_VALUE"""),"HOSPITAL DE SAN JOSE - NIVEL I")</f>
        <v>HOSPITAL DE SAN JOSE - NIVEL I</v>
      </c>
      <c r="C1399" s="30" t="str">
        <f ca="1">IFERROR(__xludf.DUMMYFUNCTION("""COMPUTED_VALUE"""),"Misiones")</f>
        <v>Misiones</v>
      </c>
      <c r="D1399" s="30" t="str">
        <f ca="1">IFERROR(__xludf.DUMMYFUNCTION("""COMPUTED_VALUE"""),"54")</f>
        <v>54</v>
      </c>
      <c r="E1399" s="30" t="str">
        <f ca="1">IFERROR(__xludf.DUMMYFUNCTION("""COMPUTED_VALUE"""),"")</f>
        <v/>
      </c>
      <c r="F1399" s="29"/>
      <c r="G1399" s="29"/>
      <c r="H1399" s="30" t="str">
        <f ca="1">IFERROR(__xludf.DUMMYFUNCTION("""COMPUTED_VALUE"""),"activo")</f>
        <v>activo</v>
      </c>
      <c r="I1399" s="29"/>
      <c r="J1399" s="29"/>
      <c r="K1399" s="29"/>
      <c r="L1399" s="30" t="str">
        <f ca="1">IFERROR(__xludf.DUMMYFUNCTION("""COMPUTED_VALUE"""),"No")</f>
        <v>No</v>
      </c>
      <c r="M1399" s="30" t="str">
        <f ca="1">IFERROR(__xludf.DUMMYFUNCTION("""COMPUTED_VALUE"""),"54007060000")</f>
        <v>54007060000</v>
      </c>
      <c r="N1399" s="30" t="str">
        <f ca="1">IFERROR(__xludf.DUMMYFUNCTION("""COMPUTED_VALUE"""),"SAN JOSE")</f>
        <v>SAN JOSE</v>
      </c>
      <c r="O1399" s="30" t="str">
        <f ca="1">IFERROR(__xludf.DUMMYFUNCTION("""COMPUTED_VALUE"""),"547")</f>
        <v>547</v>
      </c>
      <c r="P1399" s="30" t="str">
        <f ca="1">IFERROR(__xludf.DUMMYFUNCTION("""COMPUTED_VALUE"""),"APÓSTOLES")</f>
        <v>APÓSTOLES</v>
      </c>
      <c r="Q1399" s="30" t="str">
        <f ca="1">IFERROR(__xludf.DUMMYFUNCTION("""COMPUTED_VALUE"""),"-27.768137")</f>
        <v>-27.768137</v>
      </c>
      <c r="R1399" s="30" t="str">
        <f ca="1">IFERROR(__xludf.DUMMYFUNCTION("""COMPUTED_VALUE"""),"-55.780682")</f>
        <v>-55.780682</v>
      </c>
      <c r="S1399" s="30" t="str">
        <f ca="1">IFERROR(__xludf.DUMMYFUNCTION("""COMPUTED_VALUE"""),"Provincial")</f>
        <v>Provincial</v>
      </c>
      <c r="T1399" s="30" t="str">
        <f ca="1">IFERROR(__xludf.DUMMYFUNCTION("""COMPUTED_VALUE"""),"-")</f>
        <v>-</v>
      </c>
    </row>
    <row r="1400" spans="1:20" ht="15.75" customHeight="1" x14ac:dyDescent="0.25">
      <c r="A1400" s="30" t="str">
        <f ca="1">IFERROR(__xludf.DUMMYFUNCTION("""COMPUTED_VALUE"""),"10541052165671")</f>
        <v>10541052165671</v>
      </c>
      <c r="B1400" s="30" t="str">
        <f ca="1">IFERROR(__xludf.DUMMYFUNCTION("""COMPUTED_VALUE"""),"HOSPITAL DE SAN JAVIER - NIVEL I")</f>
        <v>HOSPITAL DE SAN JAVIER - NIVEL I</v>
      </c>
      <c r="C1400" s="30" t="str">
        <f ca="1">IFERROR(__xludf.DUMMYFUNCTION("""COMPUTED_VALUE"""),"Misiones")</f>
        <v>Misiones</v>
      </c>
      <c r="D1400" s="30" t="str">
        <f ca="1">IFERROR(__xludf.DUMMYFUNCTION("""COMPUTED_VALUE"""),"54")</f>
        <v>54</v>
      </c>
      <c r="E1400" s="30" t="str">
        <f ca="1">IFERROR(__xludf.DUMMYFUNCTION("""COMPUTED_VALUE"""),"")</f>
        <v/>
      </c>
      <c r="F1400" s="29"/>
      <c r="G1400" s="29"/>
      <c r="H1400" s="30" t="str">
        <f ca="1">IFERROR(__xludf.DUMMYFUNCTION("""COMPUTED_VALUE"""),"activo")</f>
        <v>activo</v>
      </c>
      <c r="I1400" s="29"/>
      <c r="J1400" s="29"/>
      <c r="K1400" s="29"/>
      <c r="L1400" s="30" t="str">
        <f ca="1">IFERROR(__xludf.DUMMYFUNCTION("""COMPUTED_VALUE"""),"No")</f>
        <v>No</v>
      </c>
      <c r="M1400" s="30" t="str">
        <f ca="1">IFERROR(__xludf.DUMMYFUNCTION("""COMPUTED_VALUE"""),"54105040000")</f>
        <v>54105040000</v>
      </c>
      <c r="N1400" s="30" t="str">
        <f ca="1">IFERROR(__xludf.DUMMYFUNCTION("""COMPUTED_VALUE"""),"SAN JAVIER")</f>
        <v>SAN JAVIER</v>
      </c>
      <c r="O1400" s="30" t="str">
        <f ca="1">IFERROR(__xludf.DUMMYFUNCTION("""COMPUTED_VALUE"""),"54105")</f>
        <v>54105</v>
      </c>
      <c r="P1400" s="30" t="str">
        <f ca="1">IFERROR(__xludf.DUMMYFUNCTION("""COMPUTED_VALUE"""),"SAN JAVIER")</f>
        <v>SAN JAVIER</v>
      </c>
      <c r="Q1400" s="30" t="str">
        <f ca="1">IFERROR(__xludf.DUMMYFUNCTION("""COMPUTED_VALUE"""),"-27.869042")</f>
        <v>-27.869042</v>
      </c>
      <c r="R1400" s="30" t="str">
        <f ca="1">IFERROR(__xludf.DUMMYFUNCTION("""COMPUTED_VALUE"""),"-55.1377378")</f>
        <v>-55.1377378</v>
      </c>
      <c r="S1400" s="30" t="str">
        <f ca="1">IFERROR(__xludf.DUMMYFUNCTION("""COMPUTED_VALUE"""),"Provincial")</f>
        <v>Provincial</v>
      </c>
      <c r="T1400" s="30" t="str">
        <f ca="1">IFERROR(__xludf.DUMMYFUNCTION("""COMPUTED_VALUE"""),"-")</f>
        <v>-</v>
      </c>
    </row>
    <row r="1401" spans="1:20" ht="15.75" customHeight="1" x14ac:dyDescent="0.25">
      <c r="A1401" s="30" t="str">
        <f ca="1">IFERROR(__xludf.DUMMYFUNCTION("""COMPUTED_VALUE"""),"10540212165707")</f>
        <v>10540212165707</v>
      </c>
      <c r="B1401" s="30" t="str">
        <f ca="1">IFERROR(__xludf.DUMMYFUNCTION("""COMPUTED_VALUE"""),"HOSPITAL NIVEL I SANTA ANA")</f>
        <v>HOSPITAL NIVEL I SANTA ANA</v>
      </c>
      <c r="C1401" s="30" t="str">
        <f ca="1">IFERROR(__xludf.DUMMYFUNCTION("""COMPUTED_VALUE"""),"Misiones")</f>
        <v>Misiones</v>
      </c>
      <c r="D1401" s="30" t="str">
        <f ca="1">IFERROR(__xludf.DUMMYFUNCTION("""COMPUTED_VALUE"""),"54")</f>
        <v>54</v>
      </c>
      <c r="E1401" s="30" t="str">
        <f ca="1">IFERROR(__xludf.DUMMYFUNCTION("""COMPUTED_VALUE"""),"")</f>
        <v/>
      </c>
      <c r="F1401" s="29"/>
      <c r="G1401" s="29"/>
      <c r="H1401" s="30" t="str">
        <f ca="1">IFERROR(__xludf.DUMMYFUNCTION("""COMPUTED_VALUE"""),"activo")</f>
        <v>activo</v>
      </c>
      <c r="I1401" s="29"/>
      <c r="J1401" s="29"/>
      <c r="K1401" s="29"/>
      <c r="L1401" s="30" t="str">
        <f ca="1">IFERROR(__xludf.DUMMYFUNCTION("""COMPUTED_VALUE"""),"No")</f>
        <v>No</v>
      </c>
      <c r="M1401" s="30" t="str">
        <f ca="1">IFERROR(__xludf.DUMMYFUNCTION("""COMPUTED_VALUE"""),"54021080000")</f>
        <v>54021080000</v>
      </c>
      <c r="N1401" s="30" t="str">
        <f ca="1">IFERROR(__xludf.DUMMYFUNCTION("""COMPUTED_VALUE"""),"SANTA ANA")</f>
        <v>SANTA ANA</v>
      </c>
      <c r="O1401" s="30" t="str">
        <f ca="1">IFERROR(__xludf.DUMMYFUNCTION("""COMPUTED_VALUE"""),"5421")</f>
        <v>5421</v>
      </c>
      <c r="P1401" s="30" t="str">
        <f ca="1">IFERROR(__xludf.DUMMYFUNCTION("""COMPUTED_VALUE"""),"CANDELARIA")</f>
        <v>CANDELARIA</v>
      </c>
      <c r="Q1401" s="30" t="str">
        <f ca="1">IFERROR(__xludf.DUMMYFUNCTION("""COMPUTED_VALUE"""),"-27.3688753")</f>
        <v>-27.3688753</v>
      </c>
      <c r="R1401" s="30" t="str">
        <f ca="1">IFERROR(__xludf.DUMMYFUNCTION("""COMPUTED_VALUE"""),"-55.5806588")</f>
        <v>-55.5806588</v>
      </c>
      <c r="S1401" s="30" t="str">
        <f ca="1">IFERROR(__xludf.DUMMYFUNCTION("""COMPUTED_VALUE"""),"Provincial")</f>
        <v>Provincial</v>
      </c>
      <c r="T1401" s="30" t="str">
        <f ca="1">IFERROR(__xludf.DUMMYFUNCTION("""COMPUTED_VALUE"""),"-")</f>
        <v>-</v>
      </c>
    </row>
    <row r="1402" spans="1:20" ht="15.75" customHeight="1" x14ac:dyDescent="0.25">
      <c r="A1402" s="30" t="str">
        <f ca="1">IFERROR(__xludf.DUMMYFUNCTION("""COMPUTED_VALUE"""),"50540072164041")</f>
        <v>50540072164041</v>
      </c>
      <c r="B1402" s="30" t="str">
        <f ca="1">IFERROR(__xludf.DUMMYFUNCTION("""COMPUTED_VALUE"""),"C.A.P.S. SANTA BARBARA")</f>
        <v>C.A.P.S. SANTA BARBARA</v>
      </c>
      <c r="C1402" s="30" t="str">
        <f ca="1">IFERROR(__xludf.DUMMYFUNCTION("""COMPUTED_VALUE"""),"Misiones")</f>
        <v>Misiones</v>
      </c>
      <c r="D1402" s="30" t="str">
        <f ca="1">IFERROR(__xludf.DUMMYFUNCTION("""COMPUTED_VALUE"""),"54")</f>
        <v>54</v>
      </c>
      <c r="E1402" s="30" t="str">
        <f ca="1">IFERROR(__xludf.DUMMYFUNCTION("""COMPUTED_VALUE"""),"")</f>
        <v/>
      </c>
      <c r="F1402" s="29"/>
      <c r="G1402" s="29"/>
      <c r="H1402" s="30" t="str">
        <f ca="1">IFERROR(__xludf.DUMMYFUNCTION("""COMPUTED_VALUE"""),"activo")</f>
        <v>activo</v>
      </c>
      <c r="I1402" s="29"/>
      <c r="J1402" s="29"/>
      <c r="K1402" s="29"/>
      <c r="L1402" s="30" t="str">
        <f ca="1">IFERROR(__xludf.DUMMYFUNCTION("""COMPUTED_VALUE"""),"No")</f>
        <v>No</v>
      </c>
      <c r="M1402" s="30" t="str">
        <f ca="1">IFERROR(__xludf.DUMMYFUNCTION("""COMPUTED_VALUE"""),"54007010000")</f>
        <v>54007010000</v>
      </c>
      <c r="N1402" s="30" t="str">
        <f ca="1">IFERROR(__xludf.DUMMYFUNCTION("""COMPUTED_VALUE"""),"APOSTOLES")</f>
        <v>APOSTOLES</v>
      </c>
      <c r="O1402" s="30" t="str">
        <f ca="1">IFERROR(__xludf.DUMMYFUNCTION("""COMPUTED_VALUE"""),"547")</f>
        <v>547</v>
      </c>
      <c r="P1402" s="30" t="str">
        <f ca="1">IFERROR(__xludf.DUMMYFUNCTION("""COMPUTED_VALUE"""),"APÓSTOLES")</f>
        <v>APÓSTOLES</v>
      </c>
      <c r="Q1402" s="30" t="str">
        <f ca="1">IFERROR(__xludf.DUMMYFUNCTION("""COMPUTED_VALUE"""),"-27.897093")</f>
        <v>-27.897093</v>
      </c>
      <c r="R1402" s="30" t="str">
        <f ca="1">IFERROR(__xludf.DUMMYFUNCTION("""COMPUTED_VALUE"""),"-55.74943")</f>
        <v>-55.74943</v>
      </c>
      <c r="S1402" s="30" t="str">
        <f ca="1">IFERROR(__xludf.DUMMYFUNCTION("""COMPUTED_VALUE"""),"Provincial")</f>
        <v>Provincial</v>
      </c>
      <c r="T1402" s="30" t="str">
        <f ca="1">IFERROR(__xludf.DUMMYFUNCTION("""COMPUTED_VALUE"""),"-")</f>
        <v>-</v>
      </c>
    </row>
    <row r="1403" spans="1:20" ht="15.75" customHeight="1" x14ac:dyDescent="0.25">
      <c r="A1403" s="30" t="str">
        <f ca="1">IFERROR(__xludf.DUMMYFUNCTION("""COMPUTED_VALUE"""),"50540632164225")</f>
        <v>50540632164225</v>
      </c>
      <c r="B1403" s="30" t="str">
        <f ca="1">IFERROR(__xludf.DUMMYFUNCTION("""COMPUTED_VALUE"""),"C.A.P.S. COMBATE MBORORE")</f>
        <v>C.A.P.S. COMBATE MBORORE</v>
      </c>
      <c r="C1403" s="30" t="str">
        <f ca="1">IFERROR(__xludf.DUMMYFUNCTION("""COMPUTED_VALUE"""),"Misiones")</f>
        <v>Misiones</v>
      </c>
      <c r="D1403" s="30" t="str">
        <f ca="1">IFERROR(__xludf.DUMMYFUNCTION("""COMPUTED_VALUE"""),"54")</f>
        <v>54</v>
      </c>
      <c r="E1403" s="30" t="str">
        <f ca="1">IFERROR(__xludf.DUMMYFUNCTION("""COMPUTED_VALUE"""),"si")</f>
        <v>si</v>
      </c>
      <c r="F1403" s="29"/>
      <c r="G1403" s="29"/>
      <c r="H1403" s="30" t="str">
        <f ca="1">IFERROR(__xludf.DUMMYFUNCTION("""COMPUTED_VALUE"""),"activo")</f>
        <v>activo</v>
      </c>
      <c r="I1403" s="30" t="str">
        <f ca="1">IFERROR(__xludf.DUMMYFUNCTION("""COMPUTED_VALUE"""),"circular 2: se pasan de los 65")</f>
        <v>circular 2: se pasan de los 65</v>
      </c>
      <c r="J1403" s="29"/>
      <c r="K1403" s="29"/>
      <c r="L1403" s="30" t="str">
        <f ca="1">IFERROR(__xludf.DUMMYFUNCTION("""COMPUTED_VALUE"""),"No")</f>
        <v>No</v>
      </c>
      <c r="M1403" s="30" t="str">
        <f ca="1">IFERROR(__xludf.DUMMYFUNCTION("""COMPUTED_VALUE"""),"54063030000")</f>
        <v>54063030000</v>
      </c>
      <c r="N1403" s="30" t="str">
        <f ca="1">IFERROR(__xludf.DUMMYFUNCTION("""COMPUTED_VALUE"""),"PUERTO IGUAZU")</f>
        <v>PUERTO IGUAZU</v>
      </c>
      <c r="O1403" s="30" t="str">
        <f ca="1">IFERROR(__xludf.DUMMYFUNCTION("""COMPUTED_VALUE"""),"5463")</f>
        <v>5463</v>
      </c>
      <c r="P1403" s="30" t="str">
        <f ca="1">IFERROR(__xludf.DUMMYFUNCTION("""COMPUTED_VALUE"""),"IGUAZÚ")</f>
        <v>IGUAZÚ</v>
      </c>
      <c r="Q1403" s="30" t="str">
        <f ca="1">IFERROR(__xludf.DUMMYFUNCTION("""COMPUTED_VALUE"""),"-25.629557")</f>
        <v>-25.629557</v>
      </c>
      <c r="R1403" s="30" t="str">
        <f ca="1">IFERROR(__xludf.DUMMYFUNCTION("""COMPUTED_VALUE"""),"-54.566116")</f>
        <v>-54.566116</v>
      </c>
      <c r="S1403" s="30" t="str">
        <f ca="1">IFERROR(__xludf.DUMMYFUNCTION("""COMPUTED_VALUE"""),"Provincial")</f>
        <v>Provincial</v>
      </c>
      <c r="T1403" s="30" t="str">
        <f ca="1">IFERROR(__xludf.DUMMYFUNCTION("""COMPUTED_VALUE"""),"-")</f>
        <v>-</v>
      </c>
    </row>
    <row r="1404" spans="1:20" ht="15.75" customHeight="1" x14ac:dyDescent="0.25">
      <c r="A1404" s="30" t="str">
        <f ca="1">IFERROR(__xludf.DUMMYFUNCTION("""COMPUTED_VALUE"""),"50540772164115")</f>
        <v>50540772164115</v>
      </c>
      <c r="B1404" s="30" t="str">
        <f ca="1">IFERROR(__xludf.DUMMYFUNCTION("""COMPUTED_VALUE"""),"C.A.P.S. VIRGEN MARIA (COLONIA FLORA)")</f>
        <v>C.A.P.S. VIRGEN MARIA (COLONIA FLORA)</v>
      </c>
      <c r="C1404" s="30" t="str">
        <f ca="1">IFERROR(__xludf.DUMMYFUNCTION("""COMPUTED_VALUE"""),"Misiones")</f>
        <v>Misiones</v>
      </c>
      <c r="D1404" s="30" t="str">
        <f ca="1">IFERROR(__xludf.DUMMYFUNCTION("""COMPUTED_VALUE"""),"54")</f>
        <v>54</v>
      </c>
      <c r="E1404" s="30" t="str">
        <f ca="1">IFERROR(__xludf.DUMMYFUNCTION("""COMPUTED_VALUE"""),"si")</f>
        <v>si</v>
      </c>
      <c r="F1404" s="29"/>
      <c r="G1404" s="29"/>
      <c r="H1404" s="30" t="str">
        <f ca="1">IFERROR(__xludf.DUMMYFUNCTION("""COMPUTED_VALUE"""),"activo")</f>
        <v>activo</v>
      </c>
      <c r="I1404" s="30" t="str">
        <f ca="1">IFERROR(__xludf.DUMMYFUNCTION("""COMPUTED_VALUE"""),"circular 2: se pasan de los 65")</f>
        <v>circular 2: se pasan de los 65</v>
      </c>
      <c r="J1404" s="29"/>
      <c r="K1404" s="29"/>
      <c r="L1404" s="30" t="str">
        <f ca="1">IFERROR(__xludf.DUMMYFUNCTION("""COMPUTED_VALUE"""),"No")</f>
        <v>No</v>
      </c>
      <c r="M1404" s="30" t="str">
        <f ca="1">IFERROR(__xludf.DUMMYFUNCTION("""COMPUTED_VALUE"""),"54077050000")</f>
        <v>54077050000</v>
      </c>
      <c r="N1404" s="30" t="str">
        <f ca="1">IFERROR(__xludf.DUMMYFUNCTION("""COMPUTED_VALUE"""),"PUERTO LEONI")</f>
        <v>PUERTO LEONI</v>
      </c>
      <c r="O1404" s="30" t="str">
        <f ca="1">IFERROR(__xludf.DUMMYFUNCTION("""COMPUTED_VALUE"""),"5477")</f>
        <v>5477</v>
      </c>
      <c r="P1404" s="30" t="str">
        <f ca="1">IFERROR(__xludf.DUMMYFUNCTION("""COMPUTED_VALUE"""),"LIBERTADOR GRL. SAN MARTÍN")</f>
        <v>LIBERTADOR GRL. SAN MARTÍN</v>
      </c>
      <c r="Q1404" s="30" t="str">
        <f ca="1">IFERROR(__xludf.DUMMYFUNCTION("""COMPUTED_VALUE"""),"-27.0107047")</f>
        <v>-27.0107047</v>
      </c>
      <c r="R1404" s="30" t="str">
        <f ca="1">IFERROR(__xludf.DUMMYFUNCTION("""COMPUTED_VALUE"""),"-55.1642959")</f>
        <v>-55.1642959</v>
      </c>
      <c r="S1404" s="30" t="str">
        <f ca="1">IFERROR(__xludf.DUMMYFUNCTION("""COMPUTED_VALUE"""),"Provincial")</f>
        <v>Provincial</v>
      </c>
      <c r="T1404" s="30" t="str">
        <f ca="1">IFERROR(__xludf.DUMMYFUNCTION("""COMPUTED_VALUE"""),"-")</f>
        <v>-</v>
      </c>
    </row>
    <row r="1405" spans="1:20" ht="15.75" customHeight="1" x14ac:dyDescent="0.25">
      <c r="A1405" s="30" t="str">
        <f ca="1">IFERROR(__xludf.DUMMYFUNCTION("""COMPUTED_VALUE"""),"50540772164125")</f>
        <v>50540772164125</v>
      </c>
      <c r="B1405" s="30" t="str">
        <f ca="1">IFERROR(__xludf.DUMMYFUNCTION("""COMPUTED_VALUE"""),"C.A.P.S. CENTRO RUIZ DE MONTOYA")</f>
        <v>C.A.P.S. CENTRO RUIZ DE MONTOYA</v>
      </c>
      <c r="C1405" s="30" t="str">
        <f ca="1">IFERROR(__xludf.DUMMYFUNCTION("""COMPUTED_VALUE"""),"Misiones")</f>
        <v>Misiones</v>
      </c>
      <c r="D1405" s="30" t="str">
        <f ca="1">IFERROR(__xludf.DUMMYFUNCTION("""COMPUTED_VALUE"""),"54")</f>
        <v>54</v>
      </c>
      <c r="E1405" s="30" t="str">
        <f ca="1">IFERROR(__xludf.DUMMYFUNCTION("""COMPUTED_VALUE"""),"si")</f>
        <v>si</v>
      </c>
      <c r="F1405" s="29"/>
      <c r="G1405" s="29"/>
      <c r="H1405" s="30" t="str">
        <f ca="1">IFERROR(__xludf.DUMMYFUNCTION("""COMPUTED_VALUE"""),"inactivo")</f>
        <v>inactivo</v>
      </c>
      <c r="I1405" s="30" t="str">
        <f ca="1">IFERROR(__xludf.DUMMYFUNCTION("""COMPUTED_VALUE"""),"circular 2: se pasan de los 65")</f>
        <v>circular 2: se pasan de los 65</v>
      </c>
      <c r="J1405" s="29"/>
      <c r="K1405" s="29"/>
      <c r="L1405" s="30" t="str">
        <f ca="1">IFERROR(__xludf.DUMMYFUNCTION("""COMPUTED_VALUE"""),"No")</f>
        <v>No</v>
      </c>
      <c r="M1405" s="30" t="str">
        <f ca="1">IFERROR(__xludf.DUMMYFUNCTION("""COMPUTED_VALUE"""),"54077070000")</f>
        <v>54077070000</v>
      </c>
      <c r="N1405" s="30" t="str">
        <f ca="1">IFERROR(__xludf.DUMMYFUNCTION("""COMPUTED_VALUE"""),"RUIZ DE MONTOYA")</f>
        <v>RUIZ DE MONTOYA</v>
      </c>
      <c r="O1405" s="30" t="str">
        <f ca="1">IFERROR(__xludf.DUMMYFUNCTION("""COMPUTED_VALUE"""),"5477")</f>
        <v>5477</v>
      </c>
      <c r="P1405" s="30" t="str">
        <f ca="1">IFERROR(__xludf.DUMMYFUNCTION("""COMPUTED_VALUE"""),"LIBERTADOR GRL. SAN MARTÍN")</f>
        <v>LIBERTADOR GRL. SAN MARTÍN</v>
      </c>
      <c r="Q1405" s="30" t="str">
        <f ca="1">IFERROR(__xludf.DUMMYFUNCTION("""COMPUTED_VALUE"""),"-26.986085")</f>
        <v>-26.986085</v>
      </c>
      <c r="R1405" s="30" t="str">
        <f ca="1">IFERROR(__xludf.DUMMYFUNCTION("""COMPUTED_VALUE"""),"-55.048908")</f>
        <v>-55.048908</v>
      </c>
      <c r="S1405" s="30" t="str">
        <f ca="1">IFERROR(__xludf.DUMMYFUNCTION("""COMPUTED_VALUE"""),"Provincial")</f>
        <v>Provincial</v>
      </c>
      <c r="T1405" s="30" t="str">
        <f ca="1">IFERROR(__xludf.DUMMYFUNCTION("""COMPUTED_VALUE"""),"-")</f>
        <v>-</v>
      </c>
    </row>
    <row r="1406" spans="1:20" ht="15.75" customHeight="1" x14ac:dyDescent="0.25">
      <c r="A1406" s="30" t="str">
        <f ca="1">IFERROR(__xludf.DUMMYFUNCTION("""COMPUTED_VALUE"""),"10580912167026")</f>
        <v>10580912167026</v>
      </c>
      <c r="B1406" s="30" t="str">
        <f ca="1">IFERROR(__xludf.DUMMYFUNCTION("""COMPUTED_VALUE"""),"HTAL RINCON DE LOS SAUCES")</f>
        <v>HTAL RINCON DE LOS SAUCES</v>
      </c>
      <c r="C1406" s="30" t="str">
        <f ca="1">IFERROR(__xludf.DUMMYFUNCTION("""COMPUTED_VALUE"""),"Neuquén")</f>
        <v>Neuquén</v>
      </c>
      <c r="D1406" s="30" t="str">
        <f ca="1">IFERROR(__xludf.DUMMYFUNCTION("""COMPUTED_VALUE"""),"58")</f>
        <v>58</v>
      </c>
      <c r="E1406" s="30" t="str">
        <f ca="1">IFERROR(__xludf.DUMMYFUNCTION("""COMPUTED_VALUE"""),"")</f>
        <v/>
      </c>
      <c r="F1406" s="29"/>
      <c r="G1406" s="29"/>
      <c r="H1406" s="30" t="str">
        <f ca="1">IFERROR(__xludf.DUMMYFUNCTION("""COMPUTED_VALUE"""),"activo")</f>
        <v>activo</v>
      </c>
      <c r="I1406" s="29"/>
      <c r="J1406" s="29"/>
      <c r="K1406" s="29"/>
      <c r="L1406" s="30" t="str">
        <f ca="1">IFERROR(__xludf.DUMMYFUNCTION("""COMPUTED_VALUE"""),"No")</f>
        <v>No</v>
      </c>
      <c r="M1406" s="30" t="str">
        <f ca="1">IFERROR(__xludf.DUMMYFUNCTION("""COMPUTED_VALUE"""),"58091040000")</f>
        <v>58091040000</v>
      </c>
      <c r="N1406" s="30" t="str">
        <f ca="1">IFERROR(__xludf.DUMMYFUNCTION("""COMPUTED_VALUE"""),"RINCON DE LOS SAUCES")</f>
        <v>RINCON DE LOS SAUCES</v>
      </c>
      <c r="O1406" s="30" t="str">
        <f ca="1">IFERROR(__xludf.DUMMYFUNCTION("""COMPUTED_VALUE"""),"5891")</f>
        <v>5891</v>
      </c>
      <c r="P1406" s="30" t="str">
        <f ca="1">IFERROR(__xludf.DUMMYFUNCTION("""COMPUTED_VALUE"""),"PEHUENCHES")</f>
        <v>PEHUENCHES</v>
      </c>
      <c r="Q1406" s="30" t="str">
        <f ca="1">IFERROR(__xludf.DUMMYFUNCTION("""COMPUTED_VALUE"""),"-37.38725511")</f>
        <v>-37.38725511</v>
      </c>
      <c r="R1406" s="30" t="str">
        <f ca="1">IFERROR(__xludf.DUMMYFUNCTION("""COMPUTED_VALUE"""),"-68.92615398")</f>
        <v>-68.92615398</v>
      </c>
      <c r="S1406" s="30" t="str">
        <f ca="1">IFERROR(__xludf.DUMMYFUNCTION("""COMPUTED_VALUE"""),"Provincial")</f>
        <v>Provincial</v>
      </c>
      <c r="T1406" s="30" t="str">
        <f ca="1">IFERROR(__xludf.DUMMYFUNCTION("""COMPUTED_VALUE"""),"-")</f>
        <v>-</v>
      </c>
    </row>
    <row r="1407" spans="1:20" ht="15.75" customHeight="1" x14ac:dyDescent="0.25">
      <c r="A1407" s="30" t="str">
        <f ca="1">IFERROR(__xludf.DUMMYFUNCTION("""COMPUTED_VALUE"""),"10580702167030")</f>
        <v>10580702167030</v>
      </c>
      <c r="B1407" s="30" t="str">
        <f ca="1">IFERROR(__xludf.DUMMYFUNCTION("""COMPUTED_VALUE"""),"HTAL VILLA LA ANGOSTURA - DR OSCAR ARRAIZ")</f>
        <v>HTAL VILLA LA ANGOSTURA - DR OSCAR ARRAIZ</v>
      </c>
      <c r="C1407" s="30" t="str">
        <f ca="1">IFERROR(__xludf.DUMMYFUNCTION("""COMPUTED_VALUE"""),"Neuquén")</f>
        <v>Neuquén</v>
      </c>
      <c r="D1407" s="30" t="str">
        <f ca="1">IFERROR(__xludf.DUMMYFUNCTION("""COMPUTED_VALUE"""),"58")</f>
        <v>58</v>
      </c>
      <c r="E1407" s="30" t="str">
        <f ca="1">IFERROR(__xludf.DUMMYFUNCTION("""COMPUTED_VALUE"""),"si")</f>
        <v>si</v>
      </c>
      <c r="F1407" s="29"/>
      <c r="G1407" s="29"/>
      <c r="H1407" s="30" t="str">
        <f ca="1">IFERROR(__xludf.DUMMYFUNCTION("""COMPUTED_VALUE"""),"activo")</f>
        <v>activo</v>
      </c>
      <c r="I1407" s="29"/>
      <c r="J1407" s="29"/>
      <c r="K1407" s="29"/>
      <c r="L1407" s="30" t="str">
        <f ca="1">IFERROR(__xludf.DUMMYFUNCTION("""COMPUTED_VALUE"""),"No")</f>
        <v>No</v>
      </c>
      <c r="M1407" s="30" t="str">
        <f ca="1">IFERROR(__xludf.DUMMYFUNCTION("""COMPUTED_VALUE"""),"58070010000")</f>
        <v>58070010000</v>
      </c>
      <c r="N1407" s="30" t="str">
        <f ca="1">IFERROR(__xludf.DUMMYFUNCTION("""COMPUTED_VALUE"""),"VILLA LA ANGOSTURA")</f>
        <v>VILLA LA ANGOSTURA</v>
      </c>
      <c r="O1407" s="30" t="str">
        <f ca="1">IFERROR(__xludf.DUMMYFUNCTION("""COMPUTED_VALUE"""),"5870")</f>
        <v>5870</v>
      </c>
      <c r="P1407" s="30" t="str">
        <f ca="1">IFERROR(__xludf.DUMMYFUNCTION("""COMPUTED_VALUE"""),"LOS LAGOS")</f>
        <v>LOS LAGOS</v>
      </c>
      <c r="Q1407" s="30" t="str">
        <f ca="1">IFERROR(__xludf.DUMMYFUNCTION("""COMPUTED_VALUE"""),"-40.77123061")</f>
        <v>-40.77123061</v>
      </c>
      <c r="R1407" s="30" t="str">
        <f ca="1">IFERROR(__xludf.DUMMYFUNCTION("""COMPUTED_VALUE"""),"-71.65045023")</f>
        <v>-71.65045023</v>
      </c>
      <c r="S1407" s="30" t="str">
        <f ca="1">IFERROR(__xludf.DUMMYFUNCTION("""COMPUTED_VALUE"""),"Provincial")</f>
        <v>Provincial</v>
      </c>
      <c r="T1407" s="30" t="str">
        <f ca="1">IFERROR(__xludf.DUMMYFUNCTION("""COMPUTED_VALUE"""),"-")</f>
        <v>-</v>
      </c>
    </row>
    <row r="1408" spans="1:20" ht="15.75" customHeight="1" x14ac:dyDescent="0.25">
      <c r="A1408" s="30" t="str">
        <f ca="1">IFERROR(__xludf.DUMMYFUNCTION("""COMPUTED_VALUE"""),"10580072167010")</f>
        <v>10580072167010</v>
      </c>
      <c r="B1408" s="30" t="str">
        <f ca="1">IFERROR(__xludf.DUMMYFUNCTION("""COMPUTED_VALUE"""),"HTAL ALUMINE")</f>
        <v>HTAL ALUMINE</v>
      </c>
      <c r="C1408" s="30" t="str">
        <f ca="1">IFERROR(__xludf.DUMMYFUNCTION("""COMPUTED_VALUE"""),"Neuquén")</f>
        <v>Neuquén</v>
      </c>
      <c r="D1408" s="30" t="str">
        <f ca="1">IFERROR(__xludf.DUMMYFUNCTION("""COMPUTED_VALUE"""),"58")</f>
        <v>58</v>
      </c>
      <c r="E1408" s="30" t="str">
        <f ca="1">IFERROR(__xludf.DUMMYFUNCTION("""COMPUTED_VALUE"""),"si")</f>
        <v>si</v>
      </c>
      <c r="F1408" s="29"/>
      <c r="G1408" s="29"/>
      <c r="H1408" s="30" t="str">
        <f ca="1">IFERROR(__xludf.DUMMYFUNCTION("""COMPUTED_VALUE"""),"inactivo")</f>
        <v>inactivo</v>
      </c>
      <c r="I1408" s="29"/>
      <c r="J1408" s="29"/>
      <c r="K1408" s="29"/>
      <c r="L1408" s="30" t="str">
        <f ca="1">IFERROR(__xludf.DUMMYFUNCTION("""COMPUTED_VALUE"""),"No")</f>
        <v>No</v>
      </c>
      <c r="M1408" s="30" t="str">
        <f ca="1">IFERROR(__xludf.DUMMYFUNCTION("""COMPUTED_VALUE"""),"58007010000")</f>
        <v>58007010000</v>
      </c>
      <c r="N1408" s="30" t="str">
        <f ca="1">IFERROR(__xludf.DUMMYFUNCTION("""COMPUTED_VALUE"""),"ALUMINE")</f>
        <v>ALUMINE</v>
      </c>
      <c r="O1408" s="30" t="str">
        <f ca="1">IFERROR(__xludf.DUMMYFUNCTION("""COMPUTED_VALUE"""),"587")</f>
        <v>587</v>
      </c>
      <c r="P1408" s="30" t="str">
        <f ca="1">IFERROR(__xludf.DUMMYFUNCTION("""COMPUTED_VALUE"""),"ALUMINÉ")</f>
        <v>ALUMINÉ</v>
      </c>
      <c r="Q1408" s="30" t="str">
        <f ca="1">IFERROR(__xludf.DUMMYFUNCTION("""COMPUTED_VALUE"""),"-39.23558571")</f>
        <v>-39.23558571</v>
      </c>
      <c r="R1408" s="30" t="str">
        <f ca="1">IFERROR(__xludf.DUMMYFUNCTION("""COMPUTED_VALUE"""),"-70.91286957")</f>
        <v>-70.91286957</v>
      </c>
      <c r="S1408" s="30" t="str">
        <f ca="1">IFERROR(__xludf.DUMMYFUNCTION("""COMPUTED_VALUE"""),"Provincial")</f>
        <v>Provincial</v>
      </c>
      <c r="T1408" s="30" t="str">
        <f ca="1">IFERROR(__xludf.DUMMYFUNCTION("""COMPUTED_VALUE"""),"-")</f>
        <v>-</v>
      </c>
    </row>
    <row r="1409" spans="1:20" ht="15.75" customHeight="1" x14ac:dyDescent="0.25">
      <c r="A1409" s="30" t="str">
        <f ca="1">IFERROR(__xludf.DUMMYFUNCTION("""COMPUTED_VALUE"""),"10580772167011")</f>
        <v>10580772167011</v>
      </c>
      <c r="B1409" s="30" t="str">
        <f ca="1">IFERROR(__xludf.DUMMYFUNCTION("""COMPUTED_VALUE"""),"HTAL ANDACOLLO - DR ANTONIO GORGNI")</f>
        <v>HTAL ANDACOLLO - DR ANTONIO GORGNI</v>
      </c>
      <c r="C1409" s="30" t="str">
        <f ca="1">IFERROR(__xludf.DUMMYFUNCTION("""COMPUTED_VALUE"""),"Neuquén")</f>
        <v>Neuquén</v>
      </c>
      <c r="D1409" s="30" t="str">
        <f ca="1">IFERROR(__xludf.DUMMYFUNCTION("""COMPUTED_VALUE"""),"58")</f>
        <v>58</v>
      </c>
      <c r="E1409" s="30" t="str">
        <f ca="1">IFERROR(__xludf.DUMMYFUNCTION("""COMPUTED_VALUE"""),"si")</f>
        <v>si</v>
      </c>
      <c r="F1409" s="29"/>
      <c r="G1409" s="29"/>
      <c r="H1409" s="30" t="str">
        <f ca="1">IFERROR(__xludf.DUMMYFUNCTION("""COMPUTED_VALUE"""),"activo")</f>
        <v>activo</v>
      </c>
      <c r="I1409" s="29"/>
      <c r="J1409" s="29"/>
      <c r="K1409" s="29"/>
      <c r="L1409" s="30" t="str">
        <f ca="1">IFERROR(__xludf.DUMMYFUNCTION("""COMPUTED_VALUE"""),"No")</f>
        <v>No</v>
      </c>
      <c r="M1409" s="30" t="str">
        <f ca="1">IFERROR(__xludf.DUMMYFUNCTION("""COMPUTED_VALUE"""),"58077010000")</f>
        <v>58077010000</v>
      </c>
      <c r="N1409" s="30" t="str">
        <f ca="1">IFERROR(__xludf.DUMMYFUNCTION("""COMPUTED_VALUE"""),"ANDACOLLO")</f>
        <v>ANDACOLLO</v>
      </c>
      <c r="O1409" s="30" t="str">
        <f ca="1">IFERROR(__xludf.DUMMYFUNCTION("""COMPUTED_VALUE"""),"5877")</f>
        <v>5877</v>
      </c>
      <c r="P1409" s="30" t="str">
        <f ca="1">IFERROR(__xludf.DUMMYFUNCTION("""COMPUTED_VALUE"""),"MINAS")</f>
        <v>MINAS</v>
      </c>
      <c r="Q1409" s="30" t="str">
        <f ca="1">IFERROR(__xludf.DUMMYFUNCTION("""COMPUTED_VALUE"""),"-37.17889413")</f>
        <v>-37.17889413</v>
      </c>
      <c r="R1409" s="30" t="str">
        <f ca="1">IFERROR(__xludf.DUMMYFUNCTION("""COMPUTED_VALUE"""),"-70.67148685")</f>
        <v>-70.67148685</v>
      </c>
      <c r="S1409" s="30" t="str">
        <f ca="1">IFERROR(__xludf.DUMMYFUNCTION("""COMPUTED_VALUE"""),"Provincial")</f>
        <v>Provincial</v>
      </c>
      <c r="T1409" s="30" t="str">
        <f ca="1">IFERROR(__xludf.DUMMYFUNCTION("""COMPUTED_VALUE"""),"-")</f>
        <v>-</v>
      </c>
    </row>
    <row r="1410" spans="1:20" ht="15.75" customHeight="1" x14ac:dyDescent="0.25">
      <c r="A1410" s="30" t="str">
        <f ca="1">IFERROR(__xludf.DUMMYFUNCTION("""COMPUTED_VALUE"""),"10580912167013")</f>
        <v>10580912167013</v>
      </c>
      <c r="B1410" s="30" t="str">
        <f ca="1">IFERROR(__xludf.DUMMYFUNCTION("""COMPUTED_VALUE"""),"HTAL BUTA RANQUIL - ENF GABINO SAGREDO")</f>
        <v>HTAL BUTA RANQUIL - ENF GABINO SAGREDO</v>
      </c>
      <c r="C1410" s="30" t="str">
        <f ca="1">IFERROR(__xludf.DUMMYFUNCTION("""COMPUTED_VALUE"""),"Neuquén")</f>
        <v>Neuquén</v>
      </c>
      <c r="D1410" s="30" t="str">
        <f ca="1">IFERROR(__xludf.DUMMYFUNCTION("""COMPUTED_VALUE"""),"58")</f>
        <v>58</v>
      </c>
      <c r="E1410" s="30" t="str">
        <f ca="1">IFERROR(__xludf.DUMMYFUNCTION("""COMPUTED_VALUE"""),"")</f>
        <v/>
      </c>
      <c r="F1410" s="29"/>
      <c r="G1410" s="29"/>
      <c r="H1410" s="30" t="str">
        <f ca="1">IFERROR(__xludf.DUMMYFUNCTION("""COMPUTED_VALUE"""),"inactivo")</f>
        <v>inactivo</v>
      </c>
      <c r="I1410" s="29"/>
      <c r="J1410" s="29"/>
      <c r="K1410" s="29"/>
      <c r="L1410" s="30" t="str">
        <f ca="1">IFERROR(__xludf.DUMMYFUNCTION("""COMPUTED_VALUE"""),"No")</f>
        <v>No</v>
      </c>
      <c r="M1410" s="30" t="str">
        <f ca="1">IFERROR(__xludf.DUMMYFUNCTION("""COMPUTED_VALUE"""),"58091020000")</f>
        <v>58091020000</v>
      </c>
      <c r="N1410" s="30" t="str">
        <f ca="1">IFERROR(__xludf.DUMMYFUNCTION("""COMPUTED_VALUE"""),"BUTA RANQUIL")</f>
        <v>BUTA RANQUIL</v>
      </c>
      <c r="O1410" s="30" t="str">
        <f ca="1">IFERROR(__xludf.DUMMYFUNCTION("""COMPUTED_VALUE"""),"5891")</f>
        <v>5891</v>
      </c>
      <c r="P1410" s="30" t="str">
        <f ca="1">IFERROR(__xludf.DUMMYFUNCTION("""COMPUTED_VALUE"""),"PEHUENCHES")</f>
        <v>PEHUENCHES</v>
      </c>
      <c r="Q1410" s="30" t="str">
        <f ca="1">IFERROR(__xludf.DUMMYFUNCTION("""COMPUTED_VALUE"""),"-37.05088411")</f>
        <v>-37.05088411</v>
      </c>
      <c r="R1410" s="30" t="str">
        <f ca="1">IFERROR(__xludf.DUMMYFUNCTION("""COMPUTED_VALUE"""),"-69.87605631")</f>
        <v>-69.87605631</v>
      </c>
      <c r="S1410" s="30" t="str">
        <f ca="1">IFERROR(__xludf.DUMMYFUNCTION("""COMPUTED_VALUE"""),"Provincial")</f>
        <v>Provincial</v>
      </c>
      <c r="T1410" s="30" t="str">
        <f ca="1">IFERROR(__xludf.DUMMYFUNCTION("""COMPUTED_VALUE"""),"-")</f>
        <v>-</v>
      </c>
    </row>
    <row r="1411" spans="1:20" ht="15.75" customHeight="1" x14ac:dyDescent="0.25">
      <c r="A1411" s="30" t="str">
        <f ca="1">IFERROR(__xludf.DUMMYFUNCTION("""COMPUTED_VALUE"""),"10580772167021")</f>
        <v>10580772167021</v>
      </c>
      <c r="B1411" s="30" t="str">
        <f ca="1">IFERROR(__xludf.DUMMYFUNCTION("""COMPUTED_VALUE"""),"HTAL LAS OVEJAS")</f>
        <v>HTAL LAS OVEJAS</v>
      </c>
      <c r="C1411" s="30" t="str">
        <f ca="1">IFERROR(__xludf.DUMMYFUNCTION("""COMPUTED_VALUE"""),"Neuquén")</f>
        <v>Neuquén</v>
      </c>
      <c r="D1411" s="30" t="str">
        <f ca="1">IFERROR(__xludf.DUMMYFUNCTION("""COMPUTED_VALUE"""),"58")</f>
        <v>58</v>
      </c>
      <c r="E1411" s="30" t="str">
        <f ca="1">IFERROR(__xludf.DUMMYFUNCTION("""COMPUTED_VALUE"""),"")</f>
        <v/>
      </c>
      <c r="F1411" s="29"/>
      <c r="G1411" s="29"/>
      <c r="H1411" s="30" t="str">
        <f ca="1">IFERROR(__xludf.DUMMYFUNCTION("""COMPUTED_VALUE"""),"inactivo")</f>
        <v>inactivo</v>
      </c>
      <c r="I1411" s="29"/>
      <c r="J1411" s="29"/>
      <c r="K1411" s="29"/>
      <c r="L1411" s="30" t="str">
        <f ca="1">IFERROR(__xludf.DUMMYFUNCTION("""COMPUTED_VALUE"""),"No")</f>
        <v>No</v>
      </c>
      <c r="M1411" s="30" t="str">
        <f ca="1">IFERROR(__xludf.DUMMYFUNCTION("""COMPUTED_VALUE"""),"58077030000")</f>
        <v>58077030000</v>
      </c>
      <c r="N1411" s="30" t="str">
        <f ca="1">IFERROR(__xludf.DUMMYFUNCTION("""COMPUTED_VALUE"""),"LAS OVEJAS")</f>
        <v>LAS OVEJAS</v>
      </c>
      <c r="O1411" s="30" t="str">
        <f ca="1">IFERROR(__xludf.DUMMYFUNCTION("""COMPUTED_VALUE"""),"5877")</f>
        <v>5877</v>
      </c>
      <c r="P1411" s="30" t="str">
        <f ca="1">IFERROR(__xludf.DUMMYFUNCTION("""COMPUTED_VALUE"""),"MINAS")</f>
        <v>MINAS</v>
      </c>
      <c r="Q1411" s="30" t="str">
        <f ca="1">IFERROR(__xludf.DUMMYFUNCTION("""COMPUTED_VALUE"""),"-36.98989987")</f>
        <v>-36.98989987</v>
      </c>
      <c r="R1411" s="30" t="str">
        <f ca="1">IFERROR(__xludf.DUMMYFUNCTION("""COMPUTED_VALUE"""),"-70.74941425")</f>
        <v>-70.74941425</v>
      </c>
      <c r="S1411" s="30" t="str">
        <f ca="1">IFERROR(__xludf.DUMMYFUNCTION("""COMPUTED_VALUE"""),"Provincial")</f>
        <v>Provincial</v>
      </c>
      <c r="T1411" s="30" t="str">
        <f ca="1">IFERROR(__xludf.DUMMYFUNCTION("""COMPUTED_VALUE"""),"-")</f>
        <v>-</v>
      </c>
    </row>
    <row r="1412" spans="1:20" ht="15.75" customHeight="1" x14ac:dyDescent="0.25">
      <c r="A1412" s="30" t="str">
        <f ca="1">IFERROR(__xludf.DUMMYFUNCTION("""COMPUTED_VALUE"""),"10580982167009")</f>
        <v>10580982167009</v>
      </c>
      <c r="B1412" s="30" t="str">
        <f ca="1">IFERROR(__xludf.DUMMYFUNCTION("""COMPUTED_VALUE"""),"HTAL PICUN LEUFU - DRA NANCY FERRARI DIBY")</f>
        <v>HTAL PICUN LEUFU - DRA NANCY FERRARI DIBY</v>
      </c>
      <c r="C1412" s="30" t="str">
        <f ca="1">IFERROR(__xludf.DUMMYFUNCTION("""COMPUTED_VALUE"""),"Neuquén")</f>
        <v>Neuquén</v>
      </c>
      <c r="D1412" s="30" t="str">
        <f ca="1">IFERROR(__xludf.DUMMYFUNCTION("""COMPUTED_VALUE"""),"58")</f>
        <v>58</v>
      </c>
      <c r="E1412" s="30" t="str">
        <f ca="1">IFERROR(__xludf.DUMMYFUNCTION("""COMPUTED_VALUE"""),"")</f>
        <v/>
      </c>
      <c r="F1412" s="29"/>
      <c r="G1412" s="29"/>
      <c r="H1412" s="30" t="str">
        <f ca="1">IFERROR(__xludf.DUMMYFUNCTION("""COMPUTED_VALUE"""),"activo")</f>
        <v>activo</v>
      </c>
      <c r="I1412" s="29"/>
      <c r="J1412" s="29"/>
      <c r="K1412" s="29"/>
      <c r="L1412" s="30" t="str">
        <f ca="1">IFERROR(__xludf.DUMMYFUNCTION("""COMPUTED_VALUE"""),"No")</f>
        <v>No</v>
      </c>
      <c r="M1412" s="30" t="str">
        <f ca="1">IFERROR(__xludf.DUMMYFUNCTION("""COMPUTED_VALUE"""),"58098020000")</f>
        <v>58098020000</v>
      </c>
      <c r="N1412" s="30" t="str">
        <f ca="1">IFERROR(__xludf.DUMMYFUNCTION("""COMPUTED_VALUE"""),"PICUN LEUFU")</f>
        <v>PICUN LEUFU</v>
      </c>
      <c r="O1412" s="30" t="str">
        <f ca="1">IFERROR(__xludf.DUMMYFUNCTION("""COMPUTED_VALUE"""),"5898")</f>
        <v>5898</v>
      </c>
      <c r="P1412" s="30" t="str">
        <f ca="1">IFERROR(__xludf.DUMMYFUNCTION("""COMPUTED_VALUE"""),"PICÚN LEUFÚ")</f>
        <v>PICÚN LEUFÚ</v>
      </c>
      <c r="Q1412" s="30" t="str">
        <f ca="1">IFERROR(__xludf.DUMMYFUNCTION("""COMPUTED_VALUE"""),"-39.51676099")</f>
        <v>-39.51676099</v>
      </c>
      <c r="R1412" s="30" t="str">
        <f ca="1">IFERROR(__xludf.DUMMYFUNCTION("""COMPUTED_VALUE"""),"-69.29059446")</f>
        <v>-69.29059446</v>
      </c>
      <c r="S1412" s="30" t="str">
        <f ca="1">IFERROR(__xludf.DUMMYFUNCTION("""COMPUTED_VALUE"""),"Provincial")</f>
        <v>Provincial</v>
      </c>
      <c r="T1412" s="30" t="str">
        <f ca="1">IFERROR(__xludf.DUMMYFUNCTION("""COMPUTED_VALUE"""),"-")</f>
        <v>-</v>
      </c>
    </row>
    <row r="1413" spans="1:20" ht="15.75" customHeight="1" x14ac:dyDescent="0.25">
      <c r="A1413" s="30" t="str">
        <f ca="1">IFERROR(__xludf.DUMMYFUNCTION("""COMPUTED_VALUE"""),"10580282167024")</f>
        <v>10580282167024</v>
      </c>
      <c r="B1413" s="30" t="str">
        <f ca="1">IFERROR(__xludf.DUMMYFUNCTION("""COMPUTED_VALUE"""),"HTAL PIEDRA DEL AGUILA")</f>
        <v>HTAL PIEDRA DEL AGUILA</v>
      </c>
      <c r="C1413" s="30" t="str">
        <f ca="1">IFERROR(__xludf.DUMMYFUNCTION("""COMPUTED_VALUE"""),"Neuquén")</f>
        <v>Neuquén</v>
      </c>
      <c r="D1413" s="30" t="str">
        <f ca="1">IFERROR(__xludf.DUMMYFUNCTION("""COMPUTED_VALUE"""),"58")</f>
        <v>58</v>
      </c>
      <c r="E1413" s="30" t="str">
        <f ca="1">IFERROR(__xludf.DUMMYFUNCTION("""COMPUTED_VALUE"""),"si")</f>
        <v>si</v>
      </c>
      <c r="F1413" s="29"/>
      <c r="G1413" s="29"/>
      <c r="H1413" s="30" t="str">
        <f ca="1">IFERROR(__xludf.DUMMYFUNCTION("""COMPUTED_VALUE"""),"activo")</f>
        <v>activo</v>
      </c>
      <c r="I1413" s="29"/>
      <c r="J1413" s="29"/>
      <c r="K1413" s="29"/>
      <c r="L1413" s="30" t="str">
        <f ca="1">IFERROR(__xludf.DUMMYFUNCTION("""COMPUTED_VALUE"""),"No")</f>
        <v>No</v>
      </c>
      <c r="M1413" s="30" t="str">
        <f ca="1">IFERROR(__xludf.DUMMYFUNCTION("""COMPUTED_VALUE"""),"58028010000")</f>
        <v>58028010000</v>
      </c>
      <c r="N1413" s="30" t="str">
        <f ca="1">IFERROR(__xludf.DUMMYFUNCTION("""COMPUTED_VALUE"""),"PIEDRA DEL AGUILA")</f>
        <v>PIEDRA DEL AGUILA</v>
      </c>
      <c r="O1413" s="30" t="str">
        <f ca="1">IFERROR(__xludf.DUMMYFUNCTION("""COMPUTED_VALUE"""),"5828")</f>
        <v>5828</v>
      </c>
      <c r="P1413" s="30" t="str">
        <f ca="1">IFERROR(__xludf.DUMMYFUNCTION("""COMPUTED_VALUE"""),"COLLÓN CURÁ")</f>
        <v>COLLÓN CURÁ</v>
      </c>
      <c r="Q1413" s="30" t="str">
        <f ca="1">IFERROR(__xludf.DUMMYFUNCTION("""COMPUTED_VALUE"""),"-40.05078423")</f>
        <v>-40.05078423</v>
      </c>
      <c r="R1413" s="30" t="str">
        <f ca="1">IFERROR(__xludf.DUMMYFUNCTION("""COMPUTED_VALUE"""),"-70.08249454")</f>
        <v>-70.08249454</v>
      </c>
      <c r="S1413" s="30" t="str">
        <f ca="1">IFERROR(__xludf.DUMMYFUNCTION("""COMPUTED_VALUE"""),"Provincial")</f>
        <v>Provincial</v>
      </c>
      <c r="T1413" s="30" t="str">
        <f ca="1">IFERROR(__xludf.DUMMYFUNCTION("""COMPUTED_VALUE"""),"-")</f>
        <v>-</v>
      </c>
    </row>
    <row r="1414" spans="1:20" ht="15.75" customHeight="1" x14ac:dyDescent="0.25">
      <c r="A1414" s="30" t="str">
        <f ca="1">IFERROR(__xludf.DUMMYFUNCTION("""COMPUTED_VALUE"""),"50580142167057")</f>
        <v>50580142167057</v>
      </c>
      <c r="B1414" s="30" t="str">
        <f ca="1">IFERROR(__xludf.DUMMYFUNCTION("""COMPUTED_VALUE"""),"HTAL AÑELO")</f>
        <v>HTAL AÑELO</v>
      </c>
      <c r="C1414" s="30" t="str">
        <f ca="1">IFERROR(__xludf.DUMMYFUNCTION("""COMPUTED_VALUE"""),"Neuquén")</f>
        <v>Neuquén</v>
      </c>
      <c r="D1414" s="30" t="str">
        <f ca="1">IFERROR(__xludf.DUMMYFUNCTION("""COMPUTED_VALUE"""),"58")</f>
        <v>58</v>
      </c>
      <c r="E1414" s="30" t="str">
        <f ca="1">IFERROR(__xludf.DUMMYFUNCTION("""COMPUTED_VALUE"""),"si")</f>
        <v>si</v>
      </c>
      <c r="F1414" s="29"/>
      <c r="G1414" s="29"/>
      <c r="H1414" s="30" t="str">
        <f ca="1">IFERROR(__xludf.DUMMYFUNCTION("""COMPUTED_VALUE"""),"activo")</f>
        <v>activo</v>
      </c>
      <c r="I1414" s="29"/>
      <c r="J1414" s="29"/>
      <c r="K1414" s="29"/>
      <c r="L1414" s="30" t="str">
        <f ca="1">IFERROR(__xludf.DUMMYFUNCTION("""COMPUTED_VALUE"""),"No")</f>
        <v>No</v>
      </c>
      <c r="M1414" s="30" t="str">
        <f ca="1">IFERROR(__xludf.DUMMYFUNCTION("""COMPUTED_VALUE"""),"58014010000")</f>
        <v>58014010000</v>
      </c>
      <c r="N1414" s="30" t="str">
        <f ca="1">IFERROR(__xludf.DUMMYFUNCTION("""COMPUTED_VALUE"""),"AÑELO")</f>
        <v>AÑELO</v>
      </c>
      <c r="O1414" s="30" t="str">
        <f ca="1">IFERROR(__xludf.DUMMYFUNCTION("""COMPUTED_VALUE"""),"5814")</f>
        <v>5814</v>
      </c>
      <c r="P1414" s="30" t="str">
        <f ca="1">IFERROR(__xludf.DUMMYFUNCTION("""COMPUTED_VALUE"""),"AÑELO")</f>
        <v>AÑELO</v>
      </c>
      <c r="Q1414" s="30" t="str">
        <f ca="1">IFERROR(__xludf.DUMMYFUNCTION("""COMPUTED_VALUE"""),"-38.35392195")</f>
        <v>-38.35392195</v>
      </c>
      <c r="R1414" s="30" t="str">
        <f ca="1">IFERROR(__xludf.DUMMYFUNCTION("""COMPUTED_VALUE"""),"-68.78040617")</f>
        <v>-68.78040617</v>
      </c>
      <c r="S1414" s="30" t="str">
        <f ca="1">IFERROR(__xludf.DUMMYFUNCTION("""COMPUTED_VALUE"""),"Provincial")</f>
        <v>Provincial</v>
      </c>
      <c r="T1414" s="30" t="str">
        <f ca="1">IFERROR(__xludf.DUMMYFUNCTION("""COMPUTED_VALUE"""),"-")</f>
        <v>-</v>
      </c>
    </row>
    <row r="1415" spans="1:20" ht="15.75" customHeight="1" x14ac:dyDescent="0.25">
      <c r="A1415" s="30" t="str">
        <f ca="1">IFERROR(__xludf.DUMMYFUNCTION("""COMPUTED_VALUE"""),"50581122167086")</f>
        <v>50581122167086</v>
      </c>
      <c r="B1415" s="30" t="str">
        <f ca="1">IFERROR(__xludf.DUMMYFUNCTION("""COMPUTED_VALUE"""),"CENTRO DE SALUD DON BOSCO (ZAPALA)")</f>
        <v>CENTRO DE SALUD DON BOSCO (ZAPALA)</v>
      </c>
      <c r="C1415" s="30" t="str">
        <f ca="1">IFERROR(__xludf.DUMMYFUNCTION("""COMPUTED_VALUE"""),"Neuquén")</f>
        <v>Neuquén</v>
      </c>
      <c r="D1415" s="30" t="str">
        <f ca="1">IFERROR(__xludf.DUMMYFUNCTION("""COMPUTED_VALUE"""),"58")</f>
        <v>58</v>
      </c>
      <c r="E1415" s="30" t="str">
        <f ca="1">IFERROR(__xludf.DUMMYFUNCTION("""COMPUTED_VALUE"""),"")</f>
        <v/>
      </c>
      <c r="F1415" s="29"/>
      <c r="G1415" s="29"/>
      <c r="H1415" s="30" t="str">
        <f ca="1">IFERROR(__xludf.DUMMYFUNCTION("""COMPUTED_VALUE"""),"activo")</f>
        <v>activo</v>
      </c>
      <c r="I1415" s="29"/>
      <c r="J1415" s="29"/>
      <c r="K1415" s="29"/>
      <c r="L1415" s="30" t="str">
        <f ca="1">IFERROR(__xludf.DUMMYFUNCTION("""COMPUTED_VALUE"""),"No")</f>
        <v>No</v>
      </c>
      <c r="M1415" s="30" t="str">
        <f ca="1">IFERROR(__xludf.DUMMYFUNCTION("""COMPUTED_VALUE"""),"58112040000")</f>
        <v>58112040000</v>
      </c>
      <c r="N1415" s="30" t="str">
        <f ca="1">IFERROR(__xludf.DUMMYFUNCTION("""COMPUTED_VALUE"""),"ZAPALA")</f>
        <v>ZAPALA</v>
      </c>
      <c r="O1415" s="30" t="str">
        <f ca="1">IFERROR(__xludf.DUMMYFUNCTION("""COMPUTED_VALUE"""),"58112")</f>
        <v>58112</v>
      </c>
      <c r="P1415" s="30" t="str">
        <f ca="1">IFERROR(__xludf.DUMMYFUNCTION("""COMPUTED_VALUE"""),"ZAPALA")</f>
        <v>ZAPALA</v>
      </c>
      <c r="Q1415" s="30" t="str">
        <f ca="1">IFERROR(__xludf.DUMMYFUNCTION("""COMPUTED_VALUE"""),"-38.89955379")</f>
        <v>-38.89955379</v>
      </c>
      <c r="R1415" s="30" t="str">
        <f ca="1">IFERROR(__xludf.DUMMYFUNCTION("""COMPUTED_VALUE"""),"-70.05319494")</f>
        <v>-70.05319494</v>
      </c>
      <c r="S1415" s="30" t="str">
        <f ca="1">IFERROR(__xludf.DUMMYFUNCTION("""COMPUTED_VALUE"""),"Provincial")</f>
        <v>Provincial</v>
      </c>
      <c r="T1415" s="30" t="str">
        <f ca="1">IFERROR(__xludf.DUMMYFUNCTION("""COMPUTED_VALUE"""),"-")</f>
        <v>-</v>
      </c>
    </row>
    <row r="1416" spans="1:20" ht="15.75" customHeight="1" x14ac:dyDescent="0.25">
      <c r="A1416" s="30" t="str">
        <f ca="1">IFERROR(__xludf.DUMMYFUNCTION("""COMPUTED_VALUE"""),"10580142167027")</f>
        <v>10580142167027</v>
      </c>
      <c r="B1416" s="30" t="str">
        <f ca="1">IFERROR(__xludf.DUMMYFUNCTION("""COMPUTED_VALUE"""),"HTAL SAN PATRICIO DEL CHAÑAR - DRA ALICIA CRUZ")</f>
        <v>HTAL SAN PATRICIO DEL CHAÑAR - DRA ALICIA CRUZ</v>
      </c>
      <c r="C1416" s="30" t="str">
        <f ca="1">IFERROR(__xludf.DUMMYFUNCTION("""COMPUTED_VALUE"""),"Neuquén")</f>
        <v>Neuquén</v>
      </c>
      <c r="D1416" s="30" t="str">
        <f ca="1">IFERROR(__xludf.DUMMYFUNCTION("""COMPUTED_VALUE"""),"58")</f>
        <v>58</v>
      </c>
      <c r="E1416" s="30" t="str">
        <f ca="1">IFERROR(__xludf.DUMMYFUNCTION("""COMPUTED_VALUE"""),"")</f>
        <v/>
      </c>
      <c r="F1416" s="29"/>
      <c r="G1416" s="29"/>
      <c r="H1416" s="30" t="str">
        <f ca="1">IFERROR(__xludf.DUMMYFUNCTION("""COMPUTED_VALUE"""),"activo")</f>
        <v>activo</v>
      </c>
      <c r="I1416" s="29"/>
      <c r="J1416" s="29"/>
      <c r="K1416" s="29"/>
      <c r="L1416" s="30" t="str">
        <f ca="1">IFERROR(__xludf.DUMMYFUNCTION("""COMPUTED_VALUE"""),"No")</f>
        <v>No</v>
      </c>
      <c r="M1416" s="30" t="str">
        <f ca="1">IFERROR(__xludf.DUMMYFUNCTION("""COMPUTED_VALUE"""),"58014020000")</f>
        <v>58014020000</v>
      </c>
      <c r="N1416" s="30" t="str">
        <f ca="1">IFERROR(__xludf.DUMMYFUNCTION("""COMPUTED_VALUE"""),"SAN PATRICIO DEL CHAÑAR")</f>
        <v>SAN PATRICIO DEL CHAÑAR</v>
      </c>
      <c r="O1416" s="30" t="str">
        <f ca="1">IFERROR(__xludf.DUMMYFUNCTION("""COMPUTED_VALUE"""),"5814")</f>
        <v>5814</v>
      </c>
      <c r="P1416" s="30" t="str">
        <f ca="1">IFERROR(__xludf.DUMMYFUNCTION("""COMPUTED_VALUE"""),"AÑELO")</f>
        <v>AÑELO</v>
      </c>
      <c r="Q1416" s="30" t="str">
        <f ca="1">IFERROR(__xludf.DUMMYFUNCTION("""COMPUTED_VALUE"""),"-38.62979111")</f>
        <v>-38.62979111</v>
      </c>
      <c r="R1416" s="30" t="str">
        <f ca="1">IFERROR(__xludf.DUMMYFUNCTION("""COMPUTED_VALUE"""),"-68.29614482")</f>
        <v>-68.29614482</v>
      </c>
      <c r="S1416" s="30" t="str">
        <f ca="1">IFERROR(__xludf.DUMMYFUNCTION("""COMPUTED_VALUE"""),"Provincial")</f>
        <v>Provincial</v>
      </c>
      <c r="T1416" s="30" t="str">
        <f ca="1">IFERROR(__xludf.DUMMYFUNCTION("""COMPUTED_VALUE"""),"-")</f>
        <v>-</v>
      </c>
    </row>
    <row r="1417" spans="1:20" ht="15.75" customHeight="1" x14ac:dyDescent="0.25">
      <c r="A1417" s="30" t="str">
        <f ca="1">IFERROR(__xludf.DUMMYFUNCTION("""COMPUTED_VALUE"""),"50580352167067")</f>
        <v>50580352167067</v>
      </c>
      <c r="B1417" s="30" t="str">
        <f ca="1">IFERROR(__xludf.DUMMYFUNCTION("""COMPUTED_VALUE"""),"CENTRO DE SALUD BARRIO OTAÑO - CAPS -")</f>
        <v>CENTRO DE SALUD BARRIO OTAÑO - CAPS -</v>
      </c>
      <c r="C1417" s="30" t="str">
        <f ca="1">IFERROR(__xludf.DUMMYFUNCTION("""COMPUTED_VALUE"""),"Neuquén")</f>
        <v>Neuquén</v>
      </c>
      <c r="D1417" s="30" t="str">
        <f ca="1">IFERROR(__xludf.DUMMYFUNCTION("""COMPUTED_VALUE"""),"58")</f>
        <v>58</v>
      </c>
      <c r="E1417" s="30" t="str">
        <f ca="1">IFERROR(__xludf.DUMMYFUNCTION("""COMPUTED_VALUE"""),"")</f>
        <v/>
      </c>
      <c r="F1417" s="29"/>
      <c r="G1417" s="29"/>
      <c r="H1417" s="30" t="str">
        <f ca="1">IFERROR(__xludf.DUMMYFUNCTION("""COMPUTED_VALUE"""),"activo")</f>
        <v>activo</v>
      </c>
      <c r="I1417" s="29"/>
      <c r="J1417" s="29"/>
      <c r="K1417" s="29"/>
      <c r="L1417" s="30" t="str">
        <f ca="1">IFERROR(__xludf.DUMMYFUNCTION("""COMPUTED_VALUE"""),"No")</f>
        <v>No</v>
      </c>
      <c r="M1417" s="30" t="str">
        <f ca="1">IFERROR(__xludf.DUMMYFUNCTION("""COMPUTED_VALUE"""),"58035090000")</f>
        <v>58035090000</v>
      </c>
      <c r="N1417" s="30" t="str">
        <f ca="1">IFERROR(__xludf.DUMMYFUNCTION("""COMPUTED_VALUE"""),"PLAZA HUINCUL")</f>
        <v>PLAZA HUINCUL</v>
      </c>
      <c r="O1417" s="30" t="str">
        <f ca="1">IFERROR(__xludf.DUMMYFUNCTION("""COMPUTED_VALUE"""),"5835")</f>
        <v>5835</v>
      </c>
      <c r="P1417" s="30" t="str">
        <f ca="1">IFERROR(__xludf.DUMMYFUNCTION("""COMPUTED_VALUE"""),"CONFLUENCIA")</f>
        <v>CONFLUENCIA</v>
      </c>
      <c r="Q1417" s="30" t="str">
        <f ca="1">IFERROR(__xludf.DUMMYFUNCTION("""COMPUTED_VALUE"""),"-38.9382444")</f>
        <v>-38.9382444</v>
      </c>
      <c r="R1417" s="30" t="str">
        <f ca="1">IFERROR(__xludf.DUMMYFUNCTION("""COMPUTED_VALUE"""),"-69.1897339")</f>
        <v>-69.1897339</v>
      </c>
      <c r="S1417" s="30" t="str">
        <f ca="1">IFERROR(__xludf.DUMMYFUNCTION("""COMPUTED_VALUE"""),"Provincial")</f>
        <v>Provincial</v>
      </c>
      <c r="T1417" s="30" t="str">
        <f ca="1">IFERROR(__xludf.DUMMYFUNCTION("""COMPUTED_VALUE"""),"-")</f>
        <v>-</v>
      </c>
    </row>
    <row r="1418" spans="1:20" ht="15.75" customHeight="1" x14ac:dyDescent="0.25">
      <c r="A1418" s="30" t="str">
        <f ca="1">IFERROR(__xludf.DUMMYFUNCTION("""COMPUTED_VALUE"""),"50580562167117")</f>
        <v>50580562167117</v>
      </c>
      <c r="B1418" s="30" t="str">
        <f ca="1">IFERROR(__xludf.DUMMYFUNCTION("""COMPUTED_VALUE"""),"CENTRO DE SALUD TIRO FEDERAL")</f>
        <v>CENTRO DE SALUD TIRO FEDERAL</v>
      </c>
      <c r="C1418" s="30" t="str">
        <f ca="1">IFERROR(__xludf.DUMMYFUNCTION("""COMPUTED_VALUE"""),"Neuquén")</f>
        <v>Neuquén</v>
      </c>
      <c r="D1418" s="30" t="str">
        <f ca="1">IFERROR(__xludf.DUMMYFUNCTION("""COMPUTED_VALUE"""),"58")</f>
        <v>58</v>
      </c>
      <c r="E1418" s="30" t="str">
        <f ca="1">IFERROR(__xludf.DUMMYFUNCTION("""COMPUTED_VALUE"""),"")</f>
        <v/>
      </c>
      <c r="F1418" s="29"/>
      <c r="G1418" s="29"/>
      <c r="H1418" s="30" t="str">
        <f ca="1">IFERROR(__xludf.DUMMYFUNCTION("""COMPUTED_VALUE"""),"activo")</f>
        <v>activo</v>
      </c>
      <c r="I1418" s="29"/>
      <c r="J1418" s="29"/>
      <c r="K1418" s="29"/>
      <c r="L1418" s="30" t="str">
        <f ca="1">IFERROR(__xludf.DUMMYFUNCTION("""COMPUTED_VALUE"""),"No")</f>
        <v>No</v>
      </c>
      <c r="M1418" s="30" t="str">
        <f ca="1">IFERROR(__xludf.DUMMYFUNCTION("""COMPUTED_VALUE"""),"58056010000")</f>
        <v>58056010000</v>
      </c>
      <c r="N1418" s="30" t="str">
        <f ca="1">IFERROR(__xludf.DUMMYFUNCTION("""COMPUTED_VALUE"""),"SAN MARTIN DE LOS ANDES")</f>
        <v>SAN MARTIN DE LOS ANDES</v>
      </c>
      <c r="O1418" s="30" t="str">
        <f ca="1">IFERROR(__xludf.DUMMYFUNCTION("""COMPUTED_VALUE"""),"5856")</f>
        <v>5856</v>
      </c>
      <c r="P1418" s="30" t="str">
        <f ca="1">IFERROR(__xludf.DUMMYFUNCTION("""COMPUTED_VALUE"""),"LÁCAR")</f>
        <v>LÁCAR</v>
      </c>
      <c r="Q1418" s="30" t="str">
        <f ca="1">IFERROR(__xludf.DUMMYFUNCTION("""COMPUTED_VALUE"""),"-40.15015052")</f>
        <v>-40.15015052</v>
      </c>
      <c r="R1418" s="30" t="str">
        <f ca="1">IFERROR(__xludf.DUMMYFUNCTION("""COMPUTED_VALUE"""),"-71.35595176")</f>
        <v>-71.35595176</v>
      </c>
      <c r="S1418" s="30" t="str">
        <f ca="1">IFERROR(__xludf.DUMMYFUNCTION("""COMPUTED_VALUE"""),"Provincial")</f>
        <v>Provincial</v>
      </c>
      <c r="T1418" s="30" t="str">
        <f ca="1">IFERROR(__xludf.DUMMYFUNCTION("""COMPUTED_VALUE"""),"-")</f>
        <v>-</v>
      </c>
    </row>
    <row r="1419" spans="1:20" ht="15.75" customHeight="1" x14ac:dyDescent="0.25">
      <c r="A1419" s="30" t="str">
        <f ca="1">IFERROR(__xludf.DUMMYFUNCTION("""COMPUTED_VALUE"""),"50580912167075")</f>
        <v>50580912167075</v>
      </c>
      <c r="B1419" s="30" t="str">
        <f ca="1">IFERROR(__xludf.DUMMYFUNCTION("""COMPUTED_VALUE"""),"CENTRO DE SALUD BARRANCAS")</f>
        <v>CENTRO DE SALUD BARRANCAS</v>
      </c>
      <c r="C1419" s="30" t="str">
        <f ca="1">IFERROR(__xludf.DUMMYFUNCTION("""COMPUTED_VALUE"""),"Neuquén")</f>
        <v>Neuquén</v>
      </c>
      <c r="D1419" s="30" t="str">
        <f ca="1">IFERROR(__xludf.DUMMYFUNCTION("""COMPUTED_VALUE"""),"58")</f>
        <v>58</v>
      </c>
      <c r="E1419" s="30" t="str">
        <f ca="1">IFERROR(__xludf.DUMMYFUNCTION("""COMPUTED_VALUE"""),"")</f>
        <v/>
      </c>
      <c r="F1419" s="29"/>
      <c r="G1419" s="30" t="str">
        <f ca="1">IFERROR(__xludf.DUMMYFUNCTION("""COMPUTED_VALUE"""),"50580352167230")</f>
        <v>50580352167230</v>
      </c>
      <c r="H1419" s="30" t="str">
        <f ca="1">IFERROR(__xludf.DUMMYFUNCTION("""COMPUTED_VALUE"""),"inactivo")</f>
        <v>inactivo</v>
      </c>
      <c r="I1419" s="29"/>
      <c r="J1419" s="29"/>
      <c r="K1419" s="29"/>
      <c r="L1419" s="30" t="str">
        <f ca="1">IFERROR(__xludf.DUMMYFUNCTION("""COMPUTED_VALUE"""),"No")</f>
        <v>No</v>
      </c>
      <c r="M1419" s="30" t="str">
        <f ca="1">IFERROR(__xludf.DUMMYFUNCTION("""COMPUTED_VALUE"""),"58091010000")</f>
        <v>58091010000</v>
      </c>
      <c r="N1419" s="30" t="str">
        <f ca="1">IFERROR(__xludf.DUMMYFUNCTION("""COMPUTED_VALUE"""),"BARRANCAS")</f>
        <v>BARRANCAS</v>
      </c>
      <c r="O1419" s="30" t="str">
        <f ca="1">IFERROR(__xludf.DUMMYFUNCTION("""COMPUTED_VALUE"""),"5891")</f>
        <v>5891</v>
      </c>
      <c r="P1419" s="30" t="str">
        <f ca="1">IFERROR(__xludf.DUMMYFUNCTION("""COMPUTED_VALUE"""),"PEHUENCHES")</f>
        <v>PEHUENCHES</v>
      </c>
      <c r="Q1419" s="30" t="str">
        <f ca="1">IFERROR(__xludf.DUMMYFUNCTION("""COMPUTED_VALUE"""),"-36.822669")</f>
        <v>-36.822669</v>
      </c>
      <c r="R1419" s="30" t="str">
        <f ca="1">IFERROR(__xludf.DUMMYFUNCTION("""COMPUTED_VALUE"""),"-69.916467")</f>
        <v>-69.916467</v>
      </c>
      <c r="S1419" s="30" t="str">
        <f ca="1">IFERROR(__xludf.DUMMYFUNCTION("""COMPUTED_VALUE"""),"Provincial")</f>
        <v>Provincial</v>
      </c>
      <c r="T1419" s="30" t="str">
        <f ca="1">IFERROR(__xludf.DUMMYFUNCTION("""COMPUTED_VALUE"""),"-")</f>
        <v>-</v>
      </c>
    </row>
    <row r="1420" spans="1:20" ht="15.75" customHeight="1" x14ac:dyDescent="0.25">
      <c r="A1420" s="30" t="str">
        <f ca="1">IFERROR(__xludf.DUMMYFUNCTION("""COMPUTED_VALUE"""),"50580352167230")</f>
        <v>50580352167230</v>
      </c>
      <c r="B1420" s="30" t="str">
        <f ca="1">IFERROR(__xludf.DUMMYFUNCTION("""COMPUTED_VALUE"""),"CENTRO DE SALUD ALMAFUERTE")</f>
        <v>CENTRO DE SALUD ALMAFUERTE</v>
      </c>
      <c r="C1420" s="30" t="str">
        <f ca="1">IFERROR(__xludf.DUMMYFUNCTION("""COMPUTED_VALUE"""),"Neuquén")</f>
        <v>Neuquén</v>
      </c>
      <c r="D1420" s="30" t="str">
        <f ca="1">IFERROR(__xludf.DUMMYFUNCTION("""COMPUTED_VALUE"""),"58")</f>
        <v>58</v>
      </c>
      <c r="E1420" s="30" t="str">
        <f ca="1">IFERROR(__xludf.DUMMYFUNCTION("""COMPUTED_VALUE"""),"si")</f>
        <v>si</v>
      </c>
      <c r="F1420" s="30" t="str">
        <f ca="1">IFERROR(__xludf.DUMMYFUNCTION("""COMPUTED_VALUE"""),"50580912167075")</f>
        <v>50580912167075</v>
      </c>
      <c r="G1420" s="29"/>
      <c r="H1420" s="30" t="str">
        <f ca="1">IFERROR(__xludf.DUMMYFUNCTION("""COMPUTED_VALUE"""),"activo")</f>
        <v>activo</v>
      </c>
      <c r="I1420" s="29"/>
      <c r="J1420" s="29"/>
      <c r="K1420" s="29"/>
      <c r="L1420" s="30" t="str">
        <f ca="1">IFERROR(__xludf.DUMMYFUNCTION("""COMPUTED_VALUE"""),"No")</f>
        <v>No</v>
      </c>
      <c r="M1420" s="30" t="str">
        <f ca="1">IFERROR(__xludf.DUMMYFUNCTION("""COMPUTED_VALUE"""),"58035070000")</f>
        <v>58035070000</v>
      </c>
      <c r="N1420" s="30" t="str">
        <f ca="1">IFERROR(__xludf.DUMMYFUNCTION("""COMPUTED_VALUE"""),"NEUQUEN")</f>
        <v>NEUQUEN</v>
      </c>
      <c r="O1420" s="30" t="str">
        <f ca="1">IFERROR(__xludf.DUMMYFUNCTION("""COMPUTED_VALUE"""),"5835")</f>
        <v>5835</v>
      </c>
      <c r="P1420" s="30" t="str">
        <f ca="1">IFERROR(__xludf.DUMMYFUNCTION("""COMPUTED_VALUE"""),"CONFLUENCIA")</f>
        <v>CONFLUENCIA</v>
      </c>
      <c r="Q1420" s="30" t="str">
        <f ca="1">IFERROR(__xludf.DUMMYFUNCTION("""COMPUTED_VALUE"""),"-38.93021197")</f>
        <v>-38.93021197</v>
      </c>
      <c r="R1420" s="30" t="str">
        <f ca="1">IFERROR(__xludf.DUMMYFUNCTION("""COMPUTED_VALUE"""),"-68.14702766")</f>
        <v>-68.14702766</v>
      </c>
      <c r="S1420" s="30" t="str">
        <f ca="1">IFERROR(__xludf.DUMMYFUNCTION("""COMPUTED_VALUE"""),"Provincial")</f>
        <v>Provincial</v>
      </c>
      <c r="T1420" s="30" t="str">
        <f ca="1">IFERROR(__xludf.DUMMYFUNCTION("""COMPUTED_VALUE"""),"-")</f>
        <v>-</v>
      </c>
    </row>
    <row r="1421" spans="1:20" ht="15.75" customHeight="1" x14ac:dyDescent="0.25">
      <c r="A1421" s="30" t="str">
        <f ca="1">IFERROR(__xludf.DUMMYFUNCTION("""COMPUTED_VALUE"""),"50581122167074")</f>
        <v>50581122167074</v>
      </c>
      <c r="B1421" s="30" t="str">
        <f ca="1">IFERROR(__xludf.DUMMYFUNCTION("""COMPUTED_VALUE"""),"CENTRO DE SALUD BARRIO 582 VIVIENDAS")</f>
        <v>CENTRO DE SALUD BARRIO 582 VIVIENDAS</v>
      </c>
      <c r="C1421" s="30" t="str">
        <f ca="1">IFERROR(__xludf.DUMMYFUNCTION("""COMPUTED_VALUE"""),"Neuquén")</f>
        <v>Neuquén</v>
      </c>
      <c r="D1421" s="30" t="str">
        <f ca="1">IFERROR(__xludf.DUMMYFUNCTION("""COMPUTED_VALUE"""),"58")</f>
        <v>58</v>
      </c>
      <c r="E1421" s="30" t="str">
        <f ca="1">IFERROR(__xludf.DUMMYFUNCTION("""COMPUTED_VALUE"""),"")</f>
        <v/>
      </c>
      <c r="F1421" s="29"/>
      <c r="G1421" s="29"/>
      <c r="H1421" s="30" t="str">
        <f ca="1">IFERROR(__xludf.DUMMYFUNCTION("""COMPUTED_VALUE"""),"activo")</f>
        <v>activo</v>
      </c>
      <c r="I1421" s="29"/>
      <c r="J1421" s="29"/>
      <c r="K1421" s="29"/>
      <c r="L1421" s="30" t="str">
        <f ca="1">IFERROR(__xludf.DUMMYFUNCTION("""COMPUTED_VALUE"""),"No")</f>
        <v>No</v>
      </c>
      <c r="M1421" s="30" t="str">
        <f ca="1">IFERROR(__xludf.DUMMYFUNCTION("""COMPUTED_VALUE"""),"58112040000")</f>
        <v>58112040000</v>
      </c>
      <c r="N1421" s="30" t="str">
        <f ca="1">IFERROR(__xludf.DUMMYFUNCTION("""COMPUTED_VALUE"""),"ZAPALA")</f>
        <v>ZAPALA</v>
      </c>
      <c r="O1421" s="30" t="str">
        <f ca="1">IFERROR(__xludf.DUMMYFUNCTION("""COMPUTED_VALUE"""),"58112")</f>
        <v>58112</v>
      </c>
      <c r="P1421" s="30" t="str">
        <f ca="1">IFERROR(__xludf.DUMMYFUNCTION("""COMPUTED_VALUE"""),"ZAPALA")</f>
        <v>ZAPALA</v>
      </c>
      <c r="Q1421" s="30" t="str">
        <f ca="1">IFERROR(__xludf.DUMMYFUNCTION("""COMPUTED_VALUE"""),"-38.89802081")</f>
        <v>-38.89802081</v>
      </c>
      <c r="R1421" s="30" t="str">
        <f ca="1">IFERROR(__xludf.DUMMYFUNCTION("""COMPUTED_VALUE"""),"-70.07629295")</f>
        <v>-70.07629295</v>
      </c>
      <c r="S1421" s="30" t="str">
        <f ca="1">IFERROR(__xludf.DUMMYFUNCTION("""COMPUTED_VALUE"""),"Provincial")</f>
        <v>Provincial</v>
      </c>
      <c r="T1421" s="30" t="str">
        <f ca="1">IFERROR(__xludf.DUMMYFUNCTION("""COMPUTED_VALUE"""),"-")</f>
        <v>-</v>
      </c>
    </row>
    <row r="1422" spans="1:20" ht="15.75" customHeight="1" x14ac:dyDescent="0.25">
      <c r="A1422" s="30" t="str">
        <f ca="1">IFERROR(__xludf.DUMMYFUNCTION("""COMPUTED_VALUE"""),"10581052167020")</f>
        <v>10581052167020</v>
      </c>
      <c r="B1422" s="30" t="str">
        <f ca="1">IFERROR(__xludf.DUMMYFUNCTION("""COMPUTED_VALUE"""),"HTAL LAS LAJAS - DR JOSE VENIER")</f>
        <v>HTAL LAS LAJAS - DR JOSE VENIER</v>
      </c>
      <c r="C1422" s="30" t="str">
        <f ca="1">IFERROR(__xludf.DUMMYFUNCTION("""COMPUTED_VALUE"""),"Neuquén")</f>
        <v>Neuquén</v>
      </c>
      <c r="D1422" s="30" t="str">
        <f ca="1">IFERROR(__xludf.DUMMYFUNCTION("""COMPUTED_VALUE"""),"58")</f>
        <v>58</v>
      </c>
      <c r="E1422" s="30" t="str">
        <f ca="1">IFERROR(__xludf.DUMMYFUNCTION("""COMPUTED_VALUE"""),"si")</f>
        <v>si</v>
      </c>
      <c r="F1422" s="29"/>
      <c r="G1422" s="29"/>
      <c r="H1422" s="30" t="str">
        <f ca="1">IFERROR(__xludf.DUMMYFUNCTION("""COMPUTED_VALUE"""),"activo")</f>
        <v>activo</v>
      </c>
      <c r="I1422" s="29"/>
      <c r="J1422" s="29"/>
      <c r="K1422" s="29"/>
      <c r="L1422" s="30" t="str">
        <f ca="1">IFERROR(__xludf.DUMMYFUNCTION("""COMPUTED_VALUE"""),"No")</f>
        <v>No</v>
      </c>
      <c r="M1422" s="30" t="str">
        <f ca="1">IFERROR(__xludf.DUMMYFUNCTION("""COMPUTED_VALUE"""),"58105030000")</f>
        <v>58105030000</v>
      </c>
      <c r="N1422" s="30" t="str">
        <f ca="1">IFERROR(__xludf.DUMMYFUNCTION("""COMPUTED_VALUE"""),"LAS LAJAS")</f>
        <v>LAS LAJAS</v>
      </c>
      <c r="O1422" s="30" t="str">
        <f ca="1">IFERROR(__xludf.DUMMYFUNCTION("""COMPUTED_VALUE"""),"58105")</f>
        <v>58105</v>
      </c>
      <c r="P1422" s="30" t="str">
        <f ca="1">IFERROR(__xludf.DUMMYFUNCTION("""COMPUTED_VALUE"""),"PICUNCHES")</f>
        <v>PICUNCHES</v>
      </c>
      <c r="Q1422" s="30" t="str">
        <f ca="1">IFERROR(__xludf.DUMMYFUNCTION("""COMPUTED_VALUE"""),"-38.522727")</f>
        <v>-38.522727</v>
      </c>
      <c r="R1422" s="30" t="str">
        <f ca="1">IFERROR(__xludf.DUMMYFUNCTION("""COMPUTED_VALUE"""),"-70.362722")</f>
        <v>-70.362722</v>
      </c>
      <c r="S1422" s="30" t="str">
        <f ca="1">IFERROR(__xludf.DUMMYFUNCTION("""COMPUTED_VALUE"""),"Provincial")</f>
        <v>Provincial</v>
      </c>
      <c r="T1422" s="30" t="str">
        <f ca="1">IFERROR(__xludf.DUMMYFUNCTION("""COMPUTED_VALUE"""),"-")</f>
        <v>-</v>
      </c>
    </row>
    <row r="1423" spans="1:20" ht="15.75" customHeight="1" x14ac:dyDescent="0.25">
      <c r="A1423" s="30" t="str">
        <f ca="1">IFERROR(__xludf.DUMMYFUNCTION("""COMPUTED_VALUE"""),"50580352167083")</f>
        <v>50580352167083</v>
      </c>
      <c r="B1423" s="30" t="str">
        <f ca="1">IFERROR(__xludf.DUMMYFUNCTION("""COMPUTED_VALUE"""),"CENTRO DE SALUD CONFLUENCIA")</f>
        <v>CENTRO DE SALUD CONFLUENCIA</v>
      </c>
      <c r="C1423" s="30" t="str">
        <f ca="1">IFERROR(__xludf.DUMMYFUNCTION("""COMPUTED_VALUE"""),"Neuquén")</f>
        <v>Neuquén</v>
      </c>
      <c r="D1423" s="30" t="str">
        <f ca="1">IFERROR(__xludf.DUMMYFUNCTION("""COMPUTED_VALUE"""),"58")</f>
        <v>58</v>
      </c>
      <c r="E1423" s="30" t="str">
        <f ca="1">IFERROR(__xludf.DUMMYFUNCTION("""COMPUTED_VALUE"""),"")</f>
        <v/>
      </c>
      <c r="F1423" s="30" t="str">
        <f ca="1">IFERROR(__xludf.DUMMYFUNCTION("""COMPUTED_VALUE"""),"10580632167022")</f>
        <v>10580632167022</v>
      </c>
      <c r="G1423" s="29"/>
      <c r="H1423" s="30" t="str">
        <f ca="1">IFERROR(__xludf.DUMMYFUNCTION("""COMPUTED_VALUE"""),"activo")</f>
        <v>activo</v>
      </c>
      <c r="I1423" s="29"/>
      <c r="J1423" s="29"/>
      <c r="K1423" s="29"/>
      <c r="L1423" s="30" t="str">
        <f ca="1">IFERROR(__xludf.DUMMYFUNCTION("""COMPUTED_VALUE"""),"No")</f>
        <v>No</v>
      </c>
      <c r="M1423" s="30" t="str">
        <f ca="1">IFERROR(__xludf.DUMMYFUNCTION("""COMPUTED_VALUE"""),"58035070000")</f>
        <v>58035070000</v>
      </c>
      <c r="N1423" s="30" t="str">
        <f ca="1">IFERROR(__xludf.DUMMYFUNCTION("""COMPUTED_VALUE"""),"NEUQUEN")</f>
        <v>NEUQUEN</v>
      </c>
      <c r="O1423" s="30" t="str">
        <f ca="1">IFERROR(__xludf.DUMMYFUNCTION("""COMPUTED_VALUE"""),"5835")</f>
        <v>5835</v>
      </c>
      <c r="P1423" s="30" t="str">
        <f ca="1">IFERROR(__xludf.DUMMYFUNCTION("""COMPUTED_VALUE"""),"CONFLUENCIA")</f>
        <v>CONFLUENCIA</v>
      </c>
      <c r="Q1423" s="30" t="str">
        <f ca="1">IFERROR(__xludf.DUMMYFUNCTION("""COMPUTED_VALUE"""),"-38.96164491")</f>
        <v>-38.96164491</v>
      </c>
      <c r="R1423" s="30" t="str">
        <f ca="1">IFERROR(__xludf.DUMMYFUNCTION("""COMPUTED_VALUE"""),"-68.03278125")</f>
        <v>-68.03278125</v>
      </c>
      <c r="S1423" s="30" t="str">
        <f ca="1">IFERROR(__xludf.DUMMYFUNCTION("""COMPUTED_VALUE"""),"Provincial")</f>
        <v>Provincial</v>
      </c>
      <c r="T1423" s="30" t="str">
        <f ca="1">IFERROR(__xludf.DUMMYFUNCTION("""COMPUTED_VALUE"""),"-")</f>
        <v>-</v>
      </c>
    </row>
    <row r="1424" spans="1:20" ht="15.75" customHeight="1" x14ac:dyDescent="0.25">
      <c r="A1424" s="30" t="str">
        <f ca="1">IFERROR(__xludf.DUMMYFUNCTION("""COMPUTED_VALUE"""),"10580632167022")</f>
        <v>10580632167022</v>
      </c>
      <c r="B1424" s="30" t="str">
        <f ca="1">IFERROR(__xludf.DUMMYFUNCTION("""COMPUTED_VALUE"""),"HTAL LONCOPUE - DR JOSE CUEVAS")</f>
        <v>HTAL LONCOPUE - DR JOSE CUEVAS</v>
      </c>
      <c r="C1424" s="30" t="str">
        <f ca="1">IFERROR(__xludf.DUMMYFUNCTION("""COMPUTED_VALUE"""),"Neuquén")</f>
        <v>Neuquén</v>
      </c>
      <c r="D1424" s="30" t="str">
        <f ca="1">IFERROR(__xludf.DUMMYFUNCTION("""COMPUTED_VALUE"""),"58")</f>
        <v>58</v>
      </c>
      <c r="E1424" s="30" t="str">
        <f ca="1">IFERROR(__xludf.DUMMYFUNCTION("""COMPUTED_VALUE"""),"si")</f>
        <v>si</v>
      </c>
      <c r="F1424" s="29"/>
      <c r="G1424" s="30" t="str">
        <f ca="1">IFERROR(__xludf.DUMMYFUNCTION("""COMPUTED_VALUE"""),"50580352167083")</f>
        <v>50580352167083</v>
      </c>
      <c r="H1424" s="30" t="str">
        <f ca="1">IFERROR(__xludf.DUMMYFUNCTION("""COMPUTED_VALUE"""),"inactivo")</f>
        <v>inactivo</v>
      </c>
      <c r="I1424" s="29"/>
      <c r="J1424" s="29"/>
      <c r="K1424" s="29"/>
      <c r="L1424" s="30" t="str">
        <f ca="1">IFERROR(__xludf.DUMMYFUNCTION("""COMPUTED_VALUE"""),"No")</f>
        <v>No</v>
      </c>
      <c r="M1424" s="30" t="str">
        <f ca="1">IFERROR(__xludf.DUMMYFUNCTION("""COMPUTED_VALUE"""),"58063020000")</f>
        <v>58063020000</v>
      </c>
      <c r="N1424" s="30" t="str">
        <f ca="1">IFERROR(__xludf.DUMMYFUNCTION("""COMPUTED_VALUE"""),"LONCOPUE")</f>
        <v>LONCOPUE</v>
      </c>
      <c r="O1424" s="30" t="str">
        <f ca="1">IFERROR(__xludf.DUMMYFUNCTION("""COMPUTED_VALUE"""),"5863")</f>
        <v>5863</v>
      </c>
      <c r="P1424" s="30" t="str">
        <f ca="1">IFERROR(__xludf.DUMMYFUNCTION("""COMPUTED_VALUE"""),"LONCOPUÉ")</f>
        <v>LONCOPUÉ</v>
      </c>
      <c r="Q1424" s="30" t="str">
        <f ca="1">IFERROR(__xludf.DUMMYFUNCTION("""COMPUTED_VALUE"""),"-38.07073059")</f>
        <v>-38.07073059</v>
      </c>
      <c r="R1424" s="30" t="str">
        <f ca="1">IFERROR(__xludf.DUMMYFUNCTION("""COMPUTED_VALUE"""),"-70.6155467")</f>
        <v>-70.6155467</v>
      </c>
      <c r="S1424" s="30" t="str">
        <f ca="1">IFERROR(__xludf.DUMMYFUNCTION("""COMPUTED_VALUE"""),"Provincial")</f>
        <v>Provincial</v>
      </c>
      <c r="T1424" s="30" t="str">
        <f ca="1">IFERROR(__xludf.DUMMYFUNCTION("""COMPUTED_VALUE"""),"-")</f>
        <v>-</v>
      </c>
    </row>
    <row r="1425" spans="1:20" ht="15.75" customHeight="1" x14ac:dyDescent="0.25">
      <c r="A1425" s="30" t="str">
        <f ca="1">IFERROR(__xludf.DUMMYFUNCTION("""COMPUTED_VALUE"""),"50580352167122")</f>
        <v>50580352167122</v>
      </c>
      <c r="B1425" s="30" t="str">
        <f ca="1">IFERROR(__xludf.DUMMYFUNCTION("""COMPUTED_VALUE"""),"CENTRO DE SALUD VALENTINA SUR")</f>
        <v>CENTRO DE SALUD VALENTINA SUR</v>
      </c>
      <c r="C1425" s="30" t="str">
        <f ca="1">IFERROR(__xludf.DUMMYFUNCTION("""COMPUTED_VALUE"""),"Neuquén")</f>
        <v>Neuquén</v>
      </c>
      <c r="D1425" s="30" t="str">
        <f ca="1">IFERROR(__xludf.DUMMYFUNCTION("""COMPUTED_VALUE"""),"58")</f>
        <v>58</v>
      </c>
      <c r="E1425" s="30" t="str">
        <f ca="1">IFERROR(__xludf.DUMMYFUNCTION("""COMPUTED_VALUE"""),"si")</f>
        <v>si</v>
      </c>
      <c r="F1425" s="30" t="str">
        <f ca="1">IFERROR(__xludf.DUMMYFUNCTION("""COMPUTED_VALUE"""),"50580422167055")</f>
        <v>50580422167055</v>
      </c>
      <c r="G1425" s="29"/>
      <c r="H1425" s="30" t="str">
        <f ca="1">IFERROR(__xludf.DUMMYFUNCTION("""COMPUTED_VALUE"""),"activo")</f>
        <v>activo</v>
      </c>
      <c r="I1425" s="29"/>
      <c r="J1425" s="29"/>
      <c r="K1425" s="29"/>
      <c r="L1425" s="30" t="str">
        <f ca="1">IFERROR(__xludf.DUMMYFUNCTION("""COMPUTED_VALUE"""),"No")</f>
        <v>No</v>
      </c>
      <c r="M1425" s="30" t="str">
        <f ca="1">IFERROR(__xludf.DUMMYFUNCTION("""COMPUTED_VALUE"""),"58035070000")</f>
        <v>58035070000</v>
      </c>
      <c r="N1425" s="30" t="str">
        <f ca="1">IFERROR(__xludf.DUMMYFUNCTION("""COMPUTED_VALUE"""),"NEUQUEN")</f>
        <v>NEUQUEN</v>
      </c>
      <c r="O1425" s="30" t="str">
        <f ca="1">IFERROR(__xludf.DUMMYFUNCTION("""COMPUTED_VALUE"""),"5835")</f>
        <v>5835</v>
      </c>
      <c r="P1425" s="30" t="str">
        <f ca="1">IFERROR(__xludf.DUMMYFUNCTION("""COMPUTED_VALUE"""),"CONFLUENCIA")</f>
        <v>CONFLUENCIA</v>
      </c>
      <c r="Q1425" s="30" t="str">
        <f ca="1">IFERROR(__xludf.DUMMYFUNCTION("""COMPUTED_VALUE"""),"-38.96530244")</f>
        <v>-38.96530244</v>
      </c>
      <c r="R1425" s="30" t="str">
        <f ca="1">IFERROR(__xludf.DUMMYFUNCTION("""COMPUTED_VALUE"""),"-68.11826216")</f>
        <v>-68.11826216</v>
      </c>
      <c r="S1425" s="30" t="str">
        <f ca="1">IFERROR(__xludf.DUMMYFUNCTION("""COMPUTED_VALUE"""),"Provincial")</f>
        <v>Provincial</v>
      </c>
      <c r="T1425" s="30" t="str">
        <f ca="1">IFERROR(__xludf.DUMMYFUNCTION("""COMPUTED_VALUE"""),"-")</f>
        <v>-</v>
      </c>
    </row>
    <row r="1426" spans="1:20" ht="15.75" customHeight="1" x14ac:dyDescent="0.25">
      <c r="A1426" s="30" t="str">
        <f ca="1">IFERROR(__xludf.DUMMYFUNCTION("""COMPUTED_VALUE"""),"50580422167055")</f>
        <v>50580422167055</v>
      </c>
      <c r="B1426" s="30" t="str">
        <f ca="1">IFERROR(__xludf.DUMMYFUNCTION("""COMPUTED_VALUE"""),"CENTRO DE SALUD ALTA BARDA")</f>
        <v>CENTRO DE SALUD ALTA BARDA</v>
      </c>
      <c r="C1426" s="30" t="str">
        <f ca="1">IFERROR(__xludf.DUMMYFUNCTION("""COMPUTED_VALUE"""),"Neuquén")</f>
        <v>Neuquén</v>
      </c>
      <c r="D1426" s="30" t="str">
        <f ca="1">IFERROR(__xludf.DUMMYFUNCTION("""COMPUTED_VALUE"""),"58")</f>
        <v>58</v>
      </c>
      <c r="E1426" s="30" t="str">
        <f ca="1">IFERROR(__xludf.DUMMYFUNCTION("""COMPUTED_VALUE"""),"")</f>
        <v/>
      </c>
      <c r="F1426" s="29"/>
      <c r="G1426" s="30" t="str">
        <f ca="1">IFERROR(__xludf.DUMMYFUNCTION("""COMPUTED_VALUE"""),"50580352167122")</f>
        <v>50580352167122</v>
      </c>
      <c r="H1426" s="30" t="str">
        <f ca="1">IFERROR(__xludf.DUMMYFUNCTION("""COMPUTED_VALUE"""),"inactivo")</f>
        <v>inactivo</v>
      </c>
      <c r="I1426" s="29"/>
      <c r="J1426" s="29"/>
      <c r="K1426" s="29"/>
      <c r="L1426" s="30" t="str">
        <f ca="1">IFERROR(__xludf.DUMMYFUNCTION("""COMPUTED_VALUE"""),"No")</f>
        <v>No</v>
      </c>
      <c r="M1426" s="30" t="str">
        <f ca="1">IFERROR(__xludf.DUMMYFUNCTION("""COMPUTED_VALUE"""),"58042010000")</f>
        <v>58042010000</v>
      </c>
      <c r="N1426" s="30" t="str">
        <f ca="1">IFERROR(__xludf.DUMMYFUNCTION("""COMPUTED_VALUE"""),"CHOS MALAL")</f>
        <v>CHOS MALAL</v>
      </c>
      <c r="O1426" s="30" t="str">
        <f ca="1">IFERROR(__xludf.DUMMYFUNCTION("""COMPUTED_VALUE"""),"5842")</f>
        <v>5842</v>
      </c>
      <c r="P1426" s="30" t="str">
        <f ca="1">IFERROR(__xludf.DUMMYFUNCTION("""COMPUTED_VALUE"""),"CHOS MALAL")</f>
        <v>CHOS MALAL</v>
      </c>
      <c r="Q1426" s="30" t="str">
        <f ca="1">IFERROR(__xludf.DUMMYFUNCTION("""COMPUTED_VALUE"""),"-37.3612167")</f>
        <v>-37.3612167</v>
      </c>
      <c r="R1426" s="30" t="str">
        <f ca="1">IFERROR(__xludf.DUMMYFUNCTION("""COMPUTED_VALUE"""),"-70.2627501")</f>
        <v>-70.2627501</v>
      </c>
      <c r="S1426" s="30" t="str">
        <f ca="1">IFERROR(__xludf.DUMMYFUNCTION("""COMPUTED_VALUE"""),"Provincial")</f>
        <v>Provincial</v>
      </c>
      <c r="T1426" s="30" t="str">
        <f ca="1">IFERROR(__xludf.DUMMYFUNCTION("""COMPUTED_VALUE"""),"-")</f>
        <v>-</v>
      </c>
    </row>
    <row r="1427" spans="1:20" ht="15.75" customHeight="1" x14ac:dyDescent="0.25">
      <c r="A1427" s="30" t="str">
        <f ca="1">IFERROR(__xludf.DUMMYFUNCTION("""COMPUTED_VALUE"""),"50580422167120")</f>
        <v>50580422167120</v>
      </c>
      <c r="B1427" s="30" t="str">
        <f ca="1">IFERROR(__xludf.DUMMYFUNCTION("""COMPUTED_VALUE"""),"CENTRO DE SALUD URIBURU")</f>
        <v>CENTRO DE SALUD URIBURU</v>
      </c>
      <c r="C1427" s="30" t="str">
        <f ca="1">IFERROR(__xludf.DUMMYFUNCTION("""COMPUTED_VALUE"""),"Neuquén")</f>
        <v>Neuquén</v>
      </c>
      <c r="D1427" s="30" t="str">
        <f ca="1">IFERROR(__xludf.DUMMYFUNCTION("""COMPUTED_VALUE"""),"58")</f>
        <v>58</v>
      </c>
      <c r="E1427" s="30" t="str">
        <f ca="1">IFERROR(__xludf.DUMMYFUNCTION("""COMPUTED_VALUE"""),"")</f>
        <v/>
      </c>
      <c r="F1427" s="29"/>
      <c r="G1427" s="29"/>
      <c r="H1427" s="30" t="str">
        <f ca="1">IFERROR(__xludf.DUMMYFUNCTION("""COMPUTED_VALUE"""),"activo")</f>
        <v>activo</v>
      </c>
      <c r="I1427" s="29"/>
      <c r="J1427" s="29"/>
      <c r="K1427" s="29"/>
      <c r="L1427" s="30" t="str">
        <f ca="1">IFERROR(__xludf.DUMMYFUNCTION("""COMPUTED_VALUE"""),"No")</f>
        <v>No</v>
      </c>
      <c r="M1427" s="30" t="str">
        <f ca="1">IFERROR(__xludf.DUMMYFUNCTION("""COMPUTED_VALUE"""),"58042010000")</f>
        <v>58042010000</v>
      </c>
      <c r="N1427" s="30" t="str">
        <f ca="1">IFERROR(__xludf.DUMMYFUNCTION("""COMPUTED_VALUE"""),"CHOS MALAL")</f>
        <v>CHOS MALAL</v>
      </c>
      <c r="O1427" s="30" t="str">
        <f ca="1">IFERROR(__xludf.DUMMYFUNCTION("""COMPUTED_VALUE"""),"5842")</f>
        <v>5842</v>
      </c>
      <c r="P1427" s="30" t="str">
        <f ca="1">IFERROR(__xludf.DUMMYFUNCTION("""COMPUTED_VALUE"""),"CHOS MALAL")</f>
        <v>CHOS MALAL</v>
      </c>
      <c r="Q1427" s="30" t="str">
        <f ca="1">IFERROR(__xludf.DUMMYFUNCTION("""COMPUTED_VALUE"""),"-37.38107036")</f>
        <v>-37.38107036</v>
      </c>
      <c r="R1427" s="30" t="str">
        <f ca="1">IFERROR(__xludf.DUMMYFUNCTION("""COMPUTED_VALUE"""),"-70.26992798")</f>
        <v>-70.26992798</v>
      </c>
      <c r="S1427" s="30" t="str">
        <f ca="1">IFERROR(__xludf.DUMMYFUNCTION("""COMPUTED_VALUE"""),"Provincial")</f>
        <v>Provincial</v>
      </c>
      <c r="T1427" s="30" t="str">
        <f ca="1">IFERROR(__xludf.DUMMYFUNCTION("""COMPUTED_VALUE"""),"-")</f>
        <v>-</v>
      </c>
    </row>
    <row r="1428" spans="1:20" ht="15.75" customHeight="1" x14ac:dyDescent="0.25">
      <c r="A1428" s="30" t="str">
        <f ca="1">IFERROR(__xludf.DUMMYFUNCTION("""COMPUTED_VALUE"""),"50580562167080")</f>
        <v>50580562167080</v>
      </c>
      <c r="B1428" s="30" t="str">
        <f ca="1">IFERROR(__xludf.DUMMYFUNCTION("""COMPUTED_VALUE"""),"CENTRO DE SALUD CHACRA 30")</f>
        <v>CENTRO DE SALUD CHACRA 30</v>
      </c>
      <c r="C1428" s="30" t="str">
        <f ca="1">IFERROR(__xludf.DUMMYFUNCTION("""COMPUTED_VALUE"""),"Neuquén")</f>
        <v>Neuquén</v>
      </c>
      <c r="D1428" s="30" t="str">
        <f ca="1">IFERROR(__xludf.DUMMYFUNCTION("""COMPUTED_VALUE"""),"58")</f>
        <v>58</v>
      </c>
      <c r="E1428" s="30" t="str">
        <f ca="1">IFERROR(__xludf.DUMMYFUNCTION("""COMPUTED_VALUE"""),"si")</f>
        <v>si</v>
      </c>
      <c r="F1428" s="29"/>
      <c r="G1428" s="29"/>
      <c r="H1428" s="30" t="str">
        <f ca="1">IFERROR(__xludf.DUMMYFUNCTION("""COMPUTED_VALUE"""),"activo")</f>
        <v>activo</v>
      </c>
      <c r="I1428" s="29"/>
      <c r="J1428" s="29"/>
      <c r="K1428" s="29"/>
      <c r="L1428" s="30" t="str">
        <f ca="1">IFERROR(__xludf.DUMMYFUNCTION("""COMPUTED_VALUE"""),"No")</f>
        <v>No</v>
      </c>
      <c r="M1428" s="30" t="str">
        <f ca="1">IFERROR(__xludf.DUMMYFUNCTION("""COMPUTED_VALUE"""),"58056010000")</f>
        <v>58056010000</v>
      </c>
      <c r="N1428" s="30" t="str">
        <f ca="1">IFERROR(__xludf.DUMMYFUNCTION("""COMPUTED_VALUE"""),"SAN MARTIN DE LOS ANDES")</f>
        <v>SAN MARTIN DE LOS ANDES</v>
      </c>
      <c r="O1428" s="30" t="str">
        <f ca="1">IFERROR(__xludf.DUMMYFUNCTION("""COMPUTED_VALUE"""),"5856")</f>
        <v>5856</v>
      </c>
      <c r="P1428" s="30" t="str">
        <f ca="1">IFERROR(__xludf.DUMMYFUNCTION("""COMPUTED_VALUE"""),"LÁCAR")</f>
        <v>LÁCAR</v>
      </c>
      <c r="Q1428" s="30" t="str">
        <f ca="1">IFERROR(__xludf.DUMMYFUNCTION("""COMPUTED_VALUE"""),"-40.13046785")</f>
        <v>-40.13046785</v>
      </c>
      <c r="R1428" s="30" t="str">
        <f ca="1">IFERROR(__xludf.DUMMYFUNCTION("""COMPUTED_VALUE"""),"-71.22594666")</f>
        <v>-71.22594666</v>
      </c>
      <c r="S1428" s="30" t="str">
        <f ca="1">IFERROR(__xludf.DUMMYFUNCTION("""COMPUTED_VALUE"""),"Provincial")</f>
        <v>Provincial</v>
      </c>
      <c r="T1428" s="30" t="str">
        <f ca="1">IFERROR(__xludf.DUMMYFUNCTION("""COMPUTED_VALUE"""),"-")</f>
        <v>-</v>
      </c>
    </row>
    <row r="1429" spans="1:20" ht="15.75" customHeight="1" x14ac:dyDescent="0.25">
      <c r="A1429" s="30" t="str">
        <f ca="1">IFERROR(__xludf.DUMMYFUNCTION("""COMPUTED_VALUE"""),"10580422167034")</f>
        <v>10580422167034</v>
      </c>
      <c r="B1429" s="30" t="str">
        <f ca="1">IFERROR(__xludf.DUMMYFUNCTION("""COMPUTED_VALUE"""),"HTAL CHOS MALAL - DR GREGORIO ALVAREZ")</f>
        <v>HTAL CHOS MALAL - DR GREGORIO ALVAREZ</v>
      </c>
      <c r="C1429" s="30" t="str">
        <f ca="1">IFERROR(__xludf.DUMMYFUNCTION("""COMPUTED_VALUE"""),"Neuquén")</f>
        <v>Neuquén</v>
      </c>
      <c r="D1429" s="30" t="str">
        <f ca="1">IFERROR(__xludf.DUMMYFUNCTION("""COMPUTED_VALUE"""),"58")</f>
        <v>58</v>
      </c>
      <c r="E1429" s="30" t="str">
        <f ca="1">IFERROR(__xludf.DUMMYFUNCTION("""COMPUTED_VALUE"""),"si")</f>
        <v>si</v>
      </c>
      <c r="F1429" s="29"/>
      <c r="G1429" s="29"/>
      <c r="H1429" s="30" t="str">
        <f ca="1">IFERROR(__xludf.DUMMYFUNCTION("""COMPUTED_VALUE"""),"activo")</f>
        <v>activo</v>
      </c>
      <c r="I1429" s="29"/>
      <c r="J1429" s="29"/>
      <c r="K1429" s="29"/>
      <c r="L1429" s="30" t="str">
        <f ca="1">IFERROR(__xludf.DUMMYFUNCTION("""COMPUTED_VALUE"""),"No")</f>
        <v>No</v>
      </c>
      <c r="M1429" s="30" t="str">
        <f ca="1">IFERROR(__xludf.DUMMYFUNCTION("""COMPUTED_VALUE"""),"58042010000")</f>
        <v>58042010000</v>
      </c>
      <c r="N1429" s="30" t="str">
        <f ca="1">IFERROR(__xludf.DUMMYFUNCTION("""COMPUTED_VALUE"""),"CHOS MALAL")</f>
        <v>CHOS MALAL</v>
      </c>
      <c r="O1429" s="30" t="str">
        <f ca="1">IFERROR(__xludf.DUMMYFUNCTION("""COMPUTED_VALUE"""),"5842")</f>
        <v>5842</v>
      </c>
      <c r="P1429" s="30" t="str">
        <f ca="1">IFERROR(__xludf.DUMMYFUNCTION("""COMPUTED_VALUE"""),"CHOS MALAL")</f>
        <v>CHOS MALAL</v>
      </c>
      <c r="Q1429" s="30" t="str">
        <f ca="1">IFERROR(__xludf.DUMMYFUNCTION("""COMPUTED_VALUE"""),"-37.3814098")</f>
        <v>-37.3814098</v>
      </c>
      <c r="R1429" s="30" t="str">
        <f ca="1">IFERROR(__xludf.DUMMYFUNCTION("""COMPUTED_VALUE"""),"-70.2737972")</f>
        <v>-70.2737972</v>
      </c>
      <c r="S1429" s="30" t="str">
        <f ca="1">IFERROR(__xludf.DUMMYFUNCTION("""COMPUTED_VALUE"""),"Provincial")</f>
        <v>Provincial</v>
      </c>
      <c r="T1429" s="30" t="str">
        <f ca="1">IFERROR(__xludf.DUMMYFUNCTION("""COMPUTED_VALUE"""),"-")</f>
        <v>-</v>
      </c>
    </row>
    <row r="1430" spans="1:20" ht="15.75" customHeight="1" x14ac:dyDescent="0.25">
      <c r="A1430" s="30" t="str">
        <f ca="1">IFERROR(__xludf.DUMMYFUNCTION("""COMPUTED_VALUE"""),"50580492167077")</f>
        <v>50580492167077</v>
      </c>
      <c r="B1430" s="30" t="str">
        <f ca="1">IFERROR(__xludf.DUMMYFUNCTION("""COMPUTED_VALUE"""),"CENTRO DE SALUD BARRIO LANIN")</f>
        <v>CENTRO DE SALUD BARRIO LANIN</v>
      </c>
      <c r="C1430" s="30" t="str">
        <f ca="1">IFERROR(__xludf.DUMMYFUNCTION("""COMPUTED_VALUE"""),"Neuquén")</f>
        <v>Neuquén</v>
      </c>
      <c r="D1430" s="30" t="str">
        <f ca="1">IFERROR(__xludf.DUMMYFUNCTION("""COMPUTED_VALUE"""),"58")</f>
        <v>58</v>
      </c>
      <c r="E1430" s="30" t="str">
        <f ca="1">IFERROR(__xludf.DUMMYFUNCTION("""COMPUTED_VALUE"""),"si")</f>
        <v>si</v>
      </c>
      <c r="F1430" s="29"/>
      <c r="G1430" s="29"/>
      <c r="H1430" s="30" t="str">
        <f ca="1">IFERROR(__xludf.DUMMYFUNCTION("""COMPUTED_VALUE"""),"activo")</f>
        <v>activo</v>
      </c>
      <c r="I1430" s="29"/>
      <c r="J1430" s="29"/>
      <c r="K1430" s="29"/>
      <c r="L1430" s="30" t="str">
        <f ca="1">IFERROR(__xludf.DUMMYFUNCTION("""COMPUTED_VALUE"""),"No")</f>
        <v>No</v>
      </c>
      <c r="M1430" s="30" t="str">
        <f ca="1">IFERROR(__xludf.DUMMYFUNCTION("""COMPUTED_VALUE"""),"58049010000")</f>
        <v>58049010000</v>
      </c>
      <c r="N1430" s="30" t="str">
        <f ca="1">IFERROR(__xludf.DUMMYFUNCTION("""COMPUTED_VALUE"""),"JUNIN DE LOS ANDES")</f>
        <v>JUNIN DE LOS ANDES</v>
      </c>
      <c r="O1430" s="30" t="str">
        <f ca="1">IFERROR(__xludf.DUMMYFUNCTION("""COMPUTED_VALUE"""),"5849")</f>
        <v>5849</v>
      </c>
      <c r="P1430" s="30" t="str">
        <f ca="1">IFERROR(__xludf.DUMMYFUNCTION("""COMPUTED_VALUE"""),"HUILICHES")</f>
        <v>HUILICHES</v>
      </c>
      <c r="Q1430" s="30" t="str">
        <f ca="1">IFERROR(__xludf.DUMMYFUNCTION("""COMPUTED_VALUE"""),"-39.9407965")</f>
        <v>-39.9407965</v>
      </c>
      <c r="R1430" s="30" t="str">
        <f ca="1">IFERROR(__xludf.DUMMYFUNCTION("""COMPUTED_VALUE"""),"-71.0672062")</f>
        <v>-71.0672062</v>
      </c>
      <c r="S1430" s="30" t="str">
        <f ca="1">IFERROR(__xludf.DUMMYFUNCTION("""COMPUTED_VALUE"""),"Provincial")</f>
        <v>Provincial</v>
      </c>
      <c r="T1430" s="30" t="str">
        <f ca="1">IFERROR(__xludf.DUMMYFUNCTION("""COMPUTED_VALUE"""),"-")</f>
        <v>-</v>
      </c>
    </row>
    <row r="1431" spans="1:20" ht="15.75" customHeight="1" x14ac:dyDescent="0.25">
      <c r="A1431" s="30" t="str">
        <f ca="1">IFERROR(__xludf.DUMMYFUNCTION("""COMPUTED_VALUE"""),"50580702167094")</f>
        <v>50580702167094</v>
      </c>
      <c r="B1431" s="30" t="str">
        <f ca="1">IFERROR(__xludf.DUMMYFUNCTION("""COMPUTED_VALUE"""),"CENTRO DE SALUD LAS MARGARITAS")</f>
        <v>CENTRO DE SALUD LAS MARGARITAS</v>
      </c>
      <c r="C1431" s="30" t="str">
        <f ca="1">IFERROR(__xludf.DUMMYFUNCTION("""COMPUTED_VALUE"""),"Neuquén")</f>
        <v>Neuquén</v>
      </c>
      <c r="D1431" s="30" t="str">
        <f ca="1">IFERROR(__xludf.DUMMYFUNCTION("""COMPUTED_VALUE"""),"58")</f>
        <v>58</v>
      </c>
      <c r="E1431" s="30" t="str">
        <f ca="1">IFERROR(__xludf.DUMMYFUNCTION("""COMPUTED_VALUE"""),"")</f>
        <v/>
      </c>
      <c r="F1431" s="29"/>
      <c r="G1431" s="29"/>
      <c r="H1431" s="30" t="str">
        <f ca="1">IFERROR(__xludf.DUMMYFUNCTION("""COMPUTED_VALUE"""),"activo")</f>
        <v>activo</v>
      </c>
      <c r="I1431" s="29"/>
      <c r="J1431" s="29"/>
      <c r="K1431" s="29"/>
      <c r="L1431" s="30" t="str">
        <f ca="1">IFERROR(__xludf.DUMMYFUNCTION("""COMPUTED_VALUE"""),"No")</f>
        <v>No</v>
      </c>
      <c r="M1431" s="30" t="str">
        <f ca="1">IFERROR(__xludf.DUMMYFUNCTION("""COMPUTED_VALUE"""),"58070010000")</f>
        <v>58070010000</v>
      </c>
      <c r="N1431" s="30" t="str">
        <f ca="1">IFERROR(__xludf.DUMMYFUNCTION("""COMPUTED_VALUE"""),"VILLA LA ANGOSTURA")</f>
        <v>VILLA LA ANGOSTURA</v>
      </c>
      <c r="O1431" s="30" t="str">
        <f ca="1">IFERROR(__xludf.DUMMYFUNCTION("""COMPUTED_VALUE"""),"5870")</f>
        <v>5870</v>
      </c>
      <c r="P1431" s="30" t="str">
        <f ca="1">IFERROR(__xludf.DUMMYFUNCTION("""COMPUTED_VALUE"""),"LOS LAGOS")</f>
        <v>LOS LAGOS</v>
      </c>
      <c r="Q1431" s="30" t="str">
        <f ca="1">IFERROR(__xludf.DUMMYFUNCTION("""COMPUTED_VALUE"""),"-40.761712")</f>
        <v>-40.761712</v>
      </c>
      <c r="R1431" s="30" t="str">
        <f ca="1">IFERROR(__xludf.DUMMYFUNCTION("""COMPUTED_VALUE"""),"-71.659435")</f>
        <v>-71.659435</v>
      </c>
      <c r="S1431" s="30" t="str">
        <f ca="1">IFERROR(__xludf.DUMMYFUNCTION("""COMPUTED_VALUE"""),"Provincial")</f>
        <v>Provincial</v>
      </c>
      <c r="T1431" s="30" t="str">
        <f ca="1">IFERROR(__xludf.DUMMYFUNCTION("""COMPUTED_VALUE"""),"-")</f>
        <v>-</v>
      </c>
    </row>
    <row r="1432" spans="1:20" ht="15.75" customHeight="1" x14ac:dyDescent="0.25">
      <c r="A1432" s="30" t="str">
        <f ca="1">IFERROR(__xludf.DUMMYFUNCTION("""COMPUTED_VALUE"""),"50580702167095")</f>
        <v>50580702167095</v>
      </c>
      <c r="B1432" s="30" t="str">
        <f ca="1">IFERROR(__xludf.DUMMYFUNCTION("""COMPUTED_VALUE"""),"CENTRO DE SALUD LAS PIEDRITAS")</f>
        <v>CENTRO DE SALUD LAS PIEDRITAS</v>
      </c>
      <c r="C1432" s="30" t="str">
        <f ca="1">IFERROR(__xludf.DUMMYFUNCTION("""COMPUTED_VALUE"""),"Neuquén")</f>
        <v>Neuquén</v>
      </c>
      <c r="D1432" s="30" t="str">
        <f ca="1">IFERROR(__xludf.DUMMYFUNCTION("""COMPUTED_VALUE"""),"58")</f>
        <v>58</v>
      </c>
      <c r="E1432" s="30" t="str">
        <f ca="1">IFERROR(__xludf.DUMMYFUNCTION("""COMPUTED_VALUE"""),"")</f>
        <v/>
      </c>
      <c r="F1432" s="29"/>
      <c r="G1432" s="29"/>
      <c r="H1432" s="30" t="str">
        <f ca="1">IFERROR(__xludf.DUMMYFUNCTION("""COMPUTED_VALUE"""),"activo")</f>
        <v>activo</v>
      </c>
      <c r="I1432" s="29"/>
      <c r="J1432" s="29"/>
      <c r="K1432" s="29"/>
      <c r="L1432" s="30" t="str">
        <f ca="1">IFERROR(__xludf.DUMMYFUNCTION("""COMPUTED_VALUE"""),"No")</f>
        <v>No</v>
      </c>
      <c r="M1432" s="30" t="str">
        <f ca="1">IFERROR(__xludf.DUMMYFUNCTION("""COMPUTED_VALUE"""),"58070010000")</f>
        <v>58070010000</v>
      </c>
      <c r="N1432" s="30" t="str">
        <f ca="1">IFERROR(__xludf.DUMMYFUNCTION("""COMPUTED_VALUE"""),"VILLA LA ANGOSTURA")</f>
        <v>VILLA LA ANGOSTURA</v>
      </c>
      <c r="O1432" s="30" t="str">
        <f ca="1">IFERROR(__xludf.DUMMYFUNCTION("""COMPUTED_VALUE"""),"5870")</f>
        <v>5870</v>
      </c>
      <c r="P1432" s="30" t="str">
        <f ca="1">IFERROR(__xludf.DUMMYFUNCTION("""COMPUTED_VALUE"""),"LOS LAGOS")</f>
        <v>LOS LAGOS</v>
      </c>
      <c r="Q1432" s="30" t="str">
        <f ca="1">IFERROR(__xludf.DUMMYFUNCTION("""COMPUTED_VALUE"""),"-40.7612877")</f>
        <v>-40.7612877</v>
      </c>
      <c r="R1432" s="30" t="str">
        <f ca="1">IFERROR(__xludf.DUMMYFUNCTION("""COMPUTED_VALUE"""),"-71.6430206")</f>
        <v>-71.6430206</v>
      </c>
      <c r="S1432" s="30" t="str">
        <f ca="1">IFERROR(__xludf.DUMMYFUNCTION("""COMPUTED_VALUE"""),"Provincial")</f>
        <v>Provincial</v>
      </c>
      <c r="T1432" s="30" t="str">
        <f ca="1">IFERROR(__xludf.DUMMYFUNCTION("""COMPUTED_VALUE"""),"-")</f>
        <v>-</v>
      </c>
    </row>
    <row r="1433" spans="1:20" ht="15.75" customHeight="1" x14ac:dyDescent="0.25">
      <c r="A1433" s="30" t="str">
        <f ca="1">IFERROR(__xludf.DUMMYFUNCTION("""COMPUTED_VALUE"""),"10580562167036")</f>
        <v>10580562167036</v>
      </c>
      <c r="B1433" s="30" t="str">
        <f ca="1">IFERROR(__xludf.DUMMYFUNCTION("""COMPUTED_VALUE"""),"HTAL SAN MARTIN DE LOS ANDES - DR RAMON CARRILLO")</f>
        <v>HTAL SAN MARTIN DE LOS ANDES - DR RAMON CARRILLO</v>
      </c>
      <c r="C1433" s="30" t="str">
        <f ca="1">IFERROR(__xludf.DUMMYFUNCTION("""COMPUTED_VALUE"""),"Neuquén")</f>
        <v>Neuquén</v>
      </c>
      <c r="D1433" s="30" t="str">
        <f ca="1">IFERROR(__xludf.DUMMYFUNCTION("""COMPUTED_VALUE"""),"58")</f>
        <v>58</v>
      </c>
      <c r="E1433" s="30" t="str">
        <f ca="1">IFERROR(__xludf.DUMMYFUNCTION("""COMPUTED_VALUE"""),"si")</f>
        <v>si</v>
      </c>
      <c r="F1433" s="29"/>
      <c r="G1433" s="29"/>
      <c r="H1433" s="30" t="str">
        <f ca="1">IFERROR(__xludf.DUMMYFUNCTION("""COMPUTED_VALUE"""),"activo")</f>
        <v>activo</v>
      </c>
      <c r="I1433" s="29"/>
      <c r="J1433" s="29"/>
      <c r="K1433" s="29"/>
      <c r="L1433" s="30" t="str">
        <f ca="1">IFERROR(__xludf.DUMMYFUNCTION("""COMPUTED_VALUE"""),"No")</f>
        <v>No</v>
      </c>
      <c r="M1433" s="30" t="str">
        <f ca="1">IFERROR(__xludf.DUMMYFUNCTION("""COMPUTED_VALUE"""),"58056010000")</f>
        <v>58056010000</v>
      </c>
      <c r="N1433" s="30" t="str">
        <f ca="1">IFERROR(__xludf.DUMMYFUNCTION("""COMPUTED_VALUE"""),"SAN MARTIN DE LOS ANDES")</f>
        <v>SAN MARTIN DE LOS ANDES</v>
      </c>
      <c r="O1433" s="30" t="str">
        <f ca="1">IFERROR(__xludf.DUMMYFUNCTION("""COMPUTED_VALUE"""),"5856")</f>
        <v>5856</v>
      </c>
      <c r="P1433" s="30" t="str">
        <f ca="1">IFERROR(__xludf.DUMMYFUNCTION("""COMPUTED_VALUE"""),"LÁCAR")</f>
        <v>LÁCAR</v>
      </c>
      <c r="Q1433" s="30" t="str">
        <f ca="1">IFERROR(__xludf.DUMMYFUNCTION("""COMPUTED_VALUE"""),"-40.15936049")</f>
        <v>-40.15936049</v>
      </c>
      <c r="R1433" s="30" t="str">
        <f ca="1">IFERROR(__xludf.DUMMYFUNCTION("""COMPUTED_VALUE"""),"-71.35659013")</f>
        <v>-71.35659013</v>
      </c>
      <c r="S1433" s="30" t="str">
        <f ca="1">IFERROR(__xludf.DUMMYFUNCTION("""COMPUTED_VALUE"""),"Provincial")</f>
        <v>Provincial</v>
      </c>
      <c r="T1433" s="30" t="str">
        <f ca="1">IFERROR(__xludf.DUMMYFUNCTION("""COMPUTED_VALUE"""),"-")</f>
        <v>-</v>
      </c>
    </row>
    <row r="1434" spans="1:20" ht="15.75" customHeight="1" x14ac:dyDescent="0.25">
      <c r="A1434" s="30" t="str">
        <f ca="1">IFERROR(__xludf.DUMMYFUNCTION("""COMPUTED_VALUE"""),"50580352167068")</f>
        <v>50580352167068</v>
      </c>
      <c r="B1434" s="30" t="str">
        <f ca="1">IFERROR(__xludf.DUMMYFUNCTION("""COMPUTED_VALUE"""),"CENTRO DE SALUD BARRIO PAMPA - CAPS -")</f>
        <v>CENTRO DE SALUD BARRIO PAMPA - CAPS -</v>
      </c>
      <c r="C1434" s="30" t="str">
        <f ca="1">IFERROR(__xludf.DUMMYFUNCTION("""COMPUTED_VALUE"""),"Neuquén")</f>
        <v>Neuquén</v>
      </c>
      <c r="D1434" s="30" t="str">
        <f ca="1">IFERROR(__xludf.DUMMYFUNCTION("""COMPUTED_VALUE"""),"58")</f>
        <v>58</v>
      </c>
      <c r="E1434" s="30" t="str">
        <f ca="1">IFERROR(__xludf.DUMMYFUNCTION("""COMPUTED_VALUE"""),"")</f>
        <v/>
      </c>
      <c r="F1434" s="29"/>
      <c r="G1434" s="29"/>
      <c r="H1434" s="30" t="str">
        <f ca="1">IFERROR(__xludf.DUMMYFUNCTION("""COMPUTED_VALUE"""),"activo")</f>
        <v>activo</v>
      </c>
      <c r="I1434" s="29"/>
      <c r="J1434" s="29"/>
      <c r="K1434" s="29"/>
      <c r="L1434" s="30" t="str">
        <f ca="1">IFERROR(__xludf.DUMMYFUNCTION("""COMPUTED_VALUE"""),"No")</f>
        <v>No</v>
      </c>
      <c r="M1434" s="30" t="str">
        <f ca="1">IFERROR(__xludf.DUMMYFUNCTION("""COMPUTED_VALUE"""),"58035090000")</f>
        <v>58035090000</v>
      </c>
      <c r="N1434" s="30" t="str">
        <f ca="1">IFERROR(__xludf.DUMMYFUNCTION("""COMPUTED_VALUE"""),"PLAZA HUINCUL")</f>
        <v>PLAZA HUINCUL</v>
      </c>
      <c r="O1434" s="30" t="str">
        <f ca="1">IFERROR(__xludf.DUMMYFUNCTION("""COMPUTED_VALUE"""),"5835")</f>
        <v>5835</v>
      </c>
      <c r="P1434" s="30" t="str">
        <f ca="1">IFERROR(__xludf.DUMMYFUNCTION("""COMPUTED_VALUE"""),"CONFLUENCIA")</f>
        <v>CONFLUENCIA</v>
      </c>
      <c r="Q1434" s="30" t="str">
        <f ca="1">IFERROR(__xludf.DUMMYFUNCTION("""COMPUTED_VALUE"""),"-38.9365568")</f>
        <v>-38.9365568</v>
      </c>
      <c r="R1434" s="30" t="str">
        <f ca="1">IFERROR(__xludf.DUMMYFUNCTION("""COMPUTED_VALUE"""),"-69.2408494")</f>
        <v>-69.2408494</v>
      </c>
      <c r="S1434" s="30" t="str">
        <f ca="1">IFERROR(__xludf.DUMMYFUNCTION("""COMPUTED_VALUE"""),"Provincial")</f>
        <v>Provincial</v>
      </c>
      <c r="T1434" s="30" t="str">
        <f ca="1">IFERROR(__xludf.DUMMYFUNCTION("""COMPUTED_VALUE"""),"-")</f>
        <v>-</v>
      </c>
    </row>
    <row r="1435" spans="1:20" ht="15.75" customHeight="1" x14ac:dyDescent="0.25">
      <c r="A1435" s="30" t="str">
        <f ca="1">IFERROR(__xludf.DUMMYFUNCTION("""COMPUTED_VALUE"""),"50580352167069")</f>
        <v>50580352167069</v>
      </c>
      <c r="B1435" s="30" t="str">
        <f ca="1">IFERROR(__xludf.DUMMYFUNCTION("""COMPUTED_VALUE"""),"CENTRO DE SALUD BARRIO PARQUE OESTE - CAPS -")</f>
        <v>CENTRO DE SALUD BARRIO PARQUE OESTE - CAPS -</v>
      </c>
      <c r="C1435" s="30" t="str">
        <f ca="1">IFERROR(__xludf.DUMMYFUNCTION("""COMPUTED_VALUE"""),"Neuquén")</f>
        <v>Neuquén</v>
      </c>
      <c r="D1435" s="30" t="str">
        <f ca="1">IFERROR(__xludf.DUMMYFUNCTION("""COMPUTED_VALUE"""),"58")</f>
        <v>58</v>
      </c>
      <c r="E1435" s="30" t="str">
        <f ca="1">IFERROR(__xludf.DUMMYFUNCTION("""COMPUTED_VALUE"""),"")</f>
        <v/>
      </c>
      <c r="F1435" s="29"/>
      <c r="G1435" s="29"/>
      <c r="H1435" s="30" t="str">
        <f ca="1">IFERROR(__xludf.DUMMYFUNCTION("""COMPUTED_VALUE"""),"activo")</f>
        <v>activo</v>
      </c>
      <c r="I1435" s="29"/>
      <c r="J1435" s="29"/>
      <c r="K1435" s="29"/>
      <c r="L1435" s="30" t="str">
        <f ca="1">IFERROR(__xludf.DUMMYFUNCTION("""COMPUTED_VALUE"""),"No")</f>
        <v>No</v>
      </c>
      <c r="M1435" s="30" t="str">
        <f ca="1">IFERROR(__xludf.DUMMYFUNCTION("""COMPUTED_VALUE"""),"58035040000")</f>
        <v>58035040000</v>
      </c>
      <c r="N1435" s="30" t="str">
        <f ca="1">IFERROR(__xludf.DUMMYFUNCTION("""COMPUTED_VALUE"""),"CUTRAL CO")</f>
        <v>CUTRAL CO</v>
      </c>
      <c r="O1435" s="30" t="str">
        <f ca="1">IFERROR(__xludf.DUMMYFUNCTION("""COMPUTED_VALUE"""),"5835")</f>
        <v>5835</v>
      </c>
      <c r="P1435" s="30" t="str">
        <f ca="1">IFERROR(__xludf.DUMMYFUNCTION("""COMPUTED_VALUE"""),"CONFLUENCIA")</f>
        <v>CONFLUENCIA</v>
      </c>
      <c r="Q1435" s="30" t="str">
        <f ca="1">IFERROR(__xludf.DUMMYFUNCTION("""COMPUTED_VALUE"""),"-38.9266897")</f>
        <v>-38.9266897</v>
      </c>
      <c r="R1435" s="30" t="str">
        <f ca="1">IFERROR(__xludf.DUMMYFUNCTION("""COMPUTED_VALUE"""),"-69.2414403")</f>
        <v>-69.2414403</v>
      </c>
      <c r="S1435" s="30" t="str">
        <f ca="1">IFERROR(__xludf.DUMMYFUNCTION("""COMPUTED_VALUE"""),"Provincial")</f>
        <v>Provincial</v>
      </c>
      <c r="T1435" s="30" t="str">
        <f ca="1">IFERROR(__xludf.DUMMYFUNCTION("""COMPUTED_VALUE"""),"-")</f>
        <v>-</v>
      </c>
    </row>
    <row r="1436" spans="1:20" ht="15.75" customHeight="1" x14ac:dyDescent="0.25">
      <c r="A1436" s="30" t="str">
        <f ca="1">IFERROR(__xludf.DUMMYFUNCTION("""COMPUTED_VALUE"""),"50580352167072")</f>
        <v>50580352167072</v>
      </c>
      <c r="B1436" s="30" t="str">
        <f ca="1">IFERROR(__xludf.DUMMYFUNCTION("""COMPUTED_VALUE"""),"CENTRO DE SALUD BARRIO SAN MARTIN - CAPS -")</f>
        <v>CENTRO DE SALUD BARRIO SAN MARTIN - CAPS -</v>
      </c>
      <c r="C1436" s="30" t="str">
        <f ca="1">IFERROR(__xludf.DUMMYFUNCTION("""COMPUTED_VALUE"""),"Neuquén")</f>
        <v>Neuquén</v>
      </c>
      <c r="D1436" s="30" t="str">
        <f ca="1">IFERROR(__xludf.DUMMYFUNCTION("""COMPUTED_VALUE"""),"58")</f>
        <v>58</v>
      </c>
      <c r="E1436" s="30" t="str">
        <f ca="1">IFERROR(__xludf.DUMMYFUNCTION("""COMPUTED_VALUE"""),"")</f>
        <v/>
      </c>
      <c r="F1436" s="29"/>
      <c r="G1436" s="29"/>
      <c r="H1436" s="30" t="str">
        <f ca="1">IFERROR(__xludf.DUMMYFUNCTION("""COMPUTED_VALUE"""),"inactivo")</f>
        <v>inactivo</v>
      </c>
      <c r="I1436" s="29"/>
      <c r="J1436" s="29"/>
      <c r="K1436" s="29"/>
      <c r="L1436" s="30" t="str">
        <f ca="1">IFERROR(__xludf.DUMMYFUNCTION("""COMPUTED_VALUE"""),"No")</f>
        <v>No</v>
      </c>
      <c r="M1436" s="30" t="str">
        <f ca="1">IFERROR(__xludf.DUMMYFUNCTION("""COMPUTED_VALUE"""),"58035040000")</f>
        <v>58035040000</v>
      </c>
      <c r="N1436" s="30" t="str">
        <f ca="1">IFERROR(__xludf.DUMMYFUNCTION("""COMPUTED_VALUE"""),"CUTRAL CO")</f>
        <v>CUTRAL CO</v>
      </c>
      <c r="O1436" s="30" t="str">
        <f ca="1">IFERROR(__xludf.DUMMYFUNCTION("""COMPUTED_VALUE"""),"5835")</f>
        <v>5835</v>
      </c>
      <c r="P1436" s="30" t="str">
        <f ca="1">IFERROR(__xludf.DUMMYFUNCTION("""COMPUTED_VALUE"""),"CONFLUENCIA")</f>
        <v>CONFLUENCIA</v>
      </c>
      <c r="Q1436" s="30" t="str">
        <f ca="1">IFERROR(__xludf.DUMMYFUNCTION("""COMPUTED_VALUE"""),"-38.9345767")</f>
        <v>-38.9345767</v>
      </c>
      <c r="R1436" s="30" t="str">
        <f ca="1">IFERROR(__xludf.DUMMYFUNCTION("""COMPUTED_VALUE"""),"-69.25077439")</f>
        <v>-69.25077439</v>
      </c>
      <c r="S1436" s="30" t="str">
        <f ca="1">IFERROR(__xludf.DUMMYFUNCTION("""COMPUTED_VALUE"""),"Provincial")</f>
        <v>Provincial</v>
      </c>
      <c r="T1436" s="30" t="str">
        <f ca="1">IFERROR(__xludf.DUMMYFUNCTION("""COMPUTED_VALUE"""),"-")</f>
        <v>-</v>
      </c>
    </row>
    <row r="1437" spans="1:20" ht="15.75" customHeight="1" x14ac:dyDescent="0.25">
      <c r="A1437" s="30" t="str">
        <f ca="1">IFERROR(__xludf.DUMMYFUNCTION("""COMPUTED_VALUE"""),"10580352167035")</f>
        <v>10580352167035</v>
      </c>
      <c r="B1437" s="30" t="str">
        <f ca="1">IFERROR(__xludf.DUMMYFUNCTION("""COMPUTED_VALUE"""),"HTAL CUTRAL CO-PLAZA HUINCUL")</f>
        <v>HTAL CUTRAL CO-PLAZA HUINCUL</v>
      </c>
      <c r="C1437" s="30" t="str">
        <f ca="1">IFERROR(__xludf.DUMMYFUNCTION("""COMPUTED_VALUE"""),"Neuquén")</f>
        <v>Neuquén</v>
      </c>
      <c r="D1437" s="30" t="str">
        <f ca="1">IFERROR(__xludf.DUMMYFUNCTION("""COMPUTED_VALUE"""),"58")</f>
        <v>58</v>
      </c>
      <c r="E1437" s="30" t="str">
        <f ca="1">IFERROR(__xludf.DUMMYFUNCTION("""COMPUTED_VALUE"""),"si")</f>
        <v>si</v>
      </c>
      <c r="F1437" s="29"/>
      <c r="G1437" s="29"/>
      <c r="H1437" s="30" t="str">
        <f ca="1">IFERROR(__xludf.DUMMYFUNCTION("""COMPUTED_VALUE"""),"activo")</f>
        <v>activo</v>
      </c>
      <c r="I1437" s="29"/>
      <c r="J1437" s="29"/>
      <c r="K1437" s="29"/>
      <c r="L1437" s="30" t="str">
        <f ca="1">IFERROR(__xludf.DUMMYFUNCTION("""COMPUTED_VALUE"""),"No")</f>
        <v>No</v>
      </c>
      <c r="M1437" s="30" t="str">
        <f ca="1">IFERROR(__xludf.DUMMYFUNCTION("""COMPUTED_VALUE"""),"58035040000")</f>
        <v>58035040000</v>
      </c>
      <c r="N1437" s="30" t="str">
        <f ca="1">IFERROR(__xludf.DUMMYFUNCTION("""COMPUTED_VALUE"""),"CUTRAL CO")</f>
        <v>CUTRAL CO</v>
      </c>
      <c r="O1437" s="30" t="str">
        <f ca="1">IFERROR(__xludf.DUMMYFUNCTION("""COMPUTED_VALUE"""),"5835")</f>
        <v>5835</v>
      </c>
      <c r="P1437" s="30" t="str">
        <f ca="1">IFERROR(__xludf.DUMMYFUNCTION("""COMPUTED_VALUE"""),"CONFLUENCIA")</f>
        <v>CONFLUENCIA</v>
      </c>
      <c r="Q1437" s="30" t="str">
        <f ca="1">IFERROR(__xludf.DUMMYFUNCTION("""COMPUTED_VALUE"""),"-38.93757556")</f>
        <v>-38.93757556</v>
      </c>
      <c r="R1437" s="30" t="str">
        <f ca="1">IFERROR(__xludf.DUMMYFUNCTION("""COMPUTED_VALUE"""),"-69.21265214")</f>
        <v>-69.21265214</v>
      </c>
      <c r="S1437" s="30" t="str">
        <f ca="1">IFERROR(__xludf.DUMMYFUNCTION("""COMPUTED_VALUE"""),"Provincial")</f>
        <v>Provincial</v>
      </c>
      <c r="T1437" s="30" t="str">
        <f ca="1">IFERROR(__xludf.DUMMYFUNCTION("""COMPUTED_VALUE"""),"-")</f>
        <v>-</v>
      </c>
    </row>
    <row r="1438" spans="1:20" ht="15.75" customHeight="1" x14ac:dyDescent="0.25">
      <c r="A1438" s="30" t="str">
        <f ca="1">IFERROR(__xludf.DUMMYFUNCTION("""COMPUTED_VALUE"""),"10580352167015")</f>
        <v>10580352167015</v>
      </c>
      <c r="B1438" s="30" t="str">
        <f ca="1">IFERROR(__xludf.DUMMYFUNCTION("""COMPUTED_VALUE"""),"HTAL EL CHOCON")</f>
        <v>HTAL EL CHOCON</v>
      </c>
      <c r="C1438" s="30" t="str">
        <f ca="1">IFERROR(__xludf.DUMMYFUNCTION("""COMPUTED_VALUE"""),"Neuquén")</f>
        <v>Neuquén</v>
      </c>
      <c r="D1438" s="30" t="str">
        <f ca="1">IFERROR(__xludf.DUMMYFUNCTION("""COMPUTED_VALUE"""),"58")</f>
        <v>58</v>
      </c>
      <c r="E1438" s="30" t="str">
        <f ca="1">IFERROR(__xludf.DUMMYFUNCTION("""COMPUTED_VALUE"""),"")</f>
        <v/>
      </c>
      <c r="F1438" s="29"/>
      <c r="G1438" s="29"/>
      <c r="H1438" s="30" t="str">
        <f ca="1">IFERROR(__xludf.DUMMYFUNCTION("""COMPUTED_VALUE"""),"activo")</f>
        <v>activo</v>
      </c>
      <c r="I1438" s="29"/>
      <c r="J1438" s="29"/>
      <c r="K1438" s="29"/>
      <c r="L1438" s="30" t="str">
        <f ca="1">IFERROR(__xludf.DUMMYFUNCTION("""COMPUTED_VALUE"""),"No")</f>
        <v>No</v>
      </c>
      <c r="M1438" s="30" t="str">
        <f ca="1">IFERROR(__xludf.DUMMYFUNCTION("""COMPUTED_VALUE"""),"58035050000")</f>
        <v>58035050000</v>
      </c>
      <c r="N1438" s="30" t="str">
        <f ca="1">IFERROR(__xludf.DUMMYFUNCTION("""COMPUTED_VALUE"""),"EL CHOCON")</f>
        <v>EL CHOCON</v>
      </c>
      <c r="O1438" s="30" t="str">
        <f ca="1">IFERROR(__xludf.DUMMYFUNCTION("""COMPUTED_VALUE"""),"5835")</f>
        <v>5835</v>
      </c>
      <c r="P1438" s="30" t="str">
        <f ca="1">IFERROR(__xludf.DUMMYFUNCTION("""COMPUTED_VALUE"""),"CONFLUENCIA")</f>
        <v>CONFLUENCIA</v>
      </c>
      <c r="Q1438" s="30" t="str">
        <f ca="1">IFERROR(__xludf.DUMMYFUNCTION("""COMPUTED_VALUE"""),"-39.26038486")</f>
        <v>-39.26038486</v>
      </c>
      <c r="R1438" s="30" t="str">
        <f ca="1">IFERROR(__xludf.DUMMYFUNCTION("""COMPUTED_VALUE"""),"-68.77696824")</f>
        <v>-68.77696824</v>
      </c>
      <c r="S1438" s="30" t="str">
        <f ca="1">IFERROR(__xludf.DUMMYFUNCTION("""COMPUTED_VALUE"""),"Provincial")</f>
        <v>Provincial</v>
      </c>
      <c r="T1438" s="30" t="str">
        <f ca="1">IFERROR(__xludf.DUMMYFUNCTION("""COMPUTED_VALUE"""),"-")</f>
        <v>-</v>
      </c>
    </row>
    <row r="1439" spans="1:20" ht="15.75" customHeight="1" x14ac:dyDescent="0.25">
      <c r="A1439" s="30" t="str">
        <f ca="1">IFERROR(__xludf.DUMMYFUNCTION("""COMPUTED_VALUE"""),"10581122167032")</f>
        <v>10581122167032</v>
      </c>
      <c r="B1439" s="30" t="str">
        <f ca="1">IFERROR(__xludf.DUMMYFUNCTION("""COMPUTED_VALUE"""),"HTAL ZAPALA - DR JUAN J POSE")</f>
        <v>HTAL ZAPALA - DR JUAN J POSE</v>
      </c>
      <c r="C1439" s="30" t="str">
        <f ca="1">IFERROR(__xludf.DUMMYFUNCTION("""COMPUTED_VALUE"""),"Neuquén")</f>
        <v>Neuquén</v>
      </c>
      <c r="D1439" s="30" t="str">
        <f ca="1">IFERROR(__xludf.DUMMYFUNCTION("""COMPUTED_VALUE"""),"58")</f>
        <v>58</v>
      </c>
      <c r="E1439" s="30" t="str">
        <f ca="1">IFERROR(__xludf.DUMMYFUNCTION("""COMPUTED_VALUE"""),"si")</f>
        <v>si</v>
      </c>
      <c r="F1439" s="29"/>
      <c r="G1439" s="29"/>
      <c r="H1439" s="30" t="str">
        <f ca="1">IFERROR(__xludf.DUMMYFUNCTION("""COMPUTED_VALUE"""),"activo")</f>
        <v>activo</v>
      </c>
      <c r="I1439" s="30" t="str">
        <f ca="1">IFERROR(__xludf.DUMMYFUNCTION("""COMPUTED_VALUE"""),"circular 2: se pasan de los 30 (pueden elegir reemplazarlo por 50580352167072)")</f>
        <v>circular 2: se pasan de los 30 (pueden elegir reemplazarlo por 50580352167072)</v>
      </c>
      <c r="J1439" s="29"/>
      <c r="K1439" s="29"/>
      <c r="L1439" s="30" t="str">
        <f ca="1">IFERROR(__xludf.DUMMYFUNCTION("""COMPUTED_VALUE"""),"No")</f>
        <v>No</v>
      </c>
      <c r="M1439" s="30" t="str">
        <f ca="1">IFERROR(__xludf.DUMMYFUNCTION("""COMPUTED_VALUE"""),"58112040000")</f>
        <v>58112040000</v>
      </c>
      <c r="N1439" s="30" t="str">
        <f ca="1">IFERROR(__xludf.DUMMYFUNCTION("""COMPUTED_VALUE"""),"ZAPALA")</f>
        <v>ZAPALA</v>
      </c>
      <c r="O1439" s="30" t="str">
        <f ca="1">IFERROR(__xludf.DUMMYFUNCTION("""COMPUTED_VALUE"""),"58112")</f>
        <v>58112</v>
      </c>
      <c r="P1439" s="30" t="str">
        <f ca="1">IFERROR(__xludf.DUMMYFUNCTION("""COMPUTED_VALUE"""),"ZAPALA")</f>
        <v>ZAPALA</v>
      </c>
      <c r="Q1439" s="30" t="str">
        <f ca="1">IFERROR(__xludf.DUMMYFUNCTION("""COMPUTED_VALUE"""),"-38.90184841")</f>
        <v>-38.90184841</v>
      </c>
      <c r="R1439" s="30" t="str">
        <f ca="1">IFERROR(__xludf.DUMMYFUNCTION("""COMPUTED_VALUE"""),"-70.0657952")</f>
        <v>-70.0657952</v>
      </c>
      <c r="S1439" s="30" t="str">
        <f ca="1">IFERROR(__xludf.DUMMYFUNCTION("""COMPUTED_VALUE"""),"Provincial")</f>
        <v>Provincial</v>
      </c>
      <c r="T1439" s="30" t="str">
        <f ca="1">IFERROR(__xludf.DUMMYFUNCTION("""COMPUTED_VALUE"""),"-")</f>
        <v>-</v>
      </c>
    </row>
    <row r="1440" spans="1:20" ht="15.75" customHeight="1" x14ac:dyDescent="0.25">
      <c r="A1440" s="30" t="str">
        <f ca="1">IFERROR(__xludf.DUMMYFUNCTION("""COMPUTED_VALUE"""),"10580492167018")</f>
        <v>10580492167018</v>
      </c>
      <c r="B1440" s="30" t="str">
        <f ca="1">IFERROR(__xludf.DUMMYFUNCTION("""COMPUTED_VALUE"""),"HTAL JUNIN DE LOS ANDES")</f>
        <v>HTAL JUNIN DE LOS ANDES</v>
      </c>
      <c r="C1440" s="30" t="str">
        <f ca="1">IFERROR(__xludf.DUMMYFUNCTION("""COMPUTED_VALUE"""),"Neuquén")</f>
        <v>Neuquén</v>
      </c>
      <c r="D1440" s="30" t="str">
        <f ca="1">IFERROR(__xludf.DUMMYFUNCTION("""COMPUTED_VALUE"""),"58")</f>
        <v>58</v>
      </c>
      <c r="E1440" s="30" t="str">
        <f ca="1">IFERROR(__xludf.DUMMYFUNCTION("""COMPUTED_VALUE"""),"si")</f>
        <v>si</v>
      </c>
      <c r="F1440" s="29"/>
      <c r="G1440" s="29"/>
      <c r="H1440" s="30" t="str">
        <f ca="1">IFERROR(__xludf.DUMMYFUNCTION("""COMPUTED_VALUE"""),"activo")</f>
        <v>activo</v>
      </c>
      <c r="I1440" s="30" t="str">
        <f ca="1">IFERROR(__xludf.DUMMYFUNCTION("""COMPUTED_VALUE"""),"circular 2: se pasan de los 30 (pueden elegir reemplazarlo por 50580352167072)")</f>
        <v>circular 2: se pasan de los 30 (pueden elegir reemplazarlo por 50580352167072)</v>
      </c>
      <c r="J1440" s="29"/>
      <c r="K1440" s="29"/>
      <c r="L1440" s="30" t="str">
        <f ca="1">IFERROR(__xludf.DUMMYFUNCTION("""COMPUTED_VALUE"""),"No")</f>
        <v>No</v>
      </c>
      <c r="M1440" s="30" t="str">
        <f ca="1">IFERROR(__xludf.DUMMYFUNCTION("""COMPUTED_VALUE"""),"58049010000")</f>
        <v>58049010000</v>
      </c>
      <c r="N1440" s="30" t="str">
        <f ca="1">IFERROR(__xludf.DUMMYFUNCTION("""COMPUTED_VALUE"""),"JUNIN DE LOS ANDES")</f>
        <v>JUNIN DE LOS ANDES</v>
      </c>
      <c r="O1440" s="30" t="str">
        <f ca="1">IFERROR(__xludf.DUMMYFUNCTION("""COMPUTED_VALUE"""),"5849")</f>
        <v>5849</v>
      </c>
      <c r="P1440" s="30" t="str">
        <f ca="1">IFERROR(__xludf.DUMMYFUNCTION("""COMPUTED_VALUE"""),"HUILICHES")</f>
        <v>HUILICHES</v>
      </c>
      <c r="Q1440" s="30" t="str">
        <f ca="1">IFERROR(__xludf.DUMMYFUNCTION("""COMPUTED_VALUE"""),"-39.9488652")</f>
        <v>-39.9488652</v>
      </c>
      <c r="R1440" s="30" t="str">
        <f ca="1">IFERROR(__xludf.DUMMYFUNCTION("""COMPUTED_VALUE"""),"-71.0773981")</f>
        <v>-71.0773981</v>
      </c>
      <c r="S1440" s="30" t="str">
        <f ca="1">IFERROR(__xludf.DUMMYFUNCTION("""COMPUTED_VALUE"""),"Provincial")</f>
        <v>Provincial</v>
      </c>
      <c r="T1440" s="30" t="str">
        <f ca="1">IFERROR(__xludf.DUMMYFUNCTION("""COMPUTED_VALUE"""),"-")</f>
        <v>-</v>
      </c>
    </row>
    <row r="1441" spans="1:20" ht="15.75" customHeight="1" x14ac:dyDescent="0.25">
      <c r="A1441" s="30" t="str">
        <f ca="1">IFERROR(__xludf.DUMMYFUNCTION("""COMPUTED_VALUE"""),"10580212167019")</f>
        <v>10580212167019</v>
      </c>
      <c r="B1441" s="30" t="str">
        <f ca="1">IFERROR(__xludf.DUMMYFUNCTION("""COMPUTED_VALUE"""),"HTAL LAS COLORADAS - DR CARLOS POTENTE")</f>
        <v>HTAL LAS COLORADAS - DR CARLOS POTENTE</v>
      </c>
      <c r="C1441" s="30" t="str">
        <f ca="1">IFERROR(__xludf.DUMMYFUNCTION("""COMPUTED_VALUE"""),"Neuquén")</f>
        <v>Neuquén</v>
      </c>
      <c r="D1441" s="30" t="str">
        <f ca="1">IFERROR(__xludf.DUMMYFUNCTION("""COMPUTED_VALUE"""),"58")</f>
        <v>58</v>
      </c>
      <c r="E1441" s="30" t="str">
        <f ca="1">IFERROR(__xludf.DUMMYFUNCTION("""COMPUTED_VALUE"""),"si")</f>
        <v>si</v>
      </c>
      <c r="F1441" s="29"/>
      <c r="G1441" s="29"/>
      <c r="H1441" s="30" t="str">
        <f ca="1">IFERROR(__xludf.DUMMYFUNCTION("""COMPUTED_VALUE"""),"activo")</f>
        <v>activo</v>
      </c>
      <c r="I1441" s="30" t="str">
        <f ca="1">IFERROR(__xludf.DUMMYFUNCTION("""COMPUTED_VALUE"""),"circular 2: se pasan de los 30 (pueden elegir reemplazarlo por 50580352167072)")</f>
        <v>circular 2: se pasan de los 30 (pueden elegir reemplazarlo por 50580352167072)</v>
      </c>
      <c r="J1441" s="29"/>
      <c r="K1441" s="29"/>
      <c r="L1441" s="30" t="str">
        <f ca="1">IFERROR(__xludf.DUMMYFUNCTION("""COMPUTED_VALUE"""),"No")</f>
        <v>No</v>
      </c>
      <c r="M1441" s="30" t="str">
        <f ca="1">IFERROR(__xludf.DUMMYFUNCTION("""COMPUTED_VALUE"""),"58021010000")</f>
        <v>58021010000</v>
      </c>
      <c r="N1441" s="30" t="str">
        <f ca="1">IFERROR(__xludf.DUMMYFUNCTION("""COMPUTED_VALUE"""),"LAS COLORADAS")</f>
        <v>LAS COLORADAS</v>
      </c>
      <c r="O1441" s="30" t="str">
        <f ca="1">IFERROR(__xludf.DUMMYFUNCTION("""COMPUTED_VALUE"""),"5821")</f>
        <v>5821</v>
      </c>
      <c r="P1441" s="30" t="str">
        <f ca="1">IFERROR(__xludf.DUMMYFUNCTION("""COMPUTED_VALUE"""),"CATÁN LIL")</f>
        <v>CATÁN LIL</v>
      </c>
      <c r="Q1441" s="30" t="str">
        <f ca="1">IFERROR(__xludf.DUMMYFUNCTION("""COMPUTED_VALUE"""),"-39.556435")</f>
        <v>-39.556435</v>
      </c>
      <c r="R1441" s="30" t="str">
        <f ca="1">IFERROR(__xludf.DUMMYFUNCTION("""COMPUTED_VALUE"""),"-70.595055")</f>
        <v>-70.595055</v>
      </c>
      <c r="S1441" s="30" t="str">
        <f ca="1">IFERROR(__xludf.DUMMYFUNCTION("""COMPUTED_VALUE"""),"Provincial")</f>
        <v>Provincial</v>
      </c>
      <c r="T1441" s="30" t="str">
        <f ca="1">IFERROR(__xludf.DUMMYFUNCTION("""COMPUTED_VALUE"""),"-")</f>
        <v>-</v>
      </c>
    </row>
    <row r="1442" spans="1:20" ht="15.75" customHeight="1" x14ac:dyDescent="0.25">
      <c r="A1442" s="30" t="str">
        <f ca="1">IFERROR(__xludf.DUMMYFUNCTION("""COMPUTED_VALUE"""),"50580352167073")</f>
        <v>50580352167073</v>
      </c>
      <c r="B1442" s="30" t="str">
        <f ca="1">IFERROR(__xludf.DUMMYFUNCTION("""COMPUTED_VALUE"""),"CENTRO DE SALUD BARRIO UNION - CAPS -")</f>
        <v>CENTRO DE SALUD BARRIO UNION - CAPS -</v>
      </c>
      <c r="C1442" s="30" t="str">
        <f ca="1">IFERROR(__xludf.DUMMYFUNCTION("""COMPUTED_VALUE"""),"Neuquén")</f>
        <v>Neuquén</v>
      </c>
      <c r="D1442" s="30" t="str">
        <f ca="1">IFERROR(__xludf.DUMMYFUNCTION("""COMPUTED_VALUE"""),"58")</f>
        <v>58</v>
      </c>
      <c r="E1442" s="30" t="str">
        <f ca="1">IFERROR(__xludf.DUMMYFUNCTION("""COMPUTED_VALUE"""),"")</f>
        <v/>
      </c>
      <c r="F1442" s="29"/>
      <c r="G1442" s="29"/>
      <c r="H1442" s="30" t="str">
        <f ca="1">IFERROR(__xludf.DUMMYFUNCTION("""COMPUTED_VALUE"""),"activo")</f>
        <v>activo</v>
      </c>
      <c r="I1442" s="30" t="str">
        <f ca="1">IFERROR(__xludf.DUMMYFUNCTION("""COMPUTED_VALUE"""),"circular 2: se pasan de los 30 (pueden elegir reemplazarlo por 50580352167072)")</f>
        <v>circular 2: se pasan de los 30 (pueden elegir reemplazarlo por 50580352167072)</v>
      </c>
      <c r="J1442" s="29"/>
      <c r="K1442" s="29"/>
      <c r="L1442" s="30" t="str">
        <f ca="1">IFERROR(__xludf.DUMMYFUNCTION("""COMPUTED_VALUE"""),"No")</f>
        <v>No</v>
      </c>
      <c r="M1442" s="30" t="str">
        <f ca="1">IFERROR(__xludf.DUMMYFUNCTION("""COMPUTED_VALUE"""),"58035040000")</f>
        <v>58035040000</v>
      </c>
      <c r="N1442" s="30" t="str">
        <f ca="1">IFERROR(__xludf.DUMMYFUNCTION("""COMPUTED_VALUE"""),"CUTRAL CO")</f>
        <v>CUTRAL CO</v>
      </c>
      <c r="O1442" s="30" t="str">
        <f ca="1">IFERROR(__xludf.DUMMYFUNCTION("""COMPUTED_VALUE"""),"5835")</f>
        <v>5835</v>
      </c>
      <c r="P1442" s="30" t="str">
        <f ca="1">IFERROR(__xludf.DUMMYFUNCTION("""COMPUTED_VALUE"""),"CONFLUENCIA")</f>
        <v>CONFLUENCIA</v>
      </c>
      <c r="Q1442" s="30" t="str">
        <f ca="1">IFERROR(__xludf.DUMMYFUNCTION("""COMPUTED_VALUE"""),"-38.9398277")</f>
        <v>-38.9398277</v>
      </c>
      <c r="R1442" s="30" t="str">
        <f ca="1">IFERROR(__xludf.DUMMYFUNCTION("""COMPUTED_VALUE"""),"-69.2179583")</f>
        <v>-69.2179583</v>
      </c>
      <c r="S1442" s="30" t="str">
        <f ca="1">IFERROR(__xludf.DUMMYFUNCTION("""COMPUTED_VALUE"""),"Provincial")</f>
        <v>Provincial</v>
      </c>
      <c r="T1442" s="30" t="str">
        <f ca="1">IFERROR(__xludf.DUMMYFUNCTION("""COMPUTED_VALUE"""),"-")</f>
        <v>-</v>
      </c>
    </row>
    <row r="1443" spans="1:20" ht="15.75" customHeight="1" x14ac:dyDescent="0.25">
      <c r="A1443" s="30" t="str">
        <f ca="1">IFERROR(__xludf.DUMMYFUNCTION("""COMPUTED_VALUE"""),"10620422170023")</f>
        <v>10620422170023</v>
      </c>
      <c r="B1443" s="30" t="str">
        <f ca="1">IFERROR(__xludf.DUMMYFUNCTION("""COMPUTED_VALUE"""),"HOSPITAL AREA PROGRAMA INGENIERO HUERGO")</f>
        <v>HOSPITAL AREA PROGRAMA INGENIERO HUERGO</v>
      </c>
      <c r="C1443" s="30" t="str">
        <f ca="1">IFERROR(__xludf.DUMMYFUNCTION("""COMPUTED_VALUE"""),"Río Negro")</f>
        <v>Río Negro</v>
      </c>
      <c r="D1443" s="30" t="str">
        <f ca="1">IFERROR(__xludf.DUMMYFUNCTION("""COMPUTED_VALUE"""),"62")</f>
        <v>62</v>
      </c>
      <c r="E1443" s="30" t="str">
        <f ca="1">IFERROR(__xludf.DUMMYFUNCTION("""COMPUTED_VALUE"""),"")</f>
        <v/>
      </c>
      <c r="F1443" s="29"/>
      <c r="G1443" s="29"/>
      <c r="H1443" s="30" t="str">
        <f ca="1">IFERROR(__xludf.DUMMYFUNCTION("""COMPUTED_VALUE"""),"activo")</f>
        <v>activo</v>
      </c>
      <c r="I1443" s="30" t="str">
        <f ca="1">IFERROR(__xludf.DUMMYFUNCTION("""COMPUTED_VALUE"""),"No se encontro la circular2")</f>
        <v>No se encontro la circular2</v>
      </c>
      <c r="J1443" s="29"/>
      <c r="K1443" s="29"/>
      <c r="L1443" s="30" t="str">
        <f ca="1">IFERROR(__xludf.DUMMYFUNCTION("""COMPUTED_VALUE"""),"No")</f>
        <v>No</v>
      </c>
      <c r="M1443" s="30" t="str">
        <f ca="1">IFERROR(__xludf.DUMMYFUNCTION("""COMPUTED_VALUE"""),"62042460000")</f>
        <v>62042460000</v>
      </c>
      <c r="N1443" s="30" t="str">
        <f ca="1">IFERROR(__xludf.DUMMYFUNCTION("""COMPUTED_VALUE"""),"INGENIERO LUIS A. HUERGO")</f>
        <v>INGENIERO LUIS A. HUERGO</v>
      </c>
      <c r="O1443" s="30" t="str">
        <f ca="1">IFERROR(__xludf.DUMMYFUNCTION("""COMPUTED_VALUE"""),"6242")</f>
        <v>6242</v>
      </c>
      <c r="P1443" s="30" t="str">
        <f ca="1">IFERROR(__xludf.DUMMYFUNCTION("""COMPUTED_VALUE"""),"GENERAL ROCA")</f>
        <v>GENERAL ROCA</v>
      </c>
      <c r="Q1443" s="30" t="str">
        <f ca="1">IFERROR(__xludf.DUMMYFUNCTION("""COMPUTED_VALUE"""),"-39.0741")</f>
        <v>-39.0741</v>
      </c>
      <c r="R1443" s="30" t="str">
        <f ca="1">IFERROR(__xludf.DUMMYFUNCTION("""COMPUTED_VALUE"""),"-67.23576")</f>
        <v>-67.23576</v>
      </c>
      <c r="S1443" s="30" t="str">
        <f ca="1">IFERROR(__xludf.DUMMYFUNCTION("""COMPUTED_VALUE"""),"Provincial")</f>
        <v>Provincial</v>
      </c>
      <c r="T1443" s="30" t="str">
        <f ca="1">IFERROR(__xludf.DUMMYFUNCTION("""COMPUTED_VALUE"""),"-")</f>
        <v>-</v>
      </c>
    </row>
    <row r="1444" spans="1:20" ht="15.75" customHeight="1" x14ac:dyDescent="0.25">
      <c r="A1444" s="30" t="str">
        <f ca="1">IFERROR(__xludf.DUMMYFUNCTION("""COMPUTED_VALUE"""),"10620142170037")</f>
        <v>10620142170037</v>
      </c>
      <c r="B1444" s="30" t="str">
        <f ca="1">IFERROR(__xludf.DUMMYFUNCTION("""COMPUTED_VALUE"""),"HOSPITAL AREA PROGRAMA LUIS BELTRAN DR. FERNANDO ROCHA")</f>
        <v>HOSPITAL AREA PROGRAMA LUIS BELTRAN DR. FERNANDO ROCHA</v>
      </c>
      <c r="C1444" s="30" t="str">
        <f ca="1">IFERROR(__xludf.DUMMYFUNCTION("""COMPUTED_VALUE"""),"Río Negro")</f>
        <v>Río Negro</v>
      </c>
      <c r="D1444" s="30" t="str">
        <f ca="1">IFERROR(__xludf.DUMMYFUNCTION("""COMPUTED_VALUE"""),"62")</f>
        <v>62</v>
      </c>
      <c r="E1444" s="30" t="str">
        <f ca="1">IFERROR(__xludf.DUMMYFUNCTION("""COMPUTED_VALUE"""),"")</f>
        <v/>
      </c>
      <c r="F1444" s="29"/>
      <c r="G1444" s="29"/>
      <c r="H1444" s="30" t="str">
        <f ca="1">IFERROR(__xludf.DUMMYFUNCTION("""COMPUTED_VALUE"""),"activo")</f>
        <v>activo</v>
      </c>
      <c r="I1444" s="30" t="str">
        <f ca="1">IFERROR(__xludf.DUMMYFUNCTION("""COMPUTED_VALUE"""),"No se encontro la circular2")</f>
        <v>No se encontro la circular2</v>
      </c>
      <c r="J1444" s="29"/>
      <c r="K1444" s="29"/>
      <c r="L1444" s="30" t="str">
        <f ca="1">IFERROR(__xludf.DUMMYFUNCTION("""COMPUTED_VALUE"""),"No")</f>
        <v>No</v>
      </c>
      <c r="M1444" s="30" t="str">
        <f ca="1">IFERROR(__xludf.DUMMYFUNCTION("""COMPUTED_VALUE"""),"62014080000")</f>
        <v>62014080000</v>
      </c>
      <c r="N1444" s="30" t="str">
        <f ca="1">IFERROR(__xludf.DUMMYFUNCTION("""COMPUTED_VALUE"""),"LUIS BELTRAN")</f>
        <v>LUIS BELTRAN</v>
      </c>
      <c r="O1444" s="30" t="str">
        <f ca="1">IFERROR(__xludf.DUMMYFUNCTION("""COMPUTED_VALUE"""),"6214")</f>
        <v>6214</v>
      </c>
      <c r="P1444" s="30" t="str">
        <f ca="1">IFERROR(__xludf.DUMMYFUNCTION("""COMPUTED_VALUE"""),"AVELLANEDA")</f>
        <v>AVELLANEDA</v>
      </c>
      <c r="Q1444" s="30" t="str">
        <f ca="1">IFERROR(__xludf.DUMMYFUNCTION("""COMPUTED_VALUE"""),"-39.30888")</f>
        <v>-39.30888</v>
      </c>
      <c r="R1444" s="30" t="str">
        <f ca="1">IFERROR(__xludf.DUMMYFUNCTION("""COMPUTED_VALUE"""),"-65.75948")</f>
        <v>-65.75948</v>
      </c>
      <c r="S1444" s="30" t="str">
        <f ca="1">IFERROR(__xludf.DUMMYFUNCTION("""COMPUTED_VALUE"""),"Provincial")</f>
        <v>Provincial</v>
      </c>
      <c r="T1444" s="30" t="str">
        <f ca="1">IFERROR(__xludf.DUMMYFUNCTION("""COMPUTED_VALUE"""),"-")</f>
        <v>-</v>
      </c>
    </row>
    <row r="1445" spans="1:20" ht="15.75" customHeight="1" x14ac:dyDescent="0.25">
      <c r="A1445" s="30" t="str">
        <f ca="1">IFERROR(__xludf.DUMMYFUNCTION("""COMPUTED_VALUE"""),"10620142170013")</f>
        <v>10620142170013</v>
      </c>
      <c r="B1445" s="30" t="str">
        <f ca="1">IFERROR(__xludf.DUMMYFUNCTION("""COMPUTED_VALUE"""),"HOSPITAL AREA PROGRAMA CHIMPAY")</f>
        <v>HOSPITAL AREA PROGRAMA CHIMPAY</v>
      </c>
      <c r="C1445" s="30" t="str">
        <f ca="1">IFERROR(__xludf.DUMMYFUNCTION("""COMPUTED_VALUE"""),"Río Negro")</f>
        <v>Río Negro</v>
      </c>
      <c r="D1445" s="30" t="str">
        <f ca="1">IFERROR(__xludf.DUMMYFUNCTION("""COMPUTED_VALUE"""),"62")</f>
        <v>62</v>
      </c>
      <c r="E1445" s="30" t="str">
        <f ca="1">IFERROR(__xludf.DUMMYFUNCTION("""COMPUTED_VALUE"""),"")</f>
        <v/>
      </c>
      <c r="F1445" s="29"/>
      <c r="G1445" s="29"/>
      <c r="H1445" s="30" t="str">
        <f ca="1">IFERROR(__xludf.DUMMYFUNCTION("""COMPUTED_VALUE"""),"activo")</f>
        <v>activo</v>
      </c>
      <c r="I1445" s="30" t="str">
        <f ca="1">IFERROR(__xludf.DUMMYFUNCTION("""COMPUTED_VALUE"""),"No se encontro la circular2")</f>
        <v>No se encontro la circular2</v>
      </c>
      <c r="J1445" s="29"/>
      <c r="K1445" s="29"/>
      <c r="L1445" s="30" t="str">
        <f ca="1">IFERROR(__xludf.DUMMYFUNCTION("""COMPUTED_VALUE"""),"No")</f>
        <v>No</v>
      </c>
      <c r="M1445" s="30" t="str">
        <f ca="1">IFERROR(__xludf.DUMMYFUNCTION("""COMPUTED_VALUE"""),"62014030000")</f>
        <v>62014030000</v>
      </c>
      <c r="N1445" s="30" t="str">
        <f ca="1">IFERROR(__xludf.DUMMYFUNCTION("""COMPUTED_VALUE"""),"CHIMPAY")</f>
        <v>CHIMPAY</v>
      </c>
      <c r="O1445" s="30" t="str">
        <f ca="1">IFERROR(__xludf.DUMMYFUNCTION("""COMPUTED_VALUE"""),"6214")</f>
        <v>6214</v>
      </c>
      <c r="P1445" s="30" t="str">
        <f ca="1">IFERROR(__xludf.DUMMYFUNCTION("""COMPUTED_VALUE"""),"AVELLANEDA")</f>
        <v>AVELLANEDA</v>
      </c>
      <c r="Q1445" s="30" t="str">
        <f ca="1">IFERROR(__xludf.DUMMYFUNCTION("""COMPUTED_VALUE"""),"-39.164551")</f>
        <v>-39.164551</v>
      </c>
      <c r="R1445" s="30" t="str">
        <f ca="1">IFERROR(__xludf.DUMMYFUNCTION("""COMPUTED_VALUE"""),"-66.1417")</f>
        <v>-66.1417</v>
      </c>
      <c r="S1445" s="30" t="str">
        <f ca="1">IFERROR(__xludf.DUMMYFUNCTION("""COMPUTED_VALUE"""),"Provincial")</f>
        <v>Provincial</v>
      </c>
      <c r="T1445" s="30" t="str">
        <f ca="1">IFERROR(__xludf.DUMMYFUNCTION("""COMPUTED_VALUE"""),"-")</f>
        <v>-</v>
      </c>
    </row>
    <row r="1446" spans="1:20" ht="15.75" customHeight="1" x14ac:dyDescent="0.25">
      <c r="A1446" s="30" t="str">
        <f ca="1">IFERROR(__xludf.DUMMYFUNCTION("""COMPUTED_VALUE"""),"50620072170118")</f>
        <v>50620072170118</v>
      </c>
      <c r="B1446" s="30" t="str">
        <f ca="1">IFERROR(__xludf.DUMMYFUNCTION("""COMPUTED_VALUE"""),"CENTRO DE SALUD BARRIO SAN MARTIN")</f>
        <v>CENTRO DE SALUD BARRIO SAN MARTIN</v>
      </c>
      <c r="C1446" s="30" t="str">
        <f ca="1">IFERROR(__xludf.DUMMYFUNCTION("""COMPUTED_VALUE"""),"Río Negro")</f>
        <v>Río Negro</v>
      </c>
      <c r="D1446" s="30" t="str">
        <f ca="1">IFERROR(__xludf.DUMMYFUNCTION("""COMPUTED_VALUE"""),"62")</f>
        <v>62</v>
      </c>
      <c r="E1446" s="30" t="str">
        <f ca="1">IFERROR(__xludf.DUMMYFUNCTION("""COMPUTED_VALUE"""),"")</f>
        <v/>
      </c>
      <c r="F1446" s="30" t="str">
        <f ca="1">IFERROR(__xludf.DUMMYFUNCTION("""COMPUTED_VALUE"""),"10620422170010")</f>
        <v>10620422170010</v>
      </c>
      <c r="G1446" s="29"/>
      <c r="H1446" s="30" t="str">
        <f ca="1">IFERROR(__xludf.DUMMYFUNCTION("""COMPUTED_VALUE"""),"activo")</f>
        <v>activo</v>
      </c>
      <c r="I1446" s="30" t="str">
        <f ca="1">IFERROR(__xludf.DUMMYFUNCTION("""COMPUTED_VALUE"""),"No se encontro la circular2")</f>
        <v>No se encontro la circular2</v>
      </c>
      <c r="J1446" s="29"/>
      <c r="K1446" s="29"/>
      <c r="L1446" s="30" t="str">
        <f ca="1">IFERROR(__xludf.DUMMYFUNCTION("""COMPUTED_VALUE"""),"No")</f>
        <v>No</v>
      </c>
      <c r="M1446" s="30" t="str">
        <f ca="1">IFERROR(__xludf.DUMMYFUNCTION("""COMPUTED_VALUE"""),"62007090000")</f>
        <v>62007090000</v>
      </c>
      <c r="N1446" s="30" t="str">
        <f ca="1">IFERROR(__xludf.DUMMYFUNCTION("""COMPUTED_VALUE"""),"VIEDMA")</f>
        <v>VIEDMA</v>
      </c>
      <c r="O1446" s="30" t="str">
        <f ca="1">IFERROR(__xludf.DUMMYFUNCTION("""COMPUTED_VALUE"""),"627")</f>
        <v>627</v>
      </c>
      <c r="P1446" s="30" t="str">
        <f ca="1">IFERROR(__xludf.DUMMYFUNCTION("""COMPUTED_VALUE"""),"ADOLFO ALSINA")</f>
        <v>ADOLFO ALSINA</v>
      </c>
      <c r="Q1446" s="30" t="str">
        <f ca="1">IFERROR(__xludf.DUMMYFUNCTION("""COMPUTED_VALUE"""),"-40.8085808")</f>
        <v>-40.8085808</v>
      </c>
      <c r="R1446" s="30" t="str">
        <f ca="1">IFERROR(__xludf.DUMMYFUNCTION("""COMPUTED_VALUE"""),"-63.0176484")</f>
        <v>-63.0176484</v>
      </c>
      <c r="S1446" s="30" t="str">
        <f ca="1">IFERROR(__xludf.DUMMYFUNCTION("""COMPUTED_VALUE"""),"Provincial")</f>
        <v>Provincial</v>
      </c>
      <c r="T1446" s="30" t="str">
        <f ca="1">IFERROR(__xludf.DUMMYFUNCTION("""COMPUTED_VALUE"""),"-")</f>
        <v>-</v>
      </c>
    </row>
    <row r="1447" spans="1:20" ht="15.75" customHeight="1" x14ac:dyDescent="0.25">
      <c r="A1447" s="30" t="str">
        <f ca="1">IFERROR(__xludf.DUMMYFUNCTION("""COMPUTED_VALUE"""),"10620422170010")</f>
        <v>10620422170010</v>
      </c>
      <c r="B1447" s="30" t="str">
        <f ca="1">IFERROR(__xludf.DUMMYFUNCTION("""COMPUTED_VALUE"""),"HOSPITAL AREA PROGRAMA CAMPO GRANDE")</f>
        <v>HOSPITAL AREA PROGRAMA CAMPO GRANDE</v>
      </c>
      <c r="C1447" s="30" t="str">
        <f ca="1">IFERROR(__xludf.DUMMYFUNCTION("""COMPUTED_VALUE"""),"Río Negro")</f>
        <v>Río Negro</v>
      </c>
      <c r="D1447" s="30" t="str">
        <f ca="1">IFERROR(__xludf.DUMMYFUNCTION("""COMPUTED_VALUE"""),"62")</f>
        <v>62</v>
      </c>
      <c r="E1447" s="30" t="str">
        <f ca="1">IFERROR(__xludf.DUMMYFUNCTION("""COMPUTED_VALUE"""),"")</f>
        <v/>
      </c>
      <c r="F1447" s="29"/>
      <c r="G1447" s="30" t="str">
        <f ca="1">IFERROR(__xludf.DUMMYFUNCTION("""COMPUTED_VALUE"""),"50620072170118")</f>
        <v>50620072170118</v>
      </c>
      <c r="H1447" s="30" t="str">
        <f ca="1">IFERROR(__xludf.DUMMYFUNCTION("""COMPUTED_VALUE"""),"inactivo")</f>
        <v>inactivo</v>
      </c>
      <c r="I1447" s="30" t="str">
        <f ca="1">IFERROR(__xludf.DUMMYFUNCTION("""COMPUTED_VALUE"""),"No se encontro la circular2")</f>
        <v>No se encontro la circular2</v>
      </c>
      <c r="J1447" s="29"/>
      <c r="K1447" s="29"/>
      <c r="L1447" s="30" t="str">
        <f ca="1">IFERROR(__xludf.DUMMYFUNCTION("""COMPUTED_VALUE"""),"No")</f>
        <v>No</v>
      </c>
      <c r="M1447" s="30" t="str">
        <f ca="1">IFERROR(__xludf.DUMMYFUNCTION("""COMPUTED_VALUE"""),"62042550000")</f>
        <v>62042550000</v>
      </c>
      <c r="N1447" s="30" t="str">
        <f ca="1">IFERROR(__xludf.DUMMYFUNCTION("""COMPUTED_VALUE"""),"VILLA MANZANO")</f>
        <v>VILLA MANZANO</v>
      </c>
      <c r="O1447" s="30" t="str">
        <f ca="1">IFERROR(__xludf.DUMMYFUNCTION("""COMPUTED_VALUE"""),"6242")</f>
        <v>6242</v>
      </c>
      <c r="P1447" s="30" t="str">
        <f ca="1">IFERROR(__xludf.DUMMYFUNCTION("""COMPUTED_VALUE"""),"GENERAL ROCA")</f>
        <v>GENERAL ROCA</v>
      </c>
      <c r="Q1447" s="30" t="str">
        <f ca="1">IFERROR(__xludf.DUMMYFUNCTION("""COMPUTED_VALUE"""),"-38.6825")</f>
        <v>-38.6825</v>
      </c>
      <c r="R1447" s="30" t="str">
        <f ca="1">IFERROR(__xludf.DUMMYFUNCTION("""COMPUTED_VALUE"""),"-68.21135")</f>
        <v>-68.21135</v>
      </c>
      <c r="S1447" s="30" t="str">
        <f ca="1">IFERROR(__xludf.DUMMYFUNCTION("""COMPUTED_VALUE"""),"Provincial")</f>
        <v>Provincial</v>
      </c>
      <c r="T1447" s="30" t="str">
        <f ca="1">IFERROR(__xludf.DUMMYFUNCTION("""COMPUTED_VALUE"""),"-")</f>
        <v>-</v>
      </c>
    </row>
    <row r="1448" spans="1:20" ht="15.75" customHeight="1" x14ac:dyDescent="0.25">
      <c r="A1448" s="30" t="str">
        <f ca="1">IFERROR(__xludf.DUMMYFUNCTION("""COMPUTED_VALUE"""),"50620422170127")</f>
        <v>50620422170127</v>
      </c>
      <c r="B1448" s="30" t="str">
        <f ca="1">IFERROR(__xludf.DUMMYFUNCTION("""COMPUTED_VALUE"""),"CENTRO DE SALUD CONTRAALMIRANTE CORDERO - CINCO SALTOS")</f>
        <v>CENTRO DE SALUD CONTRAALMIRANTE CORDERO - CINCO SALTOS</v>
      </c>
      <c r="C1448" s="30" t="str">
        <f ca="1">IFERROR(__xludf.DUMMYFUNCTION("""COMPUTED_VALUE"""),"Río Negro")</f>
        <v>Río Negro</v>
      </c>
      <c r="D1448" s="30" t="str">
        <f ca="1">IFERROR(__xludf.DUMMYFUNCTION("""COMPUTED_VALUE"""),"62")</f>
        <v>62</v>
      </c>
      <c r="E1448" s="30" t="str">
        <f ca="1">IFERROR(__xludf.DUMMYFUNCTION("""COMPUTED_VALUE"""),"")</f>
        <v/>
      </c>
      <c r="F1448" s="29"/>
      <c r="G1448" s="29"/>
      <c r="H1448" s="30" t="str">
        <f ca="1">IFERROR(__xludf.DUMMYFUNCTION("""COMPUTED_VALUE"""),"activo")</f>
        <v>activo</v>
      </c>
      <c r="I1448" s="30" t="str">
        <f ca="1">IFERROR(__xludf.DUMMYFUNCTION("""COMPUTED_VALUE"""),"No se encontro la circular2")</f>
        <v>No se encontro la circular2</v>
      </c>
      <c r="J1448" s="29"/>
      <c r="K1448" s="29"/>
      <c r="L1448" s="30" t="str">
        <f ca="1">IFERROR(__xludf.DUMMYFUNCTION("""COMPUTED_VALUE"""),"No")</f>
        <v>No</v>
      </c>
      <c r="M1448" s="30" t="str">
        <f ca="1">IFERROR(__xludf.DUMMYFUNCTION("""COMPUTED_VALUE"""),"62042390000")</f>
        <v>62042390000</v>
      </c>
      <c r="N1448" s="30" t="str">
        <f ca="1">IFERROR(__xludf.DUMMYFUNCTION("""COMPUTED_VALUE"""),"CINCO SALTOS")</f>
        <v>CINCO SALTOS</v>
      </c>
      <c r="O1448" s="30" t="str">
        <f ca="1">IFERROR(__xludf.DUMMYFUNCTION("""COMPUTED_VALUE"""),"6242")</f>
        <v>6242</v>
      </c>
      <c r="P1448" s="30" t="str">
        <f ca="1">IFERROR(__xludf.DUMMYFUNCTION("""COMPUTED_VALUE"""),"GENERAL ROCA")</f>
        <v>GENERAL ROCA</v>
      </c>
      <c r="Q1448" s="30" t="str">
        <f ca="1">IFERROR(__xludf.DUMMYFUNCTION("""COMPUTED_VALUE"""),"-38.75768")</f>
        <v>-38.75768</v>
      </c>
      <c r="R1448" s="30" t="str">
        <f ca="1">IFERROR(__xludf.DUMMYFUNCTION("""COMPUTED_VALUE"""),"-68.09924")</f>
        <v>-68.09924</v>
      </c>
      <c r="S1448" s="30" t="str">
        <f ca="1">IFERROR(__xludf.DUMMYFUNCTION("""COMPUTED_VALUE"""),"Provincial")</f>
        <v>Provincial</v>
      </c>
      <c r="T1448" s="30" t="str">
        <f ca="1">IFERROR(__xludf.DUMMYFUNCTION("""COMPUTED_VALUE"""),"-")</f>
        <v>-</v>
      </c>
    </row>
    <row r="1449" spans="1:20" ht="15.75" customHeight="1" x14ac:dyDescent="0.25">
      <c r="A1449" s="30" t="str">
        <f ca="1">IFERROR(__xludf.DUMMYFUNCTION("""COMPUTED_VALUE"""),"50620422170224")</f>
        <v>50620422170224</v>
      </c>
      <c r="B1449" s="30" t="str">
        <f ca="1">IFERROR(__xludf.DUMMYFUNCTION("""COMPUTED_VALUE"""),"HOSPITAL AREA PROGRAMA CHICHINALES")</f>
        <v>HOSPITAL AREA PROGRAMA CHICHINALES</v>
      </c>
      <c r="C1449" s="30" t="str">
        <f ca="1">IFERROR(__xludf.DUMMYFUNCTION("""COMPUTED_VALUE"""),"Río Negro")</f>
        <v>Río Negro</v>
      </c>
      <c r="D1449" s="30" t="str">
        <f ca="1">IFERROR(__xludf.DUMMYFUNCTION("""COMPUTED_VALUE"""),"62")</f>
        <v>62</v>
      </c>
      <c r="E1449" s="30" t="str">
        <f ca="1">IFERROR(__xludf.DUMMYFUNCTION("""COMPUTED_VALUE"""),"")</f>
        <v/>
      </c>
      <c r="F1449" s="29"/>
      <c r="G1449" s="29"/>
      <c r="H1449" s="30" t="str">
        <f ca="1">IFERROR(__xludf.DUMMYFUNCTION("""COMPUTED_VALUE"""),"activo")</f>
        <v>activo</v>
      </c>
      <c r="I1449" s="30" t="str">
        <f ca="1">IFERROR(__xludf.DUMMYFUNCTION("""COMPUTED_VALUE"""),"No se encontro la circular2")</f>
        <v>No se encontro la circular2</v>
      </c>
      <c r="J1449" s="29"/>
      <c r="K1449" s="29"/>
      <c r="L1449" s="30" t="str">
        <f ca="1">IFERROR(__xludf.DUMMYFUNCTION("""COMPUTED_VALUE"""),"No")</f>
        <v>No</v>
      </c>
      <c r="M1449" s="30" t="str">
        <f ca="1">IFERROR(__xludf.DUMMYFUNCTION("""COMPUTED_VALUE"""),"62042380000")</f>
        <v>62042380000</v>
      </c>
      <c r="N1449" s="30" t="str">
        <f ca="1">IFERROR(__xludf.DUMMYFUNCTION("""COMPUTED_VALUE"""),"CHICHINALES")</f>
        <v>CHICHINALES</v>
      </c>
      <c r="O1449" s="30" t="str">
        <f ca="1">IFERROR(__xludf.DUMMYFUNCTION("""COMPUTED_VALUE"""),"6242")</f>
        <v>6242</v>
      </c>
      <c r="P1449" s="30" t="str">
        <f ca="1">IFERROR(__xludf.DUMMYFUNCTION("""COMPUTED_VALUE"""),"GENERAL ROCA")</f>
        <v>GENERAL ROCA</v>
      </c>
      <c r="Q1449" s="30" t="str">
        <f ca="1">IFERROR(__xludf.DUMMYFUNCTION("""COMPUTED_VALUE"""),"-39.1151733")</f>
        <v>-39.1151733</v>
      </c>
      <c r="R1449" s="30" t="str">
        <f ca="1">IFERROR(__xludf.DUMMYFUNCTION("""COMPUTED_VALUE"""),"-66.9430713")</f>
        <v>-66.9430713</v>
      </c>
      <c r="S1449" s="30" t="str">
        <f ca="1">IFERROR(__xludf.DUMMYFUNCTION("""COMPUTED_VALUE"""),"Provincial")</f>
        <v>Provincial</v>
      </c>
      <c r="T1449" s="30" t="str">
        <f ca="1">IFERROR(__xludf.DUMMYFUNCTION("""COMPUTED_VALUE"""),"-")</f>
        <v>-</v>
      </c>
    </row>
    <row r="1450" spans="1:20" ht="15.75" customHeight="1" x14ac:dyDescent="0.25">
      <c r="A1450" s="30" t="str">
        <f ca="1">IFERROR(__xludf.DUMMYFUNCTION("""COMPUTED_VALUE"""),"50620422170233")</f>
        <v>50620422170233</v>
      </c>
      <c r="B1450" s="30" t="str">
        <f ca="1">IFERROR(__xludf.DUMMYFUNCTION("""COMPUTED_VALUE"""),"PUESTO SANITARIO BARDA DEL MEDIO")</f>
        <v>PUESTO SANITARIO BARDA DEL MEDIO</v>
      </c>
      <c r="C1450" s="30" t="str">
        <f ca="1">IFERROR(__xludf.DUMMYFUNCTION("""COMPUTED_VALUE"""),"Río Negro")</f>
        <v>Río Negro</v>
      </c>
      <c r="D1450" s="30" t="str">
        <f ca="1">IFERROR(__xludf.DUMMYFUNCTION("""COMPUTED_VALUE"""),"62")</f>
        <v>62</v>
      </c>
      <c r="E1450" s="30" t="str">
        <f ca="1">IFERROR(__xludf.DUMMYFUNCTION("""COMPUTED_VALUE"""),"")</f>
        <v/>
      </c>
      <c r="F1450" s="29"/>
      <c r="G1450" s="29"/>
      <c r="H1450" s="30" t="str">
        <f ca="1">IFERROR(__xludf.DUMMYFUNCTION("""COMPUTED_VALUE"""),"activo")</f>
        <v>activo</v>
      </c>
      <c r="I1450" s="30" t="str">
        <f ca="1">IFERROR(__xludf.DUMMYFUNCTION("""COMPUTED_VALUE"""),"No se encontro la circular2")</f>
        <v>No se encontro la circular2</v>
      </c>
      <c r="J1450" s="29"/>
      <c r="K1450" s="29"/>
      <c r="L1450" s="30" t="str">
        <f ca="1">IFERROR(__xludf.DUMMYFUNCTION("""COMPUTED_VALUE"""),"No")</f>
        <v>No</v>
      </c>
      <c r="M1450" s="30" t="str">
        <f ca="1">IFERROR(__xludf.DUMMYFUNCTION("""COMPUTED_VALUE"""),"62042390000")</f>
        <v>62042390000</v>
      </c>
      <c r="N1450" s="30" t="str">
        <f ca="1">IFERROR(__xludf.DUMMYFUNCTION("""COMPUTED_VALUE"""),"CINCO SALTOS")</f>
        <v>CINCO SALTOS</v>
      </c>
      <c r="O1450" s="30" t="str">
        <f ca="1">IFERROR(__xludf.DUMMYFUNCTION("""COMPUTED_VALUE"""),"6242")</f>
        <v>6242</v>
      </c>
      <c r="P1450" s="30" t="str">
        <f ca="1">IFERROR(__xludf.DUMMYFUNCTION("""COMPUTED_VALUE"""),"GENERAL ROCA")</f>
        <v>GENERAL ROCA</v>
      </c>
      <c r="Q1450" s="30" t="str">
        <f ca="1">IFERROR(__xludf.DUMMYFUNCTION("""COMPUTED_VALUE"""),"-38.72501")</f>
        <v>-38.72501</v>
      </c>
      <c r="R1450" s="30" t="str">
        <f ca="1">IFERROR(__xludf.DUMMYFUNCTION("""COMPUTED_VALUE"""),"-68.15323")</f>
        <v>-68.15323</v>
      </c>
      <c r="S1450" s="30" t="str">
        <f ca="1">IFERROR(__xludf.DUMMYFUNCTION("""COMPUTED_VALUE"""),"Provincial")</f>
        <v>Provincial</v>
      </c>
      <c r="T1450" s="30" t="str">
        <f ca="1">IFERROR(__xludf.DUMMYFUNCTION("""COMPUTED_VALUE"""),"-")</f>
        <v>-</v>
      </c>
    </row>
    <row r="1451" spans="1:20" ht="15.75" customHeight="1" x14ac:dyDescent="0.25">
      <c r="A1451" s="30" t="str">
        <f ca="1">IFERROR(__xludf.DUMMYFUNCTION("""COMPUTED_VALUE"""),"10620422170012")</f>
        <v>10620422170012</v>
      </c>
      <c r="B1451" s="30" t="str">
        <f ca="1">IFERROR(__xludf.DUMMYFUNCTION("""COMPUTED_VALUE"""),"HOSPITAL AREA PROGRAMA CERVANTES")</f>
        <v>HOSPITAL AREA PROGRAMA CERVANTES</v>
      </c>
      <c r="C1451" s="30" t="str">
        <f ca="1">IFERROR(__xludf.DUMMYFUNCTION("""COMPUTED_VALUE"""),"Río Negro")</f>
        <v>Río Negro</v>
      </c>
      <c r="D1451" s="30" t="str">
        <f ca="1">IFERROR(__xludf.DUMMYFUNCTION("""COMPUTED_VALUE"""),"62")</f>
        <v>62</v>
      </c>
      <c r="E1451" s="30" t="str">
        <f ca="1">IFERROR(__xludf.DUMMYFUNCTION("""COMPUTED_VALUE"""),"")</f>
        <v/>
      </c>
      <c r="F1451" s="29"/>
      <c r="G1451" s="29"/>
      <c r="H1451" s="30" t="str">
        <f ca="1">IFERROR(__xludf.DUMMYFUNCTION("""COMPUTED_VALUE"""),"activo")</f>
        <v>activo</v>
      </c>
      <c r="I1451" s="30" t="str">
        <f ca="1">IFERROR(__xludf.DUMMYFUNCTION("""COMPUTED_VALUE"""),"No se encontro la circular2")</f>
        <v>No se encontro la circular2</v>
      </c>
      <c r="J1451" s="29"/>
      <c r="K1451" s="29"/>
      <c r="L1451" s="30" t="str">
        <f ca="1">IFERROR(__xludf.DUMMYFUNCTION("""COMPUTED_VALUE"""),"No")</f>
        <v>No</v>
      </c>
      <c r="M1451" s="30" t="str">
        <f ca="1">IFERROR(__xludf.DUMMYFUNCTION("""COMPUTED_VALUE"""),"62042370000")</f>
        <v>62042370000</v>
      </c>
      <c r="N1451" s="30" t="str">
        <f ca="1">IFERROR(__xludf.DUMMYFUNCTION("""COMPUTED_VALUE"""),"CERVANTES")</f>
        <v>CERVANTES</v>
      </c>
      <c r="O1451" s="30" t="str">
        <f ca="1">IFERROR(__xludf.DUMMYFUNCTION("""COMPUTED_VALUE"""),"6242")</f>
        <v>6242</v>
      </c>
      <c r="P1451" s="30" t="str">
        <f ca="1">IFERROR(__xludf.DUMMYFUNCTION("""COMPUTED_VALUE"""),"GENERAL ROCA")</f>
        <v>GENERAL ROCA</v>
      </c>
      <c r="Q1451" s="30" t="str">
        <f ca="1">IFERROR(__xludf.DUMMYFUNCTION("""COMPUTED_VALUE"""),"-39.0532807")</f>
        <v>-39.0532807</v>
      </c>
      <c r="R1451" s="30" t="str">
        <f ca="1">IFERROR(__xludf.DUMMYFUNCTION("""COMPUTED_VALUE"""),"-67.39646")</f>
        <v>-67.39646</v>
      </c>
      <c r="S1451" s="30" t="str">
        <f ca="1">IFERROR(__xludf.DUMMYFUNCTION("""COMPUTED_VALUE"""),"Provincial")</f>
        <v>Provincial</v>
      </c>
      <c r="T1451" s="30" t="str">
        <f ca="1">IFERROR(__xludf.DUMMYFUNCTION("""COMPUTED_VALUE"""),"-")</f>
        <v>-</v>
      </c>
    </row>
    <row r="1452" spans="1:20" ht="15.75" customHeight="1" x14ac:dyDescent="0.25">
      <c r="A1452" s="30" t="str">
        <f ca="1">IFERROR(__xludf.DUMMYFUNCTION("""COMPUTED_VALUE"""),"10620142170017")</f>
        <v>10620142170017</v>
      </c>
      <c r="B1452" s="30" t="str">
        <f ca="1">IFERROR(__xludf.DUMMYFUNCTION("""COMPUTED_VALUE"""),"HOSPITAL AREA PROGRAMA CORONEL BELISLE")</f>
        <v>HOSPITAL AREA PROGRAMA CORONEL BELISLE</v>
      </c>
      <c r="C1452" s="30" t="str">
        <f ca="1">IFERROR(__xludf.DUMMYFUNCTION("""COMPUTED_VALUE"""),"Río Negro")</f>
        <v>Río Negro</v>
      </c>
      <c r="D1452" s="30" t="str">
        <f ca="1">IFERROR(__xludf.DUMMYFUNCTION("""COMPUTED_VALUE"""),"62")</f>
        <v>62</v>
      </c>
      <c r="E1452" s="30" t="str">
        <f ca="1">IFERROR(__xludf.DUMMYFUNCTION("""COMPUTED_VALUE"""),"")</f>
        <v/>
      </c>
      <c r="F1452" s="29"/>
      <c r="G1452" s="29"/>
      <c r="H1452" s="30" t="str">
        <f ca="1">IFERROR(__xludf.DUMMYFUNCTION("""COMPUTED_VALUE"""),"activo")</f>
        <v>activo</v>
      </c>
      <c r="I1452" s="30" t="str">
        <f ca="1">IFERROR(__xludf.DUMMYFUNCTION("""COMPUTED_VALUE"""),"No se encontro la circular2")</f>
        <v>No se encontro la circular2</v>
      </c>
      <c r="J1452" s="29"/>
      <c r="K1452" s="29"/>
      <c r="L1452" s="30" t="str">
        <f ca="1">IFERROR(__xludf.DUMMYFUNCTION("""COMPUTED_VALUE"""),"No")</f>
        <v>No</v>
      </c>
      <c r="M1452" s="30" t="str">
        <f ca="1">IFERROR(__xludf.DUMMYFUNCTION("""COMPUTED_VALUE"""),"62014050000")</f>
        <v>62014050000</v>
      </c>
      <c r="N1452" s="30" t="str">
        <f ca="1">IFERROR(__xludf.DUMMYFUNCTION("""COMPUTED_VALUE"""),"CORONEL BELISLE")</f>
        <v>CORONEL BELISLE</v>
      </c>
      <c r="O1452" s="30" t="str">
        <f ca="1">IFERROR(__xludf.DUMMYFUNCTION("""COMPUTED_VALUE"""),"6214")</f>
        <v>6214</v>
      </c>
      <c r="P1452" s="30" t="str">
        <f ca="1">IFERROR(__xludf.DUMMYFUNCTION("""COMPUTED_VALUE"""),"AVELLANEDA")</f>
        <v>AVELLANEDA</v>
      </c>
      <c r="Q1452" s="30" t="str">
        <f ca="1">IFERROR(__xludf.DUMMYFUNCTION("""COMPUTED_VALUE"""),"-39.18710551")</f>
        <v>-39.18710551</v>
      </c>
      <c r="R1452" s="30" t="str">
        <f ca="1">IFERROR(__xludf.DUMMYFUNCTION("""COMPUTED_VALUE"""),"-65.95673695")</f>
        <v>-65.95673695</v>
      </c>
      <c r="S1452" s="30" t="str">
        <f ca="1">IFERROR(__xludf.DUMMYFUNCTION("""COMPUTED_VALUE"""),"Provincial")</f>
        <v>Provincial</v>
      </c>
      <c r="T1452" s="30" t="str">
        <f ca="1">IFERROR(__xludf.DUMMYFUNCTION("""COMPUTED_VALUE"""),"-")</f>
        <v>-</v>
      </c>
    </row>
    <row r="1453" spans="1:20" ht="15.75" customHeight="1" x14ac:dyDescent="0.25">
      <c r="A1453" s="30" t="str">
        <f ca="1">IFERROR(__xludf.DUMMYFUNCTION("""COMPUTED_VALUE"""),"50620072170150")</f>
        <v>50620072170150</v>
      </c>
      <c r="B1453" s="30" t="str">
        <f ca="1">IFERROR(__xludf.DUMMYFUNCTION("""COMPUTED_VALUE"""),"CENTRO DE SALUD DON ZATTI")</f>
        <v>CENTRO DE SALUD DON ZATTI</v>
      </c>
      <c r="C1453" s="30" t="str">
        <f ca="1">IFERROR(__xludf.DUMMYFUNCTION("""COMPUTED_VALUE"""),"Río Negro")</f>
        <v>Río Negro</v>
      </c>
      <c r="D1453" s="30" t="str">
        <f ca="1">IFERROR(__xludf.DUMMYFUNCTION("""COMPUTED_VALUE"""),"62")</f>
        <v>62</v>
      </c>
      <c r="E1453" s="30" t="str">
        <f ca="1">IFERROR(__xludf.DUMMYFUNCTION("""COMPUTED_VALUE"""),"")</f>
        <v/>
      </c>
      <c r="F1453" s="29"/>
      <c r="G1453" s="29"/>
      <c r="H1453" s="30" t="str">
        <f ca="1">IFERROR(__xludf.DUMMYFUNCTION("""COMPUTED_VALUE"""),"activo")</f>
        <v>activo</v>
      </c>
      <c r="I1453" s="30" t="str">
        <f ca="1">IFERROR(__xludf.DUMMYFUNCTION("""COMPUTED_VALUE"""),"No se encontro la circular2")</f>
        <v>No se encontro la circular2</v>
      </c>
      <c r="J1453" s="29"/>
      <c r="K1453" s="29"/>
      <c r="L1453" s="30" t="str">
        <f ca="1">IFERROR(__xludf.DUMMYFUNCTION("""COMPUTED_VALUE"""),"No")</f>
        <v>No</v>
      </c>
      <c r="M1453" s="30" t="str">
        <f ca="1">IFERROR(__xludf.DUMMYFUNCTION("""COMPUTED_VALUE"""),"62007090000")</f>
        <v>62007090000</v>
      </c>
      <c r="N1453" s="30" t="str">
        <f ca="1">IFERROR(__xludf.DUMMYFUNCTION("""COMPUTED_VALUE"""),"VIEDMA")</f>
        <v>VIEDMA</v>
      </c>
      <c r="O1453" s="30" t="str">
        <f ca="1">IFERROR(__xludf.DUMMYFUNCTION("""COMPUTED_VALUE"""),"627")</f>
        <v>627</v>
      </c>
      <c r="P1453" s="30" t="str">
        <f ca="1">IFERROR(__xludf.DUMMYFUNCTION("""COMPUTED_VALUE"""),"ADOLFO ALSINA")</f>
        <v>ADOLFO ALSINA</v>
      </c>
      <c r="Q1453" s="30" t="str">
        <f ca="1">IFERROR(__xludf.DUMMYFUNCTION("""COMPUTED_VALUE"""),"-40.81930706")</f>
        <v>-40.81930706</v>
      </c>
      <c r="R1453" s="30" t="str">
        <f ca="1">IFERROR(__xludf.DUMMYFUNCTION("""COMPUTED_VALUE"""),"-63.00220861")</f>
        <v>-63.00220861</v>
      </c>
      <c r="S1453" s="30" t="str">
        <f ca="1">IFERROR(__xludf.DUMMYFUNCTION("""COMPUTED_VALUE"""),"Provincial")</f>
        <v>Provincial</v>
      </c>
      <c r="T1453" s="30" t="str">
        <f ca="1">IFERROR(__xludf.DUMMYFUNCTION("""COMPUTED_VALUE"""),"-")</f>
        <v>-</v>
      </c>
    </row>
    <row r="1454" spans="1:20" ht="15.75" customHeight="1" x14ac:dyDescent="0.25">
      <c r="A1454" s="30" t="str">
        <f ca="1">IFERROR(__xludf.DUMMYFUNCTION("""COMPUTED_VALUE"""),"10620912170028")</f>
        <v>10620912170028</v>
      </c>
      <c r="B1454" s="30" t="str">
        <f ca="1">IFERROR(__xludf.DUMMYFUNCTION("""COMPUTED_VALUE"""),"HOSPITAL AREA PROGRAMA MAQUINCHAO")</f>
        <v>HOSPITAL AREA PROGRAMA MAQUINCHAO</v>
      </c>
      <c r="C1454" s="30" t="str">
        <f ca="1">IFERROR(__xludf.DUMMYFUNCTION("""COMPUTED_VALUE"""),"Río Negro")</f>
        <v>Río Negro</v>
      </c>
      <c r="D1454" s="30" t="str">
        <f ca="1">IFERROR(__xludf.DUMMYFUNCTION("""COMPUTED_VALUE"""),"62")</f>
        <v>62</v>
      </c>
      <c r="E1454" s="30" t="str">
        <f ca="1">IFERROR(__xludf.DUMMYFUNCTION("""COMPUTED_VALUE"""),"si")</f>
        <v>si</v>
      </c>
      <c r="F1454" s="29"/>
      <c r="G1454" s="29"/>
      <c r="H1454" s="30" t="str">
        <f ca="1">IFERROR(__xludf.DUMMYFUNCTION("""COMPUTED_VALUE"""),"activo")</f>
        <v>activo</v>
      </c>
      <c r="I1454" s="30" t="str">
        <f ca="1">IFERROR(__xludf.DUMMYFUNCTION("""COMPUTED_VALUE"""),"No se encontro la circular2")</f>
        <v>No se encontro la circular2</v>
      </c>
      <c r="J1454" s="29"/>
      <c r="K1454" s="29"/>
      <c r="L1454" s="30" t="str">
        <f ca="1">IFERROR(__xludf.DUMMYFUNCTION("""COMPUTED_VALUE"""),"No")</f>
        <v>No</v>
      </c>
      <c r="M1454" s="30" t="str">
        <f ca="1">IFERROR(__xludf.DUMMYFUNCTION("""COMPUTED_VALUE"""),"62091070000")</f>
        <v>62091070000</v>
      </c>
      <c r="N1454" s="30" t="str">
        <f ca="1">IFERROR(__xludf.DUMMYFUNCTION("""COMPUTED_VALUE"""),"MAQUINCHAO")</f>
        <v>MAQUINCHAO</v>
      </c>
      <c r="O1454" s="30" t="str">
        <f ca="1">IFERROR(__xludf.DUMMYFUNCTION("""COMPUTED_VALUE"""),"6291")</f>
        <v>6291</v>
      </c>
      <c r="P1454" s="30" t="str">
        <f ca="1">IFERROR(__xludf.DUMMYFUNCTION("""COMPUTED_VALUE"""),"25 DE MAYO")</f>
        <v>25 DE MAYO</v>
      </c>
      <c r="Q1454" s="30" t="str">
        <f ca="1">IFERROR(__xludf.DUMMYFUNCTION("""COMPUTED_VALUE"""),"-41.3324142")</f>
        <v>-41.3324142</v>
      </c>
      <c r="R1454" s="30" t="str">
        <f ca="1">IFERROR(__xludf.DUMMYFUNCTION("""COMPUTED_VALUE"""),"-69.5502488")</f>
        <v>-69.5502488</v>
      </c>
      <c r="S1454" s="30" t="str">
        <f ca="1">IFERROR(__xludf.DUMMYFUNCTION("""COMPUTED_VALUE"""),"Provincial")</f>
        <v>Provincial</v>
      </c>
      <c r="T1454" s="30" t="str">
        <f ca="1">IFERROR(__xludf.DUMMYFUNCTION("""COMPUTED_VALUE"""),"-")</f>
        <v>-</v>
      </c>
    </row>
    <row r="1455" spans="1:20" ht="15.75" customHeight="1" x14ac:dyDescent="0.25">
      <c r="A1455" s="30" t="str">
        <f ca="1">IFERROR(__xludf.DUMMYFUNCTION("""COMPUTED_VALUE"""),"50620072170110")</f>
        <v>50620072170110</v>
      </c>
      <c r="B1455" s="30" t="str">
        <f ca="1">IFERROR(__xludf.DUMMYFUNCTION("""COMPUTED_VALUE"""),"CENTRO DE SALUD BARRIO GUIDO")</f>
        <v>CENTRO DE SALUD BARRIO GUIDO</v>
      </c>
      <c r="C1455" s="30" t="str">
        <f ca="1">IFERROR(__xludf.DUMMYFUNCTION("""COMPUTED_VALUE"""),"Río Negro")</f>
        <v>Río Negro</v>
      </c>
      <c r="D1455" s="30" t="str">
        <f ca="1">IFERROR(__xludf.DUMMYFUNCTION("""COMPUTED_VALUE"""),"62")</f>
        <v>62</v>
      </c>
      <c r="E1455" s="30" t="str">
        <f ca="1">IFERROR(__xludf.DUMMYFUNCTION("""COMPUTED_VALUE"""),"")</f>
        <v/>
      </c>
      <c r="F1455" s="29"/>
      <c r="G1455" s="29"/>
      <c r="H1455" s="30" t="str">
        <f ca="1">IFERROR(__xludf.DUMMYFUNCTION("""COMPUTED_VALUE"""),"activo")</f>
        <v>activo</v>
      </c>
      <c r="I1455" s="30" t="str">
        <f ca="1">IFERROR(__xludf.DUMMYFUNCTION("""COMPUTED_VALUE"""),"No se encontro la circular2")</f>
        <v>No se encontro la circular2</v>
      </c>
      <c r="J1455" s="29"/>
      <c r="K1455" s="29"/>
      <c r="L1455" s="30" t="str">
        <f ca="1">IFERROR(__xludf.DUMMYFUNCTION("""COMPUTED_VALUE"""),"No")</f>
        <v>No</v>
      </c>
      <c r="M1455" s="30" t="str">
        <f ca="1">IFERROR(__xludf.DUMMYFUNCTION("""COMPUTED_VALUE"""),"62007090000")</f>
        <v>62007090000</v>
      </c>
      <c r="N1455" s="30" t="str">
        <f ca="1">IFERROR(__xludf.DUMMYFUNCTION("""COMPUTED_VALUE"""),"VIEDMA")</f>
        <v>VIEDMA</v>
      </c>
      <c r="O1455" s="30" t="str">
        <f ca="1">IFERROR(__xludf.DUMMYFUNCTION("""COMPUTED_VALUE"""),"627")</f>
        <v>627</v>
      </c>
      <c r="P1455" s="30" t="str">
        <f ca="1">IFERROR(__xludf.DUMMYFUNCTION("""COMPUTED_VALUE"""),"ADOLFO ALSINA")</f>
        <v>ADOLFO ALSINA</v>
      </c>
      <c r="Q1455" s="30" t="str">
        <f ca="1">IFERROR(__xludf.DUMMYFUNCTION("""COMPUTED_VALUE"""),"-40.82594021")</f>
        <v>-40.82594021</v>
      </c>
      <c r="R1455" s="30" t="str">
        <f ca="1">IFERROR(__xludf.DUMMYFUNCTION("""COMPUTED_VALUE"""),"-62.98134103")</f>
        <v>-62.98134103</v>
      </c>
      <c r="S1455" s="30" t="str">
        <f ca="1">IFERROR(__xludf.DUMMYFUNCTION("""COMPUTED_VALUE"""),"Provincial")</f>
        <v>Provincial</v>
      </c>
      <c r="T1455" s="30" t="str">
        <f ca="1">IFERROR(__xludf.DUMMYFUNCTION("""COMPUTED_VALUE"""),"-")</f>
        <v>-</v>
      </c>
    </row>
    <row r="1456" spans="1:20" ht="15.75" customHeight="1" x14ac:dyDescent="0.25">
      <c r="A1456" s="30" t="str">
        <f ca="1">IFERROR(__xludf.DUMMYFUNCTION("""COMPUTED_VALUE"""),"50620422170168")</f>
        <v>50620422170168</v>
      </c>
      <c r="B1456" s="30" t="str">
        <f ca="1">IFERROR(__xludf.DUMMYFUNCTION("""COMPUTED_VALUE"""),"CENTRO DE SALUD MAINQUE")</f>
        <v>CENTRO DE SALUD MAINQUE</v>
      </c>
      <c r="C1456" s="30" t="str">
        <f ca="1">IFERROR(__xludf.DUMMYFUNCTION("""COMPUTED_VALUE"""),"Río Negro")</f>
        <v>Río Negro</v>
      </c>
      <c r="D1456" s="30" t="str">
        <f ca="1">IFERROR(__xludf.DUMMYFUNCTION("""COMPUTED_VALUE"""),"62")</f>
        <v>62</v>
      </c>
      <c r="E1456" s="30" t="str">
        <f ca="1">IFERROR(__xludf.DUMMYFUNCTION("""COMPUTED_VALUE"""),"")</f>
        <v/>
      </c>
      <c r="F1456" s="29"/>
      <c r="G1456" s="29"/>
      <c r="H1456" s="30" t="str">
        <f ca="1">IFERROR(__xludf.DUMMYFUNCTION("""COMPUTED_VALUE"""),"activo")</f>
        <v>activo</v>
      </c>
      <c r="I1456" s="30" t="str">
        <f ca="1">IFERROR(__xludf.DUMMYFUNCTION("""COMPUTED_VALUE"""),"No se encontro la circular2")</f>
        <v>No se encontro la circular2</v>
      </c>
      <c r="J1456" s="29"/>
      <c r="K1456" s="29"/>
      <c r="L1456" s="30" t="str">
        <f ca="1">IFERROR(__xludf.DUMMYFUNCTION("""COMPUTED_VALUE"""),"No")</f>
        <v>No</v>
      </c>
      <c r="M1456" s="30" t="str">
        <f ca="1">IFERROR(__xludf.DUMMYFUNCTION("""COMPUTED_VALUE"""),"62042460000")</f>
        <v>62042460000</v>
      </c>
      <c r="N1456" s="30" t="str">
        <f ca="1">IFERROR(__xludf.DUMMYFUNCTION("""COMPUTED_VALUE"""),"INGENIERO LUIS A. HUERGO")</f>
        <v>INGENIERO LUIS A. HUERGO</v>
      </c>
      <c r="O1456" s="30" t="str">
        <f ca="1">IFERROR(__xludf.DUMMYFUNCTION("""COMPUTED_VALUE"""),"6242")</f>
        <v>6242</v>
      </c>
      <c r="P1456" s="30" t="str">
        <f ca="1">IFERROR(__xludf.DUMMYFUNCTION("""COMPUTED_VALUE"""),"GENERAL ROCA")</f>
        <v>GENERAL ROCA</v>
      </c>
      <c r="Q1456" s="30" t="str">
        <f ca="1">IFERROR(__xludf.DUMMYFUNCTION("""COMPUTED_VALUE"""),"-39.06447")</f>
        <v>-39.06447</v>
      </c>
      <c r="R1456" s="30" t="str">
        <f ca="1">IFERROR(__xludf.DUMMYFUNCTION("""COMPUTED_VALUE"""),"-67.30471")</f>
        <v>-67.30471</v>
      </c>
      <c r="S1456" s="30" t="str">
        <f ca="1">IFERROR(__xludf.DUMMYFUNCTION("""COMPUTED_VALUE"""),"Provincial")</f>
        <v>Provincial</v>
      </c>
      <c r="T1456" s="30" t="str">
        <f ca="1">IFERROR(__xludf.DUMMYFUNCTION("""COMPUTED_VALUE"""),"-")</f>
        <v>-</v>
      </c>
    </row>
    <row r="1457" spans="1:20" ht="15.75" customHeight="1" x14ac:dyDescent="0.25">
      <c r="A1457" s="30" t="str">
        <f ca="1">IFERROR(__xludf.DUMMYFUNCTION("""COMPUTED_VALUE"""),"50620072170174")</f>
        <v>50620072170174</v>
      </c>
      <c r="B1457" s="30" t="str">
        <f ca="1">IFERROR(__xludf.DUMMYFUNCTION("""COMPUTED_VALUE"""),"CENTRO DE SALUD MI BANDERA - DR. GUSTAVO H. ANDREANI")</f>
        <v>CENTRO DE SALUD MI BANDERA - DR. GUSTAVO H. ANDREANI</v>
      </c>
      <c r="C1457" s="30" t="str">
        <f ca="1">IFERROR(__xludf.DUMMYFUNCTION("""COMPUTED_VALUE"""),"Río Negro")</f>
        <v>Río Negro</v>
      </c>
      <c r="D1457" s="30" t="str">
        <f ca="1">IFERROR(__xludf.DUMMYFUNCTION("""COMPUTED_VALUE"""),"62")</f>
        <v>62</v>
      </c>
      <c r="E1457" s="30" t="str">
        <f ca="1">IFERROR(__xludf.DUMMYFUNCTION("""COMPUTED_VALUE"""),"")</f>
        <v/>
      </c>
      <c r="F1457" s="29"/>
      <c r="G1457" s="29"/>
      <c r="H1457" s="30" t="str">
        <f ca="1">IFERROR(__xludf.DUMMYFUNCTION("""COMPUTED_VALUE"""),"activo")</f>
        <v>activo</v>
      </c>
      <c r="I1457" s="30" t="str">
        <f ca="1">IFERROR(__xludf.DUMMYFUNCTION("""COMPUTED_VALUE"""),"No se encontro la circular2")</f>
        <v>No se encontro la circular2</v>
      </c>
      <c r="J1457" s="29"/>
      <c r="K1457" s="29"/>
      <c r="L1457" s="30" t="str">
        <f ca="1">IFERROR(__xludf.DUMMYFUNCTION("""COMPUTED_VALUE"""),"No")</f>
        <v>No</v>
      </c>
      <c r="M1457" s="30" t="str">
        <f ca="1">IFERROR(__xludf.DUMMYFUNCTION("""COMPUTED_VALUE"""),"62007090000")</f>
        <v>62007090000</v>
      </c>
      <c r="N1457" s="30" t="str">
        <f ca="1">IFERROR(__xludf.DUMMYFUNCTION("""COMPUTED_VALUE"""),"VIEDMA")</f>
        <v>VIEDMA</v>
      </c>
      <c r="O1457" s="30" t="str">
        <f ca="1">IFERROR(__xludf.DUMMYFUNCTION("""COMPUTED_VALUE"""),"627")</f>
        <v>627</v>
      </c>
      <c r="P1457" s="30" t="str">
        <f ca="1">IFERROR(__xludf.DUMMYFUNCTION("""COMPUTED_VALUE"""),"ADOLFO ALSINA")</f>
        <v>ADOLFO ALSINA</v>
      </c>
      <c r="Q1457" s="30" t="str">
        <f ca="1">IFERROR(__xludf.DUMMYFUNCTION("""COMPUTED_VALUE"""),"-40.827867")</f>
        <v>-40.827867</v>
      </c>
      <c r="R1457" s="30" t="str">
        <f ca="1">IFERROR(__xludf.DUMMYFUNCTION("""COMPUTED_VALUE"""),"-63.0226")</f>
        <v>-63.0226</v>
      </c>
      <c r="S1457" s="30" t="str">
        <f ca="1">IFERROR(__xludf.DUMMYFUNCTION("""COMPUTED_VALUE"""),"Provincial")</f>
        <v>Provincial</v>
      </c>
      <c r="T1457" s="30" t="str">
        <f ca="1">IFERROR(__xludf.DUMMYFUNCTION("""COMPUTED_VALUE"""),"-")</f>
        <v>-</v>
      </c>
    </row>
    <row r="1458" spans="1:20" ht="15.75" customHeight="1" x14ac:dyDescent="0.25">
      <c r="A1458" s="30" t="str">
        <f ca="1">IFERROR(__xludf.DUMMYFUNCTION("""COMPUTED_VALUE"""),"10620702170030")</f>
        <v>10620702170030</v>
      </c>
      <c r="B1458" s="30" t="str">
        <f ca="1">IFERROR(__xludf.DUMMYFUNCTION("""COMPUTED_VALUE"""),"HOSPITAL AREA PROGRAMA PILCANIYEU")</f>
        <v>HOSPITAL AREA PROGRAMA PILCANIYEU</v>
      </c>
      <c r="C1458" s="30" t="str">
        <f ca="1">IFERROR(__xludf.DUMMYFUNCTION("""COMPUTED_VALUE"""),"Río Negro")</f>
        <v>Río Negro</v>
      </c>
      <c r="D1458" s="30" t="str">
        <f ca="1">IFERROR(__xludf.DUMMYFUNCTION("""COMPUTED_VALUE"""),"62")</f>
        <v>62</v>
      </c>
      <c r="E1458" s="30" t="str">
        <f ca="1">IFERROR(__xludf.DUMMYFUNCTION("""COMPUTED_VALUE"""),"")</f>
        <v/>
      </c>
      <c r="F1458" s="29"/>
      <c r="G1458" s="29"/>
      <c r="H1458" s="30" t="str">
        <f ca="1">IFERROR(__xludf.DUMMYFUNCTION("""COMPUTED_VALUE"""),"activo")</f>
        <v>activo</v>
      </c>
      <c r="I1458" s="30" t="str">
        <f ca="1">IFERROR(__xludf.DUMMYFUNCTION("""COMPUTED_VALUE"""),"No se encontro la circular2")</f>
        <v>No se encontro la circular2</v>
      </c>
      <c r="J1458" s="29"/>
      <c r="K1458" s="29"/>
      <c r="L1458" s="30" t="str">
        <f ca="1">IFERROR(__xludf.DUMMYFUNCTION("""COMPUTED_VALUE"""),"No")</f>
        <v>No</v>
      </c>
      <c r="M1458" s="30" t="str">
        <f ca="1">IFERROR(__xludf.DUMMYFUNCTION("""COMPUTED_VALUE"""),"62070060000")</f>
        <v>62070060000</v>
      </c>
      <c r="N1458" s="30" t="str">
        <f ca="1">IFERROR(__xludf.DUMMYFUNCTION("""COMPUTED_VALUE"""),"PILCANIYEU")</f>
        <v>PILCANIYEU</v>
      </c>
      <c r="O1458" s="30" t="str">
        <f ca="1">IFERROR(__xludf.DUMMYFUNCTION("""COMPUTED_VALUE"""),"6270")</f>
        <v>6270</v>
      </c>
      <c r="P1458" s="30" t="str">
        <f ca="1">IFERROR(__xludf.DUMMYFUNCTION("""COMPUTED_VALUE"""),"EZEIZA")</f>
        <v>EZEIZA</v>
      </c>
      <c r="Q1458" s="30" t="str">
        <f ca="1">IFERROR(__xludf.DUMMYFUNCTION("""COMPUTED_VALUE"""),"-41.12177")</f>
        <v>-41.12177</v>
      </c>
      <c r="R1458" s="30" t="str">
        <f ca="1">IFERROR(__xludf.DUMMYFUNCTION("""COMPUTED_VALUE"""),"-70.7219")</f>
        <v>-70.7219</v>
      </c>
      <c r="S1458" s="30" t="str">
        <f ca="1">IFERROR(__xludf.DUMMYFUNCTION("""COMPUTED_VALUE"""),"Provincial")</f>
        <v>Provincial</v>
      </c>
      <c r="T1458" s="30" t="str">
        <f ca="1">IFERROR(__xludf.DUMMYFUNCTION("""COMPUTED_VALUE"""),"-")</f>
        <v>-</v>
      </c>
    </row>
    <row r="1459" spans="1:20" ht="15.75" customHeight="1" x14ac:dyDescent="0.25">
      <c r="A1459" s="30" t="str">
        <f ca="1">IFERROR(__xludf.DUMMYFUNCTION("""COMPUTED_VALUE"""),"10620702170039")</f>
        <v>10620702170039</v>
      </c>
      <c r="B1459" s="30" t="str">
        <f ca="1">IFERROR(__xludf.DUMMYFUNCTION("""COMPUTED_VALUE"""),"HOSPITAL AREA PROGRAMA COMALLO")</f>
        <v>HOSPITAL AREA PROGRAMA COMALLO</v>
      </c>
      <c r="C1459" s="30" t="str">
        <f ca="1">IFERROR(__xludf.DUMMYFUNCTION("""COMPUTED_VALUE"""),"Río Negro")</f>
        <v>Río Negro</v>
      </c>
      <c r="D1459" s="30" t="str">
        <f ca="1">IFERROR(__xludf.DUMMYFUNCTION("""COMPUTED_VALUE"""),"62")</f>
        <v>62</v>
      </c>
      <c r="E1459" s="30" t="str">
        <f ca="1">IFERROR(__xludf.DUMMYFUNCTION("""COMPUTED_VALUE"""),"si")</f>
        <v>si</v>
      </c>
      <c r="F1459" s="29"/>
      <c r="G1459" s="29"/>
      <c r="H1459" s="30" t="str">
        <f ca="1">IFERROR(__xludf.DUMMYFUNCTION("""COMPUTED_VALUE"""),"activo")</f>
        <v>activo</v>
      </c>
      <c r="I1459" s="30" t="str">
        <f ca="1">IFERROR(__xludf.DUMMYFUNCTION("""COMPUTED_VALUE"""),"No se encontro la circular2")</f>
        <v>No se encontro la circular2</v>
      </c>
      <c r="J1459" s="29"/>
      <c r="K1459" s="29"/>
      <c r="L1459" s="30" t="str">
        <f ca="1">IFERROR(__xludf.DUMMYFUNCTION("""COMPUTED_VALUE"""),"No")</f>
        <v>No</v>
      </c>
      <c r="M1459" s="30" t="str">
        <f ca="1">IFERROR(__xludf.DUMMYFUNCTION("""COMPUTED_VALUE"""),"62070010000")</f>
        <v>62070010000</v>
      </c>
      <c r="N1459" s="30" t="str">
        <f ca="1">IFERROR(__xludf.DUMMYFUNCTION("""COMPUTED_VALUE"""),"COMALLO")</f>
        <v>COMALLO</v>
      </c>
      <c r="O1459" s="30" t="str">
        <f ca="1">IFERROR(__xludf.DUMMYFUNCTION("""COMPUTED_VALUE"""),"6270")</f>
        <v>6270</v>
      </c>
      <c r="P1459" s="30" t="str">
        <f ca="1">IFERROR(__xludf.DUMMYFUNCTION("""COMPUTED_VALUE"""),"EZEIZA")</f>
        <v>EZEIZA</v>
      </c>
      <c r="Q1459" s="30" t="str">
        <f ca="1">IFERROR(__xludf.DUMMYFUNCTION("""COMPUTED_VALUE"""),"-41.03375")</f>
        <v>-41.03375</v>
      </c>
      <c r="R1459" s="30" t="str">
        <f ca="1">IFERROR(__xludf.DUMMYFUNCTION("""COMPUTED_VALUE"""),"-70.26566")</f>
        <v>-70.26566</v>
      </c>
      <c r="S1459" s="30" t="str">
        <f ca="1">IFERROR(__xludf.DUMMYFUNCTION("""COMPUTED_VALUE"""),"Provincial")</f>
        <v>Provincial</v>
      </c>
      <c r="T1459" s="30" t="str">
        <f ca="1">IFERROR(__xludf.DUMMYFUNCTION("""COMPUTED_VALUE"""),"-")</f>
        <v>-</v>
      </c>
    </row>
    <row r="1460" spans="1:20" ht="15.75" customHeight="1" x14ac:dyDescent="0.25">
      <c r="A1460" s="30" t="str">
        <f ca="1">IFERROR(__xludf.DUMMYFUNCTION("""COMPUTED_VALUE"""),"50620142170210")</f>
        <v>50620142170210</v>
      </c>
      <c r="B1460" s="30" t="str">
        <f ca="1">IFERROR(__xludf.DUMMYFUNCTION("""COMPUTED_VALUE"""),"CENTRO DE SALUD VILLA UNION")</f>
        <v>CENTRO DE SALUD VILLA UNION</v>
      </c>
      <c r="C1460" s="30" t="str">
        <f ca="1">IFERROR(__xludf.DUMMYFUNCTION("""COMPUTED_VALUE"""),"Río Negro")</f>
        <v>Río Negro</v>
      </c>
      <c r="D1460" s="30" t="str">
        <f ca="1">IFERROR(__xludf.DUMMYFUNCTION("""COMPUTED_VALUE"""),"62")</f>
        <v>62</v>
      </c>
      <c r="E1460" s="30" t="str">
        <f ca="1">IFERROR(__xludf.DUMMYFUNCTION("""COMPUTED_VALUE"""),"")</f>
        <v/>
      </c>
      <c r="F1460" s="29"/>
      <c r="G1460" s="29"/>
      <c r="H1460" s="30" t="str">
        <f ca="1">IFERROR(__xludf.DUMMYFUNCTION("""COMPUTED_VALUE"""),"activo")</f>
        <v>activo</v>
      </c>
      <c r="I1460" s="30" t="str">
        <f ca="1">IFERROR(__xludf.DUMMYFUNCTION("""COMPUTED_VALUE"""),"No se encontro la circular2")</f>
        <v>No se encontro la circular2</v>
      </c>
      <c r="J1460" s="29"/>
      <c r="K1460" s="29"/>
      <c r="L1460" s="30" t="str">
        <f ca="1">IFERROR(__xludf.DUMMYFUNCTION("""COMPUTED_VALUE"""),"No")</f>
        <v>No</v>
      </c>
      <c r="M1460" s="30" t="str">
        <f ca="1">IFERROR(__xludf.DUMMYFUNCTION("""COMPUTED_VALUE"""),"62014040000")</f>
        <v>62014040000</v>
      </c>
      <c r="N1460" s="30" t="str">
        <f ca="1">IFERROR(__xludf.DUMMYFUNCTION("""COMPUTED_VALUE"""),"CHOELE CHOEL")</f>
        <v>CHOELE CHOEL</v>
      </c>
      <c r="O1460" s="30" t="str">
        <f ca="1">IFERROR(__xludf.DUMMYFUNCTION("""COMPUTED_VALUE"""),"6214")</f>
        <v>6214</v>
      </c>
      <c r="P1460" s="30" t="str">
        <f ca="1">IFERROR(__xludf.DUMMYFUNCTION("""COMPUTED_VALUE"""),"AVELLANEDA")</f>
        <v>AVELLANEDA</v>
      </c>
      <c r="Q1460" s="30" t="str">
        <f ca="1">IFERROR(__xludf.DUMMYFUNCTION("""COMPUTED_VALUE"""),"-39.299015")</f>
        <v>-39.299015</v>
      </c>
      <c r="R1460" s="30" t="str">
        <f ca="1">IFERROR(__xludf.DUMMYFUNCTION("""COMPUTED_VALUE"""),"-65.656827")</f>
        <v>-65.656827</v>
      </c>
      <c r="S1460" s="30" t="str">
        <f ca="1">IFERROR(__xludf.DUMMYFUNCTION("""COMPUTED_VALUE"""),"Provincial")</f>
        <v>Provincial</v>
      </c>
      <c r="T1460" s="30" t="str">
        <f ca="1">IFERROR(__xludf.DUMMYFUNCTION("""COMPUTED_VALUE"""),"-")</f>
        <v>-</v>
      </c>
    </row>
    <row r="1461" spans="1:20" ht="15.75" customHeight="1" x14ac:dyDescent="0.25">
      <c r="A1461" s="30" t="str">
        <f ca="1">IFERROR(__xludf.DUMMYFUNCTION("""COMPUTED_VALUE"""),"50620422170147")</f>
        <v>50620422170147</v>
      </c>
      <c r="B1461" s="30" t="str">
        <f ca="1">IFERROR(__xludf.DUMMYFUNCTION("""COMPUTED_VALUE"""),"CENTRO DE SALUD GENERAL ENRIQUE GODOY")</f>
        <v>CENTRO DE SALUD GENERAL ENRIQUE GODOY</v>
      </c>
      <c r="C1461" s="30" t="str">
        <f ca="1">IFERROR(__xludf.DUMMYFUNCTION("""COMPUTED_VALUE"""),"Río Negro")</f>
        <v>Río Negro</v>
      </c>
      <c r="D1461" s="30" t="str">
        <f ca="1">IFERROR(__xludf.DUMMYFUNCTION("""COMPUTED_VALUE"""),"62")</f>
        <v>62</v>
      </c>
      <c r="E1461" s="30" t="str">
        <f ca="1">IFERROR(__xludf.DUMMYFUNCTION("""COMPUTED_VALUE"""),"")</f>
        <v/>
      </c>
      <c r="F1461" s="29"/>
      <c r="G1461" s="29"/>
      <c r="H1461" s="30" t="str">
        <f ca="1">IFERROR(__xludf.DUMMYFUNCTION("""COMPUTED_VALUE"""),"activo")</f>
        <v>activo</v>
      </c>
      <c r="I1461" s="30" t="str">
        <f ca="1">IFERROR(__xludf.DUMMYFUNCTION("""COMPUTED_VALUE"""),"No se encontro la circular2")</f>
        <v>No se encontro la circular2</v>
      </c>
      <c r="J1461" s="29"/>
      <c r="K1461" s="29"/>
      <c r="L1461" s="30" t="str">
        <f ca="1">IFERROR(__xludf.DUMMYFUNCTION("""COMPUTED_VALUE"""),"No")</f>
        <v>No</v>
      </c>
      <c r="M1461" s="30" t="str">
        <f ca="1">IFERROR(__xludf.DUMMYFUNCTION("""COMPUTED_VALUE"""),"62042430000")</f>
        <v>62042430000</v>
      </c>
      <c r="N1461" s="30" t="str">
        <f ca="1">IFERROR(__xludf.DUMMYFUNCTION("""COMPUTED_VALUE"""),"GENERAL ENRIQUE GODOY")</f>
        <v>GENERAL ENRIQUE GODOY</v>
      </c>
      <c r="O1461" s="30" t="str">
        <f ca="1">IFERROR(__xludf.DUMMYFUNCTION("""COMPUTED_VALUE"""),"6242")</f>
        <v>6242</v>
      </c>
      <c r="P1461" s="30" t="str">
        <f ca="1">IFERROR(__xludf.DUMMYFUNCTION("""COMPUTED_VALUE"""),"GENERAL ROCA")</f>
        <v>GENERAL ROCA</v>
      </c>
      <c r="Q1461" s="30" t="str">
        <f ca="1">IFERROR(__xludf.DUMMYFUNCTION("""COMPUTED_VALUE"""),"-39.07828")</f>
        <v>-39.07828</v>
      </c>
      <c r="R1461" s="30" t="str">
        <f ca="1">IFERROR(__xludf.DUMMYFUNCTION("""COMPUTED_VALUE"""),"-67.15894")</f>
        <v>-67.15894</v>
      </c>
      <c r="S1461" s="30" t="str">
        <f ca="1">IFERROR(__xludf.DUMMYFUNCTION("""COMPUTED_VALUE"""),"Provincial")</f>
        <v>Provincial</v>
      </c>
      <c r="T1461" s="30" t="str">
        <f ca="1">IFERROR(__xludf.DUMMYFUNCTION("""COMPUTED_VALUE"""),"-")</f>
        <v>-</v>
      </c>
    </row>
    <row r="1462" spans="1:20" ht="15.75" customHeight="1" x14ac:dyDescent="0.25">
      <c r="A1462" s="30" t="str">
        <f ca="1">IFERROR(__xludf.DUMMYFUNCTION("""COMPUTED_VALUE"""),"50620212170163")</f>
        <v>50620212170163</v>
      </c>
      <c r="B1462" s="30" t="str">
        <f ca="1">IFERROR(__xludf.DUMMYFUNCTION("""COMPUTED_VALUE"""),"CENTRO DE SALUD LAS QUINTAS")</f>
        <v>CENTRO DE SALUD LAS QUINTAS</v>
      </c>
      <c r="C1462" s="30" t="str">
        <f ca="1">IFERROR(__xludf.DUMMYFUNCTION("""COMPUTED_VALUE"""),"Río Negro")</f>
        <v>Río Negro</v>
      </c>
      <c r="D1462" s="30" t="str">
        <f ca="1">IFERROR(__xludf.DUMMYFUNCTION("""COMPUTED_VALUE"""),"62")</f>
        <v>62</v>
      </c>
      <c r="E1462" s="30" t="str">
        <f ca="1">IFERROR(__xludf.DUMMYFUNCTION("""COMPUTED_VALUE"""),"")</f>
        <v/>
      </c>
      <c r="F1462" s="29"/>
      <c r="G1462" s="29"/>
      <c r="H1462" s="30" t="str">
        <f ca="1">IFERROR(__xludf.DUMMYFUNCTION("""COMPUTED_VALUE"""),"activo")</f>
        <v>activo</v>
      </c>
      <c r="I1462" s="30" t="str">
        <f ca="1">IFERROR(__xludf.DUMMYFUNCTION("""COMPUTED_VALUE"""),"No se encontro la circular2")</f>
        <v>No se encontro la circular2</v>
      </c>
      <c r="J1462" s="29"/>
      <c r="K1462" s="29"/>
      <c r="L1462" s="30" t="str">
        <f ca="1">IFERROR(__xludf.DUMMYFUNCTION("""COMPUTED_VALUE"""),"No")</f>
        <v>No</v>
      </c>
      <c r="M1462" s="30" t="str">
        <f ca="1">IFERROR(__xludf.DUMMYFUNCTION("""COMPUTED_VALUE"""),"62021060000")</f>
        <v>62021060000</v>
      </c>
      <c r="N1462" s="30" t="str">
        <f ca="1">IFERROR(__xludf.DUMMYFUNCTION("""COMPUTED_VALUE"""),"SAN CARLOS DE BARILOCHE")</f>
        <v>SAN CARLOS DE BARILOCHE</v>
      </c>
      <c r="O1462" s="30" t="str">
        <f ca="1">IFERROR(__xludf.DUMMYFUNCTION("""COMPUTED_VALUE"""),"6221")</f>
        <v>6221</v>
      </c>
      <c r="P1462" s="30" t="str">
        <f ca="1">IFERROR(__xludf.DUMMYFUNCTION("""COMPUTED_VALUE"""),"BARILOCHE")</f>
        <v>BARILOCHE</v>
      </c>
      <c r="Q1462" s="30" t="str">
        <f ca="1">IFERROR(__xludf.DUMMYFUNCTION("""COMPUTED_VALUE"""),"-41.1480444")</f>
        <v>-41.1480444</v>
      </c>
      <c r="R1462" s="30" t="str">
        <f ca="1">IFERROR(__xludf.DUMMYFUNCTION("""COMPUTED_VALUE"""),"-71.2995095")</f>
        <v>-71.2995095</v>
      </c>
      <c r="S1462" s="30" t="str">
        <f ca="1">IFERROR(__xludf.DUMMYFUNCTION("""COMPUTED_VALUE"""),"Provincial")</f>
        <v>Provincial</v>
      </c>
      <c r="T1462" s="30" t="str">
        <f ca="1">IFERROR(__xludf.DUMMYFUNCTION("""COMPUTED_VALUE"""),"-")</f>
        <v>-</v>
      </c>
    </row>
    <row r="1463" spans="1:20" ht="15.75" customHeight="1" x14ac:dyDescent="0.25">
      <c r="A1463" s="30" t="str">
        <f ca="1">IFERROR(__xludf.DUMMYFUNCTION("""COMPUTED_VALUE"""),"50620142170133")</f>
        <v>50620142170133</v>
      </c>
      <c r="B1463" s="30" t="str">
        <f ca="1">IFERROR(__xludf.DUMMYFUNCTION("""COMPUTED_VALUE"""),"CENTRO DE SALUD DARWIN")</f>
        <v>CENTRO DE SALUD DARWIN</v>
      </c>
      <c r="C1463" s="30" t="str">
        <f ca="1">IFERROR(__xludf.DUMMYFUNCTION("""COMPUTED_VALUE"""),"Río Negro")</f>
        <v>Río Negro</v>
      </c>
      <c r="D1463" s="30" t="str">
        <f ca="1">IFERROR(__xludf.DUMMYFUNCTION("""COMPUTED_VALUE"""),"62")</f>
        <v>62</v>
      </c>
      <c r="E1463" s="30" t="str">
        <f ca="1">IFERROR(__xludf.DUMMYFUNCTION("""COMPUTED_VALUE"""),"")</f>
        <v/>
      </c>
      <c r="F1463" s="29"/>
      <c r="G1463" s="29"/>
      <c r="H1463" s="30" t="str">
        <f ca="1">IFERROR(__xludf.DUMMYFUNCTION("""COMPUTED_VALUE"""),"activo")</f>
        <v>activo</v>
      </c>
      <c r="I1463" s="30" t="str">
        <f ca="1">IFERROR(__xludf.DUMMYFUNCTION("""COMPUTED_VALUE"""),"No se encontro la circular2")</f>
        <v>No se encontro la circular2</v>
      </c>
      <c r="J1463" s="29"/>
      <c r="K1463" s="29"/>
      <c r="L1463" s="30" t="str">
        <f ca="1">IFERROR(__xludf.DUMMYFUNCTION("""COMPUTED_VALUE"""),"No")</f>
        <v>No</v>
      </c>
      <c r="M1463" s="30" t="str">
        <f ca="1">IFERROR(__xludf.DUMMYFUNCTION("""COMPUTED_VALUE"""),"62014040000")</f>
        <v>62014040000</v>
      </c>
      <c r="N1463" s="30" t="str">
        <f ca="1">IFERROR(__xludf.DUMMYFUNCTION("""COMPUTED_VALUE"""),"CHOELE CHOEL")</f>
        <v>CHOELE CHOEL</v>
      </c>
      <c r="O1463" s="30" t="str">
        <f ca="1">IFERROR(__xludf.DUMMYFUNCTION("""COMPUTED_VALUE"""),"6214")</f>
        <v>6214</v>
      </c>
      <c r="P1463" s="30" t="str">
        <f ca="1">IFERROR(__xludf.DUMMYFUNCTION("""COMPUTED_VALUE"""),"AVELLANEDA")</f>
        <v>AVELLANEDA</v>
      </c>
      <c r="Q1463" s="30" t="str">
        <f ca="1">IFERROR(__xludf.DUMMYFUNCTION("""COMPUTED_VALUE"""),"-39.20286")</f>
        <v>-39.20286</v>
      </c>
      <c r="R1463" s="30" t="str">
        <f ca="1">IFERROR(__xludf.DUMMYFUNCTION("""COMPUTED_VALUE"""),"-65.73721")</f>
        <v>-65.73721</v>
      </c>
      <c r="S1463" s="30" t="str">
        <f ca="1">IFERROR(__xludf.DUMMYFUNCTION("""COMPUTED_VALUE"""),"Provincial")</f>
        <v>Provincial</v>
      </c>
      <c r="T1463" s="30" t="str">
        <f ca="1">IFERROR(__xludf.DUMMYFUNCTION("""COMPUTED_VALUE"""),"-")</f>
        <v>-</v>
      </c>
    </row>
    <row r="1464" spans="1:20" ht="15.75" customHeight="1" x14ac:dyDescent="0.25">
      <c r="A1464" s="30" t="str">
        <f ca="1">IFERROR(__xludf.DUMMYFUNCTION("""COMPUTED_VALUE"""),"10620492170034")</f>
        <v>10620492170034</v>
      </c>
      <c r="B1464" s="30" t="str">
        <f ca="1">IFERROR(__xludf.DUMMYFUNCTION("""COMPUTED_VALUE"""),"HOSPITAL AREA PROGRAMA SIERRA COLORADA DR. ADOLFO FENTUCH")</f>
        <v>HOSPITAL AREA PROGRAMA SIERRA COLORADA DR. ADOLFO FENTUCH</v>
      </c>
      <c r="C1464" s="30" t="str">
        <f ca="1">IFERROR(__xludf.DUMMYFUNCTION("""COMPUTED_VALUE"""),"Río Negro")</f>
        <v>Río Negro</v>
      </c>
      <c r="D1464" s="30" t="str">
        <f ca="1">IFERROR(__xludf.DUMMYFUNCTION("""COMPUTED_VALUE"""),"62")</f>
        <v>62</v>
      </c>
      <c r="E1464" s="30" t="str">
        <f ca="1">IFERROR(__xludf.DUMMYFUNCTION("""COMPUTED_VALUE"""),"")</f>
        <v/>
      </c>
      <c r="F1464" s="29"/>
      <c r="G1464" s="29"/>
      <c r="H1464" s="30" t="str">
        <f ca="1">IFERROR(__xludf.DUMMYFUNCTION("""COMPUTED_VALUE"""),"activo")</f>
        <v>activo</v>
      </c>
      <c r="I1464" s="30" t="str">
        <f ca="1">IFERROR(__xludf.DUMMYFUNCTION("""COMPUTED_VALUE"""),"No se encontro la circular2")</f>
        <v>No se encontro la circular2</v>
      </c>
      <c r="J1464" s="29"/>
      <c r="K1464" s="29"/>
      <c r="L1464" s="30" t="str">
        <f ca="1">IFERROR(__xludf.DUMMYFUNCTION("""COMPUTED_VALUE"""),"No")</f>
        <v>No</v>
      </c>
      <c r="M1464" s="30" t="str">
        <f ca="1">IFERROR(__xludf.DUMMYFUNCTION("""COMPUTED_VALUE"""),"62049050000")</f>
        <v>62049050000</v>
      </c>
      <c r="N1464" s="30" t="str">
        <f ca="1">IFERROR(__xludf.DUMMYFUNCTION("""COMPUTED_VALUE"""),"SIERRA COLORADA")</f>
        <v>SIERRA COLORADA</v>
      </c>
      <c r="O1464" s="30" t="str">
        <f ca="1">IFERROR(__xludf.DUMMYFUNCTION("""COMPUTED_VALUE"""),"6249")</f>
        <v>6249</v>
      </c>
      <c r="P1464" s="30" t="str">
        <f ca="1">IFERROR(__xludf.DUMMYFUNCTION("""COMPUTED_VALUE"""),"9 DE JULIO")</f>
        <v>9 DE JULIO</v>
      </c>
      <c r="Q1464" s="30" t="str">
        <f ca="1">IFERROR(__xludf.DUMMYFUNCTION("""COMPUTED_VALUE"""),"-40.58584")</f>
        <v>-40.58584</v>
      </c>
      <c r="R1464" s="30" t="str">
        <f ca="1">IFERROR(__xludf.DUMMYFUNCTION("""COMPUTED_VALUE"""),"-67.757015")</f>
        <v>-67.757015</v>
      </c>
      <c r="S1464" s="30" t="str">
        <f ca="1">IFERROR(__xludf.DUMMYFUNCTION("""COMPUTED_VALUE"""),"Provincial")</f>
        <v>Provincial</v>
      </c>
      <c r="T1464" s="30" t="str">
        <f ca="1">IFERROR(__xludf.DUMMYFUNCTION("""COMPUTED_VALUE"""),"-")</f>
        <v>-</v>
      </c>
    </row>
    <row r="1465" spans="1:20" ht="15.75" customHeight="1" x14ac:dyDescent="0.25">
      <c r="A1465" s="30" t="str">
        <f ca="1">IFERROR(__xludf.DUMMYFUNCTION("""COMPUTED_VALUE"""),"50620072170212")</f>
        <v>50620072170212</v>
      </c>
      <c r="B1465" s="30" t="str">
        <f ca="1">IFERROR(__xludf.DUMMYFUNCTION("""COMPUTED_VALUE"""),"CENTRO DE SALUD 20 DE JUNIO")</f>
        <v>CENTRO DE SALUD 20 DE JUNIO</v>
      </c>
      <c r="C1465" s="30" t="str">
        <f ca="1">IFERROR(__xludf.DUMMYFUNCTION("""COMPUTED_VALUE"""),"Río Negro")</f>
        <v>Río Negro</v>
      </c>
      <c r="D1465" s="30" t="str">
        <f ca="1">IFERROR(__xludf.DUMMYFUNCTION("""COMPUTED_VALUE"""),"62")</f>
        <v>62</v>
      </c>
      <c r="E1465" s="30" t="str">
        <f ca="1">IFERROR(__xludf.DUMMYFUNCTION("""COMPUTED_VALUE"""),"")</f>
        <v/>
      </c>
      <c r="F1465" s="30" t="str">
        <f ca="1">IFERROR(__xludf.DUMMYFUNCTION("""COMPUTED_VALUE"""),"50620422170176")</f>
        <v>50620422170176</v>
      </c>
      <c r="G1465" s="29"/>
      <c r="H1465" s="30" t="str">
        <f ca="1">IFERROR(__xludf.DUMMYFUNCTION("""COMPUTED_VALUE"""),"activo")</f>
        <v>activo</v>
      </c>
      <c r="I1465" s="30" t="str">
        <f ca="1">IFERROR(__xludf.DUMMYFUNCTION("""COMPUTED_VALUE"""),"No se encontro la circular2")</f>
        <v>No se encontro la circular2</v>
      </c>
      <c r="J1465" s="29"/>
      <c r="K1465" s="29"/>
      <c r="L1465" s="30" t="str">
        <f ca="1">IFERROR(__xludf.DUMMYFUNCTION("""COMPUTED_VALUE"""),"No")</f>
        <v>No</v>
      </c>
      <c r="M1465" s="30" t="str">
        <f ca="1">IFERROR(__xludf.DUMMYFUNCTION("""COMPUTED_VALUE"""),"62007090000")</f>
        <v>62007090000</v>
      </c>
      <c r="N1465" s="30" t="str">
        <f ca="1">IFERROR(__xludf.DUMMYFUNCTION("""COMPUTED_VALUE"""),"VIEDMA")</f>
        <v>VIEDMA</v>
      </c>
      <c r="O1465" s="30" t="str">
        <f ca="1">IFERROR(__xludf.DUMMYFUNCTION("""COMPUTED_VALUE"""),"627")</f>
        <v>627</v>
      </c>
      <c r="P1465" s="30" t="str">
        <f ca="1">IFERROR(__xludf.DUMMYFUNCTION("""COMPUTED_VALUE"""),"ADOLFO ALSINA")</f>
        <v>ADOLFO ALSINA</v>
      </c>
      <c r="Q1465" s="30" t="str">
        <f ca="1">IFERROR(__xludf.DUMMYFUNCTION("""COMPUTED_VALUE"""),"-40.8169")</f>
        <v>-40.8169</v>
      </c>
      <c r="R1465" s="30" t="str">
        <f ca="1">IFERROR(__xludf.DUMMYFUNCTION("""COMPUTED_VALUE"""),"-63.00754")</f>
        <v>-63.00754</v>
      </c>
      <c r="S1465" s="30" t="str">
        <f ca="1">IFERROR(__xludf.DUMMYFUNCTION("""COMPUTED_VALUE"""),"Provincial")</f>
        <v>Provincial</v>
      </c>
      <c r="T1465" s="30" t="str">
        <f ca="1">IFERROR(__xludf.DUMMYFUNCTION("""COMPUTED_VALUE"""),"-")</f>
        <v>-</v>
      </c>
    </row>
    <row r="1466" spans="1:20" ht="15.75" customHeight="1" x14ac:dyDescent="0.25">
      <c r="A1466" s="30" t="str">
        <f ca="1">IFERROR(__xludf.DUMMYFUNCTION("""COMPUTED_VALUE"""),"50620422170176")</f>
        <v>50620422170176</v>
      </c>
      <c r="B1466" s="30" t="str">
        <f ca="1">IFERROR(__xludf.DUMMYFUNCTION("""COMPUTED_VALUE"""),"CENTRO DE SALUD NOROESTE")</f>
        <v>CENTRO DE SALUD NOROESTE</v>
      </c>
      <c r="C1466" s="30" t="str">
        <f ca="1">IFERROR(__xludf.DUMMYFUNCTION("""COMPUTED_VALUE"""),"Río Negro")</f>
        <v>Río Negro</v>
      </c>
      <c r="D1466" s="30" t="str">
        <f ca="1">IFERROR(__xludf.DUMMYFUNCTION("""COMPUTED_VALUE"""),"62")</f>
        <v>62</v>
      </c>
      <c r="E1466" s="30" t="str">
        <f ca="1">IFERROR(__xludf.DUMMYFUNCTION("""COMPUTED_VALUE"""),"")</f>
        <v/>
      </c>
      <c r="F1466" s="29"/>
      <c r="G1466" s="30" t="str">
        <f ca="1">IFERROR(__xludf.DUMMYFUNCTION("""COMPUTED_VALUE"""),"50620072170212")</f>
        <v>50620072170212</v>
      </c>
      <c r="H1466" s="30" t="str">
        <f ca="1">IFERROR(__xludf.DUMMYFUNCTION("""COMPUTED_VALUE"""),"inactivo")</f>
        <v>inactivo</v>
      </c>
      <c r="I1466" s="30" t="str">
        <f ca="1">IFERROR(__xludf.DUMMYFUNCTION("""COMPUTED_VALUE"""),"No se encontro la circular2")</f>
        <v>No se encontro la circular2</v>
      </c>
      <c r="J1466" s="29"/>
      <c r="K1466" s="29"/>
      <c r="L1466" s="30" t="str">
        <f ca="1">IFERROR(__xludf.DUMMYFUNCTION("""COMPUTED_VALUE"""),"No")</f>
        <v>No</v>
      </c>
      <c r="M1466" s="30" t="str">
        <f ca="1">IFERROR(__xludf.DUMMYFUNCTION("""COMPUTED_VALUE"""),"62042450000")</f>
        <v>62042450000</v>
      </c>
      <c r="N1466" s="30" t="str">
        <f ca="1">IFERROR(__xludf.DUMMYFUNCTION("""COMPUTED_VALUE"""),"GENERAL ROCA")</f>
        <v>GENERAL ROCA</v>
      </c>
      <c r="O1466" s="30" t="str">
        <f ca="1">IFERROR(__xludf.DUMMYFUNCTION("""COMPUTED_VALUE"""),"6242")</f>
        <v>6242</v>
      </c>
      <c r="P1466" s="30" t="str">
        <f ca="1">IFERROR(__xludf.DUMMYFUNCTION("""COMPUTED_VALUE"""),"GENERAL ROCA")</f>
        <v>GENERAL ROCA</v>
      </c>
      <c r="Q1466" s="30" t="str">
        <f ca="1">IFERROR(__xludf.DUMMYFUNCTION("""COMPUTED_VALUE"""),"-39.013")</f>
        <v>-39.013</v>
      </c>
      <c r="R1466" s="30" t="str">
        <f ca="1">IFERROR(__xludf.DUMMYFUNCTION("""COMPUTED_VALUE"""),"-67.5847")</f>
        <v>-67.5847</v>
      </c>
      <c r="S1466" s="30" t="str">
        <f ca="1">IFERROR(__xludf.DUMMYFUNCTION("""COMPUTED_VALUE"""),"Provincial")</f>
        <v>Provincial</v>
      </c>
      <c r="T1466" s="30" t="str">
        <f ca="1">IFERROR(__xludf.DUMMYFUNCTION("""COMPUTED_VALUE"""),"-")</f>
        <v>-</v>
      </c>
    </row>
    <row r="1467" spans="1:20" ht="15.75" customHeight="1" x14ac:dyDescent="0.25">
      <c r="A1467" s="30" t="str">
        <f ca="1">IFERROR(__xludf.DUMMYFUNCTION("""COMPUTED_VALUE"""),"50620212170122")</f>
        <v>50620212170122</v>
      </c>
      <c r="B1467" s="30" t="str">
        <f ca="1">IFERROR(__xludf.DUMMYFUNCTION("""COMPUTED_VALUE"""),"CENTRO DE SALUD CASA DE LA SALUD")</f>
        <v>CENTRO DE SALUD CASA DE LA SALUD</v>
      </c>
      <c r="C1467" s="30" t="str">
        <f ca="1">IFERROR(__xludf.DUMMYFUNCTION("""COMPUTED_VALUE"""),"Río Negro")</f>
        <v>Río Negro</v>
      </c>
      <c r="D1467" s="30" t="str">
        <f ca="1">IFERROR(__xludf.DUMMYFUNCTION("""COMPUTED_VALUE"""),"62")</f>
        <v>62</v>
      </c>
      <c r="E1467" s="30" t="str">
        <f ca="1">IFERROR(__xludf.DUMMYFUNCTION("""COMPUTED_VALUE"""),"si")</f>
        <v>si</v>
      </c>
      <c r="F1467" s="29"/>
      <c r="G1467" s="29"/>
      <c r="H1467" s="30" t="str">
        <f ca="1">IFERROR(__xludf.DUMMYFUNCTION("""COMPUTED_VALUE"""),"activo")</f>
        <v>activo</v>
      </c>
      <c r="I1467" s="30" t="str">
        <f ca="1">IFERROR(__xludf.DUMMYFUNCTION("""COMPUTED_VALUE"""),"No se encontro la circular2")</f>
        <v>No se encontro la circular2</v>
      </c>
      <c r="J1467" s="29"/>
      <c r="K1467" s="29"/>
      <c r="L1467" s="30" t="str">
        <f ca="1">IFERROR(__xludf.DUMMYFUNCTION("""COMPUTED_VALUE"""),"No")</f>
        <v>No</v>
      </c>
      <c r="M1467" s="30" t="str">
        <f ca="1">IFERROR(__xludf.DUMMYFUNCTION("""COMPUTED_VALUE"""),"62021060000")</f>
        <v>62021060000</v>
      </c>
      <c r="N1467" s="30" t="str">
        <f ca="1">IFERROR(__xludf.DUMMYFUNCTION("""COMPUTED_VALUE"""),"SAN CARLOS DE BARILOCHE")</f>
        <v>SAN CARLOS DE BARILOCHE</v>
      </c>
      <c r="O1467" s="30" t="str">
        <f ca="1">IFERROR(__xludf.DUMMYFUNCTION("""COMPUTED_VALUE"""),"6221")</f>
        <v>6221</v>
      </c>
      <c r="P1467" s="30" t="str">
        <f ca="1">IFERROR(__xludf.DUMMYFUNCTION("""COMPUTED_VALUE"""),"BARILOCHE")</f>
        <v>BARILOCHE</v>
      </c>
      <c r="Q1467" s="30" t="str">
        <f ca="1">IFERROR(__xludf.DUMMYFUNCTION("""COMPUTED_VALUE"""),"-41.15458")</f>
        <v>-41.15458</v>
      </c>
      <c r="R1467" s="30" t="str">
        <f ca="1">IFERROR(__xludf.DUMMYFUNCTION("""COMPUTED_VALUE"""),"-71.30625")</f>
        <v>-71.30625</v>
      </c>
      <c r="S1467" s="30" t="str">
        <f ca="1">IFERROR(__xludf.DUMMYFUNCTION("""COMPUTED_VALUE"""),"Provincial")</f>
        <v>Provincial</v>
      </c>
      <c r="T1467" s="30" t="str">
        <f ca="1">IFERROR(__xludf.DUMMYFUNCTION("""COMPUTED_VALUE"""),"-")</f>
        <v>-</v>
      </c>
    </row>
    <row r="1468" spans="1:20" ht="15.75" customHeight="1" x14ac:dyDescent="0.25">
      <c r="A1468" s="30" t="str">
        <f ca="1">IFERROR(__xludf.DUMMYFUNCTION("""COMPUTED_VALUE"""),"50620212170165")</f>
        <v>50620212170165</v>
      </c>
      <c r="B1468" s="30" t="str">
        <f ca="1">IFERROR(__xludf.DUMMYFUNCTION("""COMPUTED_VALUE"""),"CENTRO DE SALUD LOS ARRAYANES")</f>
        <v>CENTRO DE SALUD LOS ARRAYANES</v>
      </c>
      <c r="C1468" s="30" t="str">
        <f ca="1">IFERROR(__xludf.DUMMYFUNCTION("""COMPUTED_VALUE"""),"Río Negro")</f>
        <v>Río Negro</v>
      </c>
      <c r="D1468" s="30" t="str">
        <f ca="1">IFERROR(__xludf.DUMMYFUNCTION("""COMPUTED_VALUE"""),"62")</f>
        <v>62</v>
      </c>
      <c r="E1468" s="30" t="str">
        <f ca="1">IFERROR(__xludf.DUMMYFUNCTION("""COMPUTED_VALUE"""),"")</f>
        <v/>
      </c>
      <c r="F1468" s="29"/>
      <c r="G1468" s="29"/>
      <c r="H1468" s="30" t="str">
        <f ca="1">IFERROR(__xludf.DUMMYFUNCTION("""COMPUTED_VALUE"""),"activo")</f>
        <v>activo</v>
      </c>
      <c r="I1468" s="30" t="str">
        <f ca="1">IFERROR(__xludf.DUMMYFUNCTION("""COMPUTED_VALUE"""),"No se encontro la circular2")</f>
        <v>No se encontro la circular2</v>
      </c>
      <c r="J1468" s="29"/>
      <c r="K1468" s="29"/>
      <c r="L1468" s="30" t="str">
        <f ca="1">IFERROR(__xludf.DUMMYFUNCTION("""COMPUTED_VALUE"""),"No")</f>
        <v>No</v>
      </c>
      <c r="M1468" s="30" t="str">
        <f ca="1">IFERROR(__xludf.DUMMYFUNCTION("""COMPUTED_VALUE"""),"62021060000")</f>
        <v>62021060000</v>
      </c>
      <c r="N1468" s="30" t="str">
        <f ca="1">IFERROR(__xludf.DUMMYFUNCTION("""COMPUTED_VALUE"""),"SAN CARLOS DE BARILOCHE")</f>
        <v>SAN CARLOS DE BARILOCHE</v>
      </c>
      <c r="O1468" s="30" t="str">
        <f ca="1">IFERROR(__xludf.DUMMYFUNCTION("""COMPUTED_VALUE"""),"6221")</f>
        <v>6221</v>
      </c>
      <c r="P1468" s="30" t="str">
        <f ca="1">IFERROR(__xludf.DUMMYFUNCTION("""COMPUTED_VALUE"""),"BARILOCHE")</f>
        <v>BARILOCHE</v>
      </c>
      <c r="Q1468" s="30" t="str">
        <f ca="1">IFERROR(__xludf.DUMMYFUNCTION("""COMPUTED_VALUE"""),"-41.1600548")</f>
        <v>-41.1600548</v>
      </c>
      <c r="R1468" s="30" t="str">
        <f ca="1">IFERROR(__xludf.DUMMYFUNCTION("""COMPUTED_VALUE"""),"-71.3025843")</f>
        <v>-71.3025843</v>
      </c>
      <c r="S1468" s="30" t="str">
        <f ca="1">IFERROR(__xludf.DUMMYFUNCTION("""COMPUTED_VALUE"""),"Provincial")</f>
        <v>Provincial</v>
      </c>
      <c r="T1468" s="30" t="str">
        <f ca="1">IFERROR(__xludf.DUMMYFUNCTION("""COMPUTED_VALUE"""),"-")</f>
        <v>-</v>
      </c>
    </row>
    <row r="1469" spans="1:20" ht="15.75" customHeight="1" x14ac:dyDescent="0.25">
      <c r="A1469" s="30" t="str">
        <f ca="1">IFERROR(__xludf.DUMMYFUNCTION("""COMPUTED_VALUE"""),"50620072170177")</f>
        <v>50620072170177</v>
      </c>
      <c r="B1469" s="30" t="str">
        <f ca="1">IFERROR(__xludf.DUMMYFUNCTION("""COMPUTED_VALUE"""),"CENTRO DE SALUD PARQUE INDEPENDENCIA")</f>
        <v>CENTRO DE SALUD PARQUE INDEPENDENCIA</v>
      </c>
      <c r="C1469" s="30" t="str">
        <f ca="1">IFERROR(__xludf.DUMMYFUNCTION("""COMPUTED_VALUE"""),"Río Negro")</f>
        <v>Río Negro</v>
      </c>
      <c r="D1469" s="30" t="str">
        <f ca="1">IFERROR(__xludf.DUMMYFUNCTION("""COMPUTED_VALUE"""),"62")</f>
        <v>62</v>
      </c>
      <c r="E1469" s="30" t="str">
        <f ca="1">IFERROR(__xludf.DUMMYFUNCTION("""COMPUTED_VALUE"""),"")</f>
        <v/>
      </c>
      <c r="F1469" s="30" t="str">
        <f ca="1">IFERROR(__xludf.DUMMYFUNCTION("""COMPUTED_VALUE"""),"50620422170272")</f>
        <v>50620422170272</v>
      </c>
      <c r="G1469" s="29"/>
      <c r="H1469" s="30" t="str">
        <f ca="1">IFERROR(__xludf.DUMMYFUNCTION("""COMPUTED_VALUE"""),"activo")</f>
        <v>activo</v>
      </c>
      <c r="I1469" s="30" t="str">
        <f ca="1">IFERROR(__xludf.DUMMYFUNCTION("""COMPUTED_VALUE"""),"No se encontro la circular2")</f>
        <v>No se encontro la circular2</v>
      </c>
      <c r="J1469" s="29"/>
      <c r="K1469" s="29"/>
      <c r="L1469" s="30" t="str">
        <f ca="1">IFERROR(__xludf.DUMMYFUNCTION("""COMPUTED_VALUE"""),"No")</f>
        <v>No</v>
      </c>
      <c r="M1469" s="30" t="str">
        <f ca="1">IFERROR(__xludf.DUMMYFUNCTION("""COMPUTED_VALUE"""),"62007090000")</f>
        <v>62007090000</v>
      </c>
      <c r="N1469" s="30" t="str">
        <f ca="1">IFERROR(__xludf.DUMMYFUNCTION("""COMPUTED_VALUE"""),"VIEDMA")</f>
        <v>VIEDMA</v>
      </c>
      <c r="O1469" s="30" t="str">
        <f ca="1">IFERROR(__xludf.DUMMYFUNCTION("""COMPUTED_VALUE"""),"627")</f>
        <v>627</v>
      </c>
      <c r="P1469" s="30" t="str">
        <f ca="1">IFERROR(__xludf.DUMMYFUNCTION("""COMPUTED_VALUE"""),"ADOLFO ALSINA")</f>
        <v>ADOLFO ALSINA</v>
      </c>
      <c r="Q1469" s="30" t="str">
        <f ca="1">IFERROR(__xludf.DUMMYFUNCTION("""COMPUTED_VALUE"""),"-40.81927")</f>
        <v>-40.81927</v>
      </c>
      <c r="R1469" s="30" t="str">
        <f ca="1">IFERROR(__xludf.DUMMYFUNCTION("""COMPUTED_VALUE"""),"-63.01746")</f>
        <v>-63.01746</v>
      </c>
      <c r="S1469" s="30" t="str">
        <f ca="1">IFERROR(__xludf.DUMMYFUNCTION("""COMPUTED_VALUE"""),"Provincial")</f>
        <v>Provincial</v>
      </c>
      <c r="T1469" s="30" t="str">
        <f ca="1">IFERROR(__xludf.DUMMYFUNCTION("""COMPUTED_VALUE"""),"-")</f>
        <v>-</v>
      </c>
    </row>
    <row r="1470" spans="1:20" ht="15.75" customHeight="1" x14ac:dyDescent="0.25">
      <c r="A1470" s="30" t="str">
        <f ca="1">IFERROR(__xludf.DUMMYFUNCTION("""COMPUTED_VALUE"""),"50620422170272")</f>
        <v>50620422170272</v>
      </c>
      <c r="B1470" s="30" t="str">
        <f ca="1">IFERROR(__xludf.DUMMYFUNCTION("""COMPUTED_VALUE"""),"PUESTO SANITARIO SARGENTO VIDAL")</f>
        <v>PUESTO SANITARIO SARGENTO VIDAL</v>
      </c>
      <c r="C1470" s="30" t="str">
        <f ca="1">IFERROR(__xludf.DUMMYFUNCTION("""COMPUTED_VALUE"""),"Río Negro")</f>
        <v>Río Negro</v>
      </c>
      <c r="D1470" s="30" t="str">
        <f ca="1">IFERROR(__xludf.DUMMYFUNCTION("""COMPUTED_VALUE"""),"62")</f>
        <v>62</v>
      </c>
      <c r="E1470" s="30" t="str">
        <f ca="1">IFERROR(__xludf.DUMMYFUNCTION("""COMPUTED_VALUE"""),"")</f>
        <v/>
      </c>
      <c r="F1470" s="29"/>
      <c r="G1470" s="30" t="str">
        <f ca="1">IFERROR(__xludf.DUMMYFUNCTION("""COMPUTED_VALUE"""),"50620072170177")</f>
        <v>50620072170177</v>
      </c>
      <c r="H1470" s="30" t="str">
        <f ca="1">IFERROR(__xludf.DUMMYFUNCTION("""COMPUTED_VALUE"""),"inactivo")</f>
        <v>inactivo</v>
      </c>
      <c r="I1470" s="30" t="str">
        <f ca="1">IFERROR(__xludf.DUMMYFUNCTION("""COMPUTED_VALUE"""),"No se encontro la circular2")</f>
        <v>No se encontro la circular2</v>
      </c>
      <c r="J1470" s="29"/>
      <c r="K1470" s="29"/>
      <c r="L1470" s="30" t="str">
        <f ca="1">IFERROR(__xludf.DUMMYFUNCTION("""COMPUTED_VALUE"""),"No")</f>
        <v>No</v>
      </c>
      <c r="M1470" s="30" t="str">
        <f ca="1">IFERROR(__xludf.DUMMYFUNCTION("""COMPUTED_VALUE"""),"62042520000")</f>
        <v>62042520000</v>
      </c>
      <c r="N1470" s="30" t="str">
        <f ca="1">IFERROR(__xludf.DUMMYFUNCTION("""COMPUTED_VALUE"""),"SARGENTO VIDAL")</f>
        <v>SARGENTO VIDAL</v>
      </c>
      <c r="O1470" s="30" t="str">
        <f ca="1">IFERROR(__xludf.DUMMYFUNCTION("""COMPUTED_VALUE"""),"6242")</f>
        <v>6242</v>
      </c>
      <c r="P1470" s="30" t="str">
        <f ca="1">IFERROR(__xludf.DUMMYFUNCTION("""COMPUTED_VALUE"""),"GENERAL ROCA")</f>
        <v>GENERAL ROCA</v>
      </c>
      <c r="Q1470" s="30" t="str">
        <f ca="1">IFERROR(__xludf.DUMMYFUNCTION("""COMPUTED_VALUE"""),"-38.68852")</f>
        <v>-38.68852</v>
      </c>
      <c r="R1470" s="30" t="str">
        <f ca="1">IFERROR(__xludf.DUMMYFUNCTION("""COMPUTED_VALUE"""),"-68.15855")</f>
        <v>-68.15855</v>
      </c>
      <c r="S1470" s="30" t="str">
        <f ca="1">IFERROR(__xludf.DUMMYFUNCTION("""COMPUTED_VALUE"""),"Provincial")</f>
        <v>Provincial</v>
      </c>
      <c r="T1470" s="30" t="str">
        <f ca="1">IFERROR(__xludf.DUMMYFUNCTION("""COMPUTED_VALUE"""),"-")</f>
        <v>-</v>
      </c>
    </row>
    <row r="1471" spans="1:20" ht="15.75" customHeight="1" x14ac:dyDescent="0.25">
      <c r="A1471" s="30" t="str">
        <f ca="1">IFERROR(__xludf.DUMMYFUNCTION("""COMPUTED_VALUE"""),"10620562170029")</f>
        <v>10620562170029</v>
      </c>
      <c r="B1471" s="30" t="str">
        <f ca="1">IFERROR(__xludf.DUMMYFUNCTION("""COMPUTED_VALUE"""),"HOSPITAL AREA PROGRAMA ÑORQUINCO")</f>
        <v>HOSPITAL AREA PROGRAMA ÑORQUINCO</v>
      </c>
      <c r="C1471" s="30" t="str">
        <f ca="1">IFERROR(__xludf.DUMMYFUNCTION("""COMPUTED_VALUE"""),"Río Negro")</f>
        <v>Río Negro</v>
      </c>
      <c r="D1471" s="30" t="str">
        <f ca="1">IFERROR(__xludf.DUMMYFUNCTION("""COMPUTED_VALUE"""),"62")</f>
        <v>62</v>
      </c>
      <c r="E1471" s="30" t="str">
        <f ca="1">IFERROR(__xludf.DUMMYFUNCTION("""COMPUTED_VALUE"""),"si")</f>
        <v>si</v>
      </c>
      <c r="F1471" s="29"/>
      <c r="G1471" s="29"/>
      <c r="H1471" s="30" t="str">
        <f ca="1">IFERROR(__xludf.DUMMYFUNCTION("""COMPUTED_VALUE"""),"activo")</f>
        <v>activo</v>
      </c>
      <c r="I1471" s="30" t="str">
        <f ca="1">IFERROR(__xludf.DUMMYFUNCTION("""COMPUTED_VALUE"""),"No se encontro la circular2")</f>
        <v>No se encontro la circular2</v>
      </c>
      <c r="J1471" s="29"/>
      <c r="K1471" s="29"/>
      <c r="L1471" s="30" t="str">
        <f ca="1">IFERROR(__xludf.DUMMYFUNCTION("""COMPUTED_VALUE"""),"No")</f>
        <v>No</v>
      </c>
      <c r="M1471" s="30" t="str">
        <f ca="1">IFERROR(__xludf.DUMMYFUNCTION("""COMPUTED_VALUE"""),"62056030000")</f>
        <v>62056030000</v>
      </c>
      <c r="N1471" s="30" t="str">
        <f ca="1">IFERROR(__xludf.DUMMYFUNCTION("""COMPUTED_VALUE"""),"ÑORQUINCO")</f>
        <v>ÑORQUINCO</v>
      </c>
      <c r="O1471" s="30" t="str">
        <f ca="1">IFERROR(__xludf.DUMMYFUNCTION("""COMPUTED_VALUE"""),"6256")</f>
        <v>6256</v>
      </c>
      <c r="P1471" s="30" t="str">
        <f ca="1">IFERROR(__xludf.DUMMYFUNCTION("""COMPUTED_VALUE"""),"ÑORQUINCÓ")</f>
        <v>ÑORQUINCÓ</v>
      </c>
      <c r="Q1471" s="30" t="str">
        <f ca="1">IFERROR(__xludf.DUMMYFUNCTION("""COMPUTED_VALUE"""),"-41.851")</f>
        <v>-41.851</v>
      </c>
      <c r="R1471" s="30" t="str">
        <f ca="1">IFERROR(__xludf.DUMMYFUNCTION("""COMPUTED_VALUE"""),"-70.9018")</f>
        <v>-70.9018</v>
      </c>
      <c r="S1471" s="30" t="str">
        <f ca="1">IFERROR(__xludf.DUMMYFUNCTION("""COMPUTED_VALUE"""),"Provincial")</f>
        <v>Provincial</v>
      </c>
      <c r="T1471" s="30" t="str">
        <f ca="1">IFERROR(__xludf.DUMMYFUNCTION("""COMPUTED_VALUE"""),"-")</f>
        <v>-</v>
      </c>
    </row>
    <row r="1472" spans="1:20" ht="15.75" customHeight="1" x14ac:dyDescent="0.25">
      <c r="A1472" s="30" t="str">
        <f ca="1">IFERROR(__xludf.DUMMYFUNCTION("""COMPUTED_VALUE"""),"50620072170196")</f>
        <v>50620072170196</v>
      </c>
      <c r="B1472" s="30" t="str">
        <f ca="1">IFERROR(__xludf.DUMMYFUNCTION("""COMPUTED_VALUE"""),"CENTRO DE SALUD SARGENTO CABRAL")</f>
        <v>CENTRO DE SALUD SARGENTO CABRAL</v>
      </c>
      <c r="C1472" s="30" t="str">
        <f ca="1">IFERROR(__xludf.DUMMYFUNCTION("""COMPUTED_VALUE"""),"Río Negro")</f>
        <v>Río Negro</v>
      </c>
      <c r="D1472" s="30" t="str">
        <f ca="1">IFERROR(__xludf.DUMMYFUNCTION("""COMPUTED_VALUE"""),"62")</f>
        <v>62</v>
      </c>
      <c r="E1472" s="30" t="str">
        <f ca="1">IFERROR(__xludf.DUMMYFUNCTION("""COMPUTED_VALUE"""),"")</f>
        <v/>
      </c>
      <c r="F1472" s="29"/>
      <c r="G1472" s="29"/>
      <c r="H1472" s="30" t="str">
        <f ca="1">IFERROR(__xludf.DUMMYFUNCTION("""COMPUTED_VALUE"""),"activo")</f>
        <v>activo</v>
      </c>
      <c r="I1472" s="30" t="str">
        <f ca="1">IFERROR(__xludf.DUMMYFUNCTION("""COMPUTED_VALUE"""),"No se encontro la circular2")</f>
        <v>No se encontro la circular2</v>
      </c>
      <c r="J1472" s="29"/>
      <c r="K1472" s="29"/>
      <c r="L1472" s="30" t="str">
        <f ca="1">IFERROR(__xludf.DUMMYFUNCTION("""COMPUTED_VALUE"""),"No")</f>
        <v>No</v>
      </c>
      <c r="M1472" s="30" t="str">
        <f ca="1">IFERROR(__xludf.DUMMYFUNCTION("""COMPUTED_VALUE"""),"62007090000")</f>
        <v>62007090000</v>
      </c>
      <c r="N1472" s="30" t="str">
        <f ca="1">IFERROR(__xludf.DUMMYFUNCTION("""COMPUTED_VALUE"""),"VIEDMA")</f>
        <v>VIEDMA</v>
      </c>
      <c r="O1472" s="30" t="str">
        <f ca="1">IFERROR(__xludf.DUMMYFUNCTION("""COMPUTED_VALUE"""),"627")</f>
        <v>627</v>
      </c>
      <c r="P1472" s="30" t="str">
        <f ca="1">IFERROR(__xludf.DUMMYFUNCTION("""COMPUTED_VALUE"""),"ADOLFO ALSINA")</f>
        <v>ADOLFO ALSINA</v>
      </c>
      <c r="Q1472" s="30" t="str">
        <f ca="1">IFERROR(__xludf.DUMMYFUNCTION("""COMPUTED_VALUE"""),"-40.80908")</f>
        <v>-40.80908</v>
      </c>
      <c r="R1472" s="30" t="str">
        <f ca="1">IFERROR(__xludf.DUMMYFUNCTION("""COMPUTED_VALUE"""),"-63.01142")</f>
        <v>-63.01142</v>
      </c>
      <c r="S1472" s="30" t="str">
        <f ca="1">IFERROR(__xludf.DUMMYFUNCTION("""COMPUTED_VALUE"""),"Provincial")</f>
        <v>Provincial</v>
      </c>
      <c r="T1472" s="30" t="str">
        <f ca="1">IFERROR(__xludf.DUMMYFUNCTION("""COMPUTED_VALUE"""),"-")</f>
        <v>-</v>
      </c>
    </row>
    <row r="1473" spans="1:20" ht="15.75" customHeight="1" x14ac:dyDescent="0.25">
      <c r="A1473" s="30" t="str">
        <f ca="1">IFERROR(__xludf.DUMMYFUNCTION("""COMPUTED_VALUE"""),"50620212170139")</f>
        <v>50620212170139</v>
      </c>
      <c r="B1473" s="30" t="str">
        <f ca="1">IFERROR(__xludf.DUMMYFUNCTION("""COMPUTED_VALUE"""),"CENTRO DE SALUD EL FRUTILLAR")</f>
        <v>CENTRO DE SALUD EL FRUTILLAR</v>
      </c>
      <c r="C1473" s="30" t="str">
        <f ca="1">IFERROR(__xludf.DUMMYFUNCTION("""COMPUTED_VALUE"""),"Río Negro")</f>
        <v>Río Negro</v>
      </c>
      <c r="D1473" s="30" t="str">
        <f ca="1">IFERROR(__xludf.DUMMYFUNCTION("""COMPUTED_VALUE"""),"62")</f>
        <v>62</v>
      </c>
      <c r="E1473" s="30" t="str">
        <f ca="1">IFERROR(__xludf.DUMMYFUNCTION("""COMPUTED_VALUE"""),"")</f>
        <v/>
      </c>
      <c r="F1473" s="29"/>
      <c r="G1473" s="29"/>
      <c r="H1473" s="30" t="str">
        <f ca="1">IFERROR(__xludf.DUMMYFUNCTION("""COMPUTED_VALUE"""),"activo")</f>
        <v>activo</v>
      </c>
      <c r="I1473" s="30" t="str">
        <f ca="1">IFERROR(__xludf.DUMMYFUNCTION("""COMPUTED_VALUE"""),"No se encontro la circular2")</f>
        <v>No se encontro la circular2</v>
      </c>
      <c r="J1473" s="29"/>
      <c r="K1473" s="29"/>
      <c r="L1473" s="30" t="str">
        <f ca="1">IFERROR(__xludf.DUMMYFUNCTION("""COMPUTED_VALUE"""),"No")</f>
        <v>No</v>
      </c>
      <c r="M1473" s="30" t="str">
        <f ca="1">IFERROR(__xludf.DUMMYFUNCTION("""COMPUTED_VALUE"""),"62021060000")</f>
        <v>62021060000</v>
      </c>
      <c r="N1473" s="30" t="str">
        <f ca="1">IFERROR(__xludf.DUMMYFUNCTION("""COMPUTED_VALUE"""),"SAN CARLOS DE BARILOCHE")</f>
        <v>SAN CARLOS DE BARILOCHE</v>
      </c>
      <c r="O1473" s="30" t="str">
        <f ca="1">IFERROR(__xludf.DUMMYFUNCTION("""COMPUTED_VALUE"""),"6221")</f>
        <v>6221</v>
      </c>
      <c r="P1473" s="30" t="str">
        <f ca="1">IFERROR(__xludf.DUMMYFUNCTION("""COMPUTED_VALUE"""),"BARILOCHE")</f>
        <v>BARILOCHE</v>
      </c>
      <c r="Q1473" s="30" t="str">
        <f ca="1">IFERROR(__xludf.DUMMYFUNCTION("""COMPUTED_VALUE"""),"-41.1651269")</f>
        <v>-41.1651269</v>
      </c>
      <c r="R1473" s="30" t="str">
        <f ca="1">IFERROR(__xludf.DUMMYFUNCTION("""COMPUTED_VALUE"""),"-71.3278661")</f>
        <v>-71.3278661</v>
      </c>
      <c r="S1473" s="30" t="str">
        <f ca="1">IFERROR(__xludf.DUMMYFUNCTION("""COMPUTED_VALUE"""),"Provincial")</f>
        <v>Provincial</v>
      </c>
      <c r="T1473" s="30" t="str">
        <f ca="1">IFERROR(__xludf.DUMMYFUNCTION("""COMPUTED_VALUE"""),"-")</f>
        <v>-</v>
      </c>
    </row>
    <row r="1474" spans="1:20" ht="15.75" customHeight="1" x14ac:dyDescent="0.25">
      <c r="A1474" s="30" t="str">
        <f ca="1">IFERROR(__xludf.DUMMYFUNCTION("""COMPUTED_VALUE"""),"50620072170145")</f>
        <v>50620072170145</v>
      </c>
      <c r="B1474" s="30" t="str">
        <f ca="1">IFERROR(__xludf.DUMMYFUNCTION("""COMPUTED_VALUE"""),"CENTRO DE SALUD ENRIQUE VIGLIONE DE SANTA CLARA")</f>
        <v>CENTRO DE SALUD ENRIQUE VIGLIONE DE SANTA CLARA</v>
      </c>
      <c r="C1474" s="30" t="str">
        <f ca="1">IFERROR(__xludf.DUMMYFUNCTION("""COMPUTED_VALUE"""),"Río Negro")</f>
        <v>Río Negro</v>
      </c>
      <c r="D1474" s="30" t="str">
        <f ca="1">IFERROR(__xludf.DUMMYFUNCTION("""COMPUTED_VALUE"""),"62")</f>
        <v>62</v>
      </c>
      <c r="E1474" s="30" t="str">
        <f ca="1">IFERROR(__xludf.DUMMYFUNCTION("""COMPUTED_VALUE"""),"")</f>
        <v/>
      </c>
      <c r="F1474" s="30" t="str">
        <f ca="1">IFERROR(__xludf.DUMMYFUNCTION("""COMPUTED_VALUE"""),"50620422170184")</f>
        <v>50620422170184</v>
      </c>
      <c r="G1474" s="29"/>
      <c r="H1474" s="30" t="str">
        <f ca="1">IFERROR(__xludf.DUMMYFUNCTION("""COMPUTED_VALUE"""),"activo")</f>
        <v>activo</v>
      </c>
      <c r="I1474" s="30" t="str">
        <f ca="1">IFERROR(__xludf.DUMMYFUNCTION("""COMPUTED_VALUE"""),"No se encontro la circular2")</f>
        <v>No se encontro la circular2</v>
      </c>
      <c r="J1474" s="29"/>
      <c r="K1474" s="29"/>
      <c r="L1474" s="30" t="str">
        <f ca="1">IFERROR(__xludf.DUMMYFUNCTION("""COMPUTED_VALUE"""),"No")</f>
        <v>No</v>
      </c>
      <c r="M1474" s="30" t="str">
        <f ca="1">IFERROR(__xludf.DUMMYFUNCTION("""COMPUTED_VALUE"""),"62007090000")</f>
        <v>62007090000</v>
      </c>
      <c r="N1474" s="30" t="str">
        <f ca="1">IFERROR(__xludf.DUMMYFUNCTION("""COMPUTED_VALUE"""),"VIEDMA")</f>
        <v>VIEDMA</v>
      </c>
      <c r="O1474" s="30" t="str">
        <f ca="1">IFERROR(__xludf.DUMMYFUNCTION("""COMPUTED_VALUE"""),"627")</f>
        <v>627</v>
      </c>
      <c r="P1474" s="30" t="str">
        <f ca="1">IFERROR(__xludf.DUMMYFUNCTION("""COMPUTED_VALUE"""),"ADOLFO ALSINA")</f>
        <v>ADOLFO ALSINA</v>
      </c>
      <c r="Q1474" s="30" t="str">
        <f ca="1">IFERROR(__xludf.DUMMYFUNCTION("""COMPUTED_VALUE"""),"-40.82582")</f>
        <v>-40.82582</v>
      </c>
      <c r="R1474" s="30" t="str">
        <f ca="1">IFERROR(__xludf.DUMMYFUNCTION("""COMPUTED_VALUE"""),"-62.99239")</f>
        <v>-62.99239</v>
      </c>
      <c r="S1474" s="30" t="str">
        <f ca="1">IFERROR(__xludf.DUMMYFUNCTION("""COMPUTED_VALUE"""),"Provincial")</f>
        <v>Provincial</v>
      </c>
      <c r="T1474" s="30" t="str">
        <f ca="1">IFERROR(__xludf.DUMMYFUNCTION("""COMPUTED_VALUE"""),"-")</f>
        <v>-</v>
      </c>
    </row>
    <row r="1475" spans="1:20" ht="15.75" customHeight="1" x14ac:dyDescent="0.25">
      <c r="A1475" s="30" t="str">
        <f ca="1">IFERROR(__xludf.DUMMYFUNCTION("""COMPUTED_VALUE"""),"50620422170184")</f>
        <v>50620422170184</v>
      </c>
      <c r="B1475" s="30" t="str">
        <f ca="1">IFERROR(__xludf.DUMMYFUNCTION("""COMPUTED_VALUE"""),"CENTRO DE SALUD PROGRESO")</f>
        <v>CENTRO DE SALUD PROGRESO</v>
      </c>
      <c r="C1475" s="30" t="str">
        <f ca="1">IFERROR(__xludf.DUMMYFUNCTION("""COMPUTED_VALUE"""),"Río Negro")</f>
        <v>Río Negro</v>
      </c>
      <c r="D1475" s="30" t="str">
        <f ca="1">IFERROR(__xludf.DUMMYFUNCTION("""COMPUTED_VALUE"""),"62")</f>
        <v>62</v>
      </c>
      <c r="E1475" s="30" t="str">
        <f ca="1">IFERROR(__xludf.DUMMYFUNCTION("""COMPUTED_VALUE"""),"")</f>
        <v/>
      </c>
      <c r="F1475" s="29"/>
      <c r="G1475" s="30" t="str">
        <f ca="1">IFERROR(__xludf.DUMMYFUNCTION("""COMPUTED_VALUE"""),"50620072170145")</f>
        <v>50620072170145</v>
      </c>
      <c r="H1475" s="30" t="str">
        <f ca="1">IFERROR(__xludf.DUMMYFUNCTION("""COMPUTED_VALUE"""),"inactivo")</f>
        <v>inactivo</v>
      </c>
      <c r="I1475" s="30" t="str">
        <f ca="1">IFERROR(__xludf.DUMMYFUNCTION("""COMPUTED_VALUE"""),"No se encontro la circular2")</f>
        <v>No se encontro la circular2</v>
      </c>
      <c r="J1475" s="29"/>
      <c r="K1475" s="29"/>
      <c r="L1475" s="30" t="str">
        <f ca="1">IFERROR(__xludf.DUMMYFUNCTION("""COMPUTED_VALUE"""),"No")</f>
        <v>No</v>
      </c>
      <c r="M1475" s="30" t="str">
        <f ca="1">IFERROR(__xludf.DUMMYFUNCTION("""COMPUTED_VALUE"""),"62042010000")</f>
        <v>62042010000</v>
      </c>
      <c r="N1475" s="30" t="str">
        <f ca="1">IFERROR(__xludf.DUMMYFUNCTION("""COMPUTED_VALUE"""),"ALLEN")</f>
        <v>ALLEN</v>
      </c>
      <c r="O1475" s="30" t="str">
        <f ca="1">IFERROR(__xludf.DUMMYFUNCTION("""COMPUTED_VALUE"""),"6242")</f>
        <v>6242</v>
      </c>
      <c r="P1475" s="30" t="str">
        <f ca="1">IFERROR(__xludf.DUMMYFUNCTION("""COMPUTED_VALUE"""),"GENERAL ROCA")</f>
        <v>GENERAL ROCA</v>
      </c>
      <c r="Q1475" s="30" t="str">
        <f ca="1">IFERROR(__xludf.DUMMYFUNCTION("""COMPUTED_VALUE"""),"-38.9737")</f>
        <v>-38.9737</v>
      </c>
      <c r="R1475" s="30" t="str">
        <f ca="1">IFERROR(__xludf.DUMMYFUNCTION("""COMPUTED_VALUE"""),"-67.81227")</f>
        <v>-67.81227</v>
      </c>
      <c r="S1475" s="30" t="str">
        <f ca="1">IFERROR(__xludf.DUMMYFUNCTION("""COMPUTED_VALUE"""),"Provincial")</f>
        <v>Provincial</v>
      </c>
      <c r="T1475" s="30" t="str">
        <f ca="1">IFERROR(__xludf.DUMMYFUNCTION("""COMPUTED_VALUE"""),"-")</f>
        <v>-</v>
      </c>
    </row>
    <row r="1476" spans="1:20" ht="15.75" customHeight="1" x14ac:dyDescent="0.25">
      <c r="A1476" s="30" t="str">
        <f ca="1">IFERROR(__xludf.DUMMYFUNCTION("""COMPUTED_VALUE"""),"10620142170025")</f>
        <v>10620142170025</v>
      </c>
      <c r="B1476" s="30" t="str">
        <f ca="1">IFERROR(__xludf.DUMMYFUNCTION("""COMPUTED_VALUE"""),"HOSPITAL AREA PROGRAMA LAMARQUE DR. JORGE REBOK")</f>
        <v>HOSPITAL AREA PROGRAMA LAMARQUE DR. JORGE REBOK</v>
      </c>
      <c r="C1476" s="30" t="str">
        <f ca="1">IFERROR(__xludf.DUMMYFUNCTION("""COMPUTED_VALUE"""),"Río Negro")</f>
        <v>Río Negro</v>
      </c>
      <c r="D1476" s="30" t="str">
        <f ca="1">IFERROR(__xludf.DUMMYFUNCTION("""COMPUTED_VALUE"""),"62")</f>
        <v>62</v>
      </c>
      <c r="E1476" s="30" t="str">
        <f ca="1">IFERROR(__xludf.DUMMYFUNCTION("""COMPUTED_VALUE"""),"")</f>
        <v/>
      </c>
      <c r="F1476" s="29"/>
      <c r="G1476" s="29"/>
      <c r="H1476" s="30" t="str">
        <f ca="1">IFERROR(__xludf.DUMMYFUNCTION("""COMPUTED_VALUE"""),"activo")</f>
        <v>activo</v>
      </c>
      <c r="I1476" s="30" t="str">
        <f ca="1">IFERROR(__xludf.DUMMYFUNCTION("""COMPUTED_VALUE"""),"No se encontro la circular2")</f>
        <v>No se encontro la circular2</v>
      </c>
      <c r="J1476" s="29"/>
      <c r="K1476" s="29"/>
      <c r="L1476" s="30" t="str">
        <f ca="1">IFERROR(__xludf.DUMMYFUNCTION("""COMPUTED_VALUE"""),"No")</f>
        <v>No</v>
      </c>
      <c r="M1476" s="30" t="str">
        <f ca="1">IFERROR(__xludf.DUMMYFUNCTION("""COMPUTED_VALUE"""),"62014070000")</f>
        <v>62014070000</v>
      </c>
      <c r="N1476" s="30" t="str">
        <f ca="1">IFERROR(__xludf.DUMMYFUNCTION("""COMPUTED_VALUE"""),"LAMARQUE")</f>
        <v>LAMARQUE</v>
      </c>
      <c r="O1476" s="30" t="str">
        <f ca="1">IFERROR(__xludf.DUMMYFUNCTION("""COMPUTED_VALUE"""),"6214")</f>
        <v>6214</v>
      </c>
      <c r="P1476" s="30" t="str">
        <f ca="1">IFERROR(__xludf.DUMMYFUNCTION("""COMPUTED_VALUE"""),"AVELLANEDA")</f>
        <v>AVELLANEDA</v>
      </c>
      <c r="Q1476" s="30" t="str">
        <f ca="1">IFERROR(__xludf.DUMMYFUNCTION("""COMPUTED_VALUE"""),"-39.426445")</f>
        <v>-39.426445</v>
      </c>
      <c r="R1476" s="30" t="str">
        <f ca="1">IFERROR(__xludf.DUMMYFUNCTION("""COMPUTED_VALUE"""),"-65.699439")</f>
        <v>-65.699439</v>
      </c>
      <c r="S1476" s="30" t="str">
        <f ca="1">IFERROR(__xludf.DUMMYFUNCTION("""COMPUTED_VALUE"""),"Provincial")</f>
        <v>Provincial</v>
      </c>
      <c r="T1476" s="30" t="str">
        <f ca="1">IFERROR(__xludf.DUMMYFUNCTION("""COMPUTED_VALUE"""),"-")</f>
        <v>-</v>
      </c>
    </row>
    <row r="1477" spans="1:20" ht="15.75" customHeight="1" x14ac:dyDescent="0.25">
      <c r="A1477" s="30" t="str">
        <f ca="1">IFERROR(__xludf.DUMMYFUNCTION("""COMPUTED_VALUE"""),"50620142170292")</f>
        <v>50620142170292</v>
      </c>
      <c r="B1477" s="30" t="str">
        <f ca="1">IFERROR(__xludf.DUMMYFUNCTION("""COMPUTED_VALUE"""),"HOSPITAL AREA PROGRAMA POMONA")</f>
        <v>HOSPITAL AREA PROGRAMA POMONA</v>
      </c>
      <c r="C1477" s="30" t="str">
        <f ca="1">IFERROR(__xludf.DUMMYFUNCTION("""COMPUTED_VALUE"""),"Río Negro")</f>
        <v>Río Negro</v>
      </c>
      <c r="D1477" s="30" t="str">
        <f ca="1">IFERROR(__xludf.DUMMYFUNCTION("""COMPUTED_VALUE"""),"62")</f>
        <v>62</v>
      </c>
      <c r="E1477" s="30" t="str">
        <f ca="1">IFERROR(__xludf.DUMMYFUNCTION("""COMPUTED_VALUE"""),"")</f>
        <v/>
      </c>
      <c r="F1477" s="29"/>
      <c r="G1477" s="29"/>
      <c r="H1477" s="30" t="str">
        <f ca="1">IFERROR(__xludf.DUMMYFUNCTION("""COMPUTED_VALUE"""),"activo")</f>
        <v>activo</v>
      </c>
      <c r="I1477" s="30" t="str">
        <f ca="1">IFERROR(__xludf.DUMMYFUNCTION("""COMPUTED_VALUE"""),"No se encontro la circular2")</f>
        <v>No se encontro la circular2</v>
      </c>
      <c r="J1477" s="29"/>
      <c r="K1477" s="29"/>
      <c r="L1477" s="30" t="str">
        <f ca="1">IFERROR(__xludf.DUMMYFUNCTION("""COMPUTED_VALUE"""),"No")</f>
        <v>No</v>
      </c>
      <c r="M1477" s="30" t="str">
        <f ca="1">IFERROR(__xludf.DUMMYFUNCTION("""COMPUTED_VALUE"""),"62014090000")</f>
        <v>62014090000</v>
      </c>
      <c r="N1477" s="30" t="str">
        <f ca="1">IFERROR(__xludf.DUMMYFUNCTION("""COMPUTED_VALUE"""),"POMONA")</f>
        <v>POMONA</v>
      </c>
      <c r="O1477" s="30" t="str">
        <f ca="1">IFERROR(__xludf.DUMMYFUNCTION("""COMPUTED_VALUE"""),"6214")</f>
        <v>6214</v>
      </c>
      <c r="P1477" s="30" t="str">
        <f ca="1">IFERROR(__xludf.DUMMYFUNCTION("""COMPUTED_VALUE"""),"AVELLANEDA")</f>
        <v>AVELLANEDA</v>
      </c>
      <c r="Q1477" s="30" t="str">
        <f ca="1">IFERROR(__xludf.DUMMYFUNCTION("""COMPUTED_VALUE"""),"-39.1885013")</f>
        <v>-39.1885013</v>
      </c>
      <c r="R1477" s="30" t="str">
        <f ca="1">IFERROR(__xludf.DUMMYFUNCTION("""COMPUTED_VALUE"""),"-65.9526076")</f>
        <v>-65.9526076</v>
      </c>
      <c r="S1477" s="30" t="str">
        <f ca="1">IFERROR(__xludf.DUMMYFUNCTION("""COMPUTED_VALUE"""),"Provincial")</f>
        <v>Provincial</v>
      </c>
      <c r="T1477" s="30" t="str">
        <f ca="1">IFERROR(__xludf.DUMMYFUNCTION("""COMPUTED_VALUE"""),"-")</f>
        <v>-</v>
      </c>
    </row>
    <row r="1478" spans="1:20" ht="15.75" customHeight="1" x14ac:dyDescent="0.25">
      <c r="A1478" s="30" t="str">
        <f ca="1">IFERROR(__xludf.DUMMYFUNCTION("""COMPUTED_VALUE"""),"50620632170208")</f>
        <v>50620632170208</v>
      </c>
      <c r="B1478" s="30" t="str">
        <f ca="1">IFERROR(__xludf.DUMMYFUNCTION("""COMPUTED_VALUE"""),"CENTRO DE SALUD VILLA MITRE")</f>
        <v>CENTRO DE SALUD VILLA MITRE</v>
      </c>
      <c r="C1478" s="30" t="str">
        <f ca="1">IFERROR(__xludf.DUMMYFUNCTION("""COMPUTED_VALUE"""),"Río Negro")</f>
        <v>Río Negro</v>
      </c>
      <c r="D1478" s="30" t="str">
        <f ca="1">IFERROR(__xludf.DUMMYFUNCTION("""COMPUTED_VALUE"""),"62")</f>
        <v>62</v>
      </c>
      <c r="E1478" s="30" t="str">
        <f ca="1">IFERROR(__xludf.DUMMYFUNCTION("""COMPUTED_VALUE"""),"")</f>
        <v/>
      </c>
      <c r="F1478" s="29"/>
      <c r="G1478" s="29"/>
      <c r="H1478" s="30" t="str">
        <f ca="1">IFERROR(__xludf.DUMMYFUNCTION("""COMPUTED_VALUE"""),"activo")</f>
        <v>activo</v>
      </c>
      <c r="I1478" s="30" t="str">
        <f ca="1">IFERROR(__xludf.DUMMYFUNCTION("""COMPUTED_VALUE"""),"No se encontro la circular2")</f>
        <v>No se encontro la circular2</v>
      </c>
      <c r="J1478" s="29"/>
      <c r="K1478" s="29"/>
      <c r="L1478" s="30" t="str">
        <f ca="1">IFERROR(__xludf.DUMMYFUNCTION("""COMPUTED_VALUE"""),"No")</f>
        <v>No</v>
      </c>
      <c r="M1478" s="30" t="str">
        <f ca="1">IFERROR(__xludf.DUMMYFUNCTION("""COMPUTED_VALUE"""),"62063020000")</f>
        <v>62063020000</v>
      </c>
      <c r="N1478" s="30" t="str">
        <f ca="1">IFERROR(__xludf.DUMMYFUNCTION("""COMPUTED_VALUE"""),"RIO COLORADO")</f>
        <v>RIO COLORADO</v>
      </c>
      <c r="O1478" s="30" t="str">
        <f ca="1">IFERROR(__xludf.DUMMYFUNCTION("""COMPUTED_VALUE"""),"6263")</f>
        <v>6263</v>
      </c>
      <c r="P1478" s="30" t="str">
        <f ca="1">IFERROR(__xludf.DUMMYFUNCTION("""COMPUTED_VALUE"""),"PICHI MAHUIDA")</f>
        <v>PICHI MAHUIDA</v>
      </c>
      <c r="Q1478" s="30" t="str">
        <f ca="1">IFERROR(__xludf.DUMMYFUNCTION("""COMPUTED_VALUE"""),"-38.9965382")</f>
        <v>-38.9965382</v>
      </c>
      <c r="R1478" s="30" t="str">
        <f ca="1">IFERROR(__xludf.DUMMYFUNCTION("""COMPUTED_VALUE"""),"-64.0881297")</f>
        <v>-64.0881297</v>
      </c>
      <c r="S1478" s="30" t="str">
        <f ca="1">IFERROR(__xludf.DUMMYFUNCTION("""COMPUTED_VALUE"""),"Provincial")</f>
        <v>Provincial</v>
      </c>
      <c r="T1478" s="30" t="str">
        <f ca="1">IFERROR(__xludf.DUMMYFUNCTION("""COMPUTED_VALUE"""),"-")</f>
        <v>-</v>
      </c>
    </row>
    <row r="1479" spans="1:20" ht="15.75" customHeight="1" x14ac:dyDescent="0.25">
      <c r="A1479" s="30" t="str">
        <f ca="1">IFERROR(__xludf.DUMMYFUNCTION("""COMPUTED_VALUE"""),"50620632170155")</f>
        <v>50620632170155</v>
      </c>
      <c r="B1479" s="30" t="str">
        <f ca="1">IFERROR(__xludf.DUMMYFUNCTION("""COMPUTED_VALUE"""),"CENTRO DE SALUD JULIA ECHARREN")</f>
        <v>CENTRO DE SALUD JULIA ECHARREN</v>
      </c>
      <c r="C1479" s="30" t="str">
        <f ca="1">IFERROR(__xludf.DUMMYFUNCTION("""COMPUTED_VALUE"""),"Río Negro")</f>
        <v>Río Negro</v>
      </c>
      <c r="D1479" s="30" t="str">
        <f ca="1">IFERROR(__xludf.DUMMYFUNCTION("""COMPUTED_VALUE"""),"62")</f>
        <v>62</v>
      </c>
      <c r="E1479" s="30" t="str">
        <f ca="1">IFERROR(__xludf.DUMMYFUNCTION("""COMPUTED_VALUE"""),"")</f>
        <v/>
      </c>
      <c r="F1479" s="29"/>
      <c r="G1479" s="29"/>
      <c r="H1479" s="30" t="str">
        <f ca="1">IFERROR(__xludf.DUMMYFUNCTION("""COMPUTED_VALUE"""),"activo")</f>
        <v>activo</v>
      </c>
      <c r="I1479" s="30" t="str">
        <f ca="1">IFERROR(__xludf.DUMMYFUNCTION("""COMPUTED_VALUE"""),"No se encontro la circular2")</f>
        <v>No se encontro la circular2</v>
      </c>
      <c r="J1479" s="29"/>
      <c r="K1479" s="29"/>
      <c r="L1479" s="30" t="str">
        <f ca="1">IFERROR(__xludf.DUMMYFUNCTION("""COMPUTED_VALUE"""),"No")</f>
        <v>No</v>
      </c>
      <c r="M1479" s="30" t="str">
        <f ca="1">IFERROR(__xludf.DUMMYFUNCTION("""COMPUTED_VALUE"""),"62063020000")</f>
        <v>62063020000</v>
      </c>
      <c r="N1479" s="30" t="str">
        <f ca="1">IFERROR(__xludf.DUMMYFUNCTION("""COMPUTED_VALUE"""),"RIO COLORADO")</f>
        <v>RIO COLORADO</v>
      </c>
      <c r="O1479" s="30" t="str">
        <f ca="1">IFERROR(__xludf.DUMMYFUNCTION("""COMPUTED_VALUE"""),"6263")</f>
        <v>6263</v>
      </c>
      <c r="P1479" s="30" t="str">
        <f ca="1">IFERROR(__xludf.DUMMYFUNCTION("""COMPUTED_VALUE"""),"PICHI MAHUIDA")</f>
        <v>PICHI MAHUIDA</v>
      </c>
      <c r="Q1479" s="30" t="str">
        <f ca="1">IFERROR(__xludf.DUMMYFUNCTION("""COMPUTED_VALUE"""),"-38.991")</f>
        <v>-38.991</v>
      </c>
      <c r="R1479" s="30" t="str">
        <f ca="1">IFERROR(__xludf.DUMMYFUNCTION("""COMPUTED_VALUE"""),"-64.096")</f>
        <v>-64.096</v>
      </c>
      <c r="S1479" s="30" t="str">
        <f ca="1">IFERROR(__xludf.DUMMYFUNCTION("""COMPUTED_VALUE"""),"Provincial")</f>
        <v>Provincial</v>
      </c>
      <c r="T1479" s="30" t="str">
        <f ca="1">IFERROR(__xludf.DUMMYFUNCTION("""COMPUTED_VALUE"""),"-")</f>
        <v>-</v>
      </c>
    </row>
    <row r="1480" spans="1:20" ht="15.75" customHeight="1" x14ac:dyDescent="0.25">
      <c r="A1480" s="30" t="str">
        <f ca="1">IFERROR(__xludf.DUMMYFUNCTION("""COMPUTED_VALUE"""),"50620422170116")</f>
        <v>50620422170116</v>
      </c>
      <c r="B1480" s="30" t="str">
        <f ca="1">IFERROR(__xludf.DUMMYFUNCTION("""COMPUTED_VALUE"""),"CENTRO DE SALUD BARRIO PADRE MARCELO GARDIN")</f>
        <v>CENTRO DE SALUD BARRIO PADRE MARCELO GARDIN</v>
      </c>
      <c r="C1480" s="30" t="str">
        <f ca="1">IFERROR(__xludf.DUMMYFUNCTION("""COMPUTED_VALUE"""),"Río Negro")</f>
        <v>Río Negro</v>
      </c>
      <c r="D1480" s="30" t="str">
        <f ca="1">IFERROR(__xludf.DUMMYFUNCTION("""COMPUTED_VALUE"""),"62")</f>
        <v>62</v>
      </c>
      <c r="E1480" s="30" t="str">
        <f ca="1">IFERROR(__xludf.DUMMYFUNCTION("""COMPUTED_VALUE"""),"")</f>
        <v/>
      </c>
      <c r="F1480" s="29"/>
      <c r="G1480" s="29"/>
      <c r="H1480" s="30" t="str">
        <f ca="1">IFERROR(__xludf.DUMMYFUNCTION("""COMPUTED_VALUE"""),"activo")</f>
        <v>activo</v>
      </c>
      <c r="I1480" s="30" t="str">
        <f ca="1">IFERROR(__xludf.DUMMYFUNCTION("""COMPUTED_VALUE"""),"No se encontro la circular2")</f>
        <v>No se encontro la circular2</v>
      </c>
      <c r="J1480" s="29"/>
      <c r="K1480" s="29"/>
      <c r="L1480" s="30" t="str">
        <f ca="1">IFERROR(__xludf.DUMMYFUNCTION("""COMPUTED_VALUE"""),"No")</f>
        <v>No</v>
      </c>
      <c r="M1480" s="30" t="str">
        <f ca="1">IFERROR(__xludf.DUMMYFUNCTION("""COMPUTED_VALUE"""),"62042560000")</f>
        <v>62042560000</v>
      </c>
      <c r="N1480" s="30" t="str">
        <f ca="1">IFERROR(__xludf.DUMMYFUNCTION("""COMPUTED_VALUE"""),"VILLA REGINA")</f>
        <v>VILLA REGINA</v>
      </c>
      <c r="O1480" s="30" t="str">
        <f ca="1">IFERROR(__xludf.DUMMYFUNCTION("""COMPUTED_VALUE"""),"6242")</f>
        <v>6242</v>
      </c>
      <c r="P1480" s="30" t="str">
        <f ca="1">IFERROR(__xludf.DUMMYFUNCTION("""COMPUTED_VALUE"""),"GENERAL ROCA")</f>
        <v>GENERAL ROCA</v>
      </c>
      <c r="Q1480" s="30" t="str">
        <f ca="1">IFERROR(__xludf.DUMMYFUNCTION("""COMPUTED_VALUE"""),"-39.1027")</f>
        <v>-39.1027</v>
      </c>
      <c r="R1480" s="30" t="str">
        <f ca="1">IFERROR(__xludf.DUMMYFUNCTION("""COMPUTED_VALUE"""),"-67.0958")</f>
        <v>-67.0958</v>
      </c>
      <c r="S1480" s="30" t="str">
        <f ca="1">IFERROR(__xludf.DUMMYFUNCTION("""COMPUTED_VALUE"""),"Provincial")</f>
        <v>Provincial</v>
      </c>
      <c r="T1480" s="30" t="str">
        <f ca="1">IFERROR(__xludf.DUMMYFUNCTION("""COMPUTED_VALUE"""),"-")</f>
        <v>-</v>
      </c>
    </row>
    <row r="1481" spans="1:20" ht="15.75" customHeight="1" x14ac:dyDescent="0.25">
      <c r="A1481" s="30" t="str">
        <f ca="1">IFERROR(__xludf.DUMMYFUNCTION("""COMPUTED_VALUE"""),"50620422170206")</f>
        <v>50620422170206</v>
      </c>
      <c r="B1481" s="30" t="str">
        <f ca="1">IFERROR(__xludf.DUMMYFUNCTION("""COMPUTED_VALUE"""),"CENTRO DE SALUD VILLA DEL PARQUE")</f>
        <v>CENTRO DE SALUD VILLA DEL PARQUE</v>
      </c>
      <c r="C1481" s="30" t="str">
        <f ca="1">IFERROR(__xludf.DUMMYFUNCTION("""COMPUTED_VALUE"""),"Río Negro")</f>
        <v>Río Negro</v>
      </c>
      <c r="D1481" s="30" t="str">
        <f ca="1">IFERROR(__xludf.DUMMYFUNCTION("""COMPUTED_VALUE"""),"62")</f>
        <v>62</v>
      </c>
      <c r="E1481" s="30" t="str">
        <f ca="1">IFERROR(__xludf.DUMMYFUNCTION("""COMPUTED_VALUE"""),"")</f>
        <v/>
      </c>
      <c r="F1481" s="29"/>
      <c r="G1481" s="29"/>
      <c r="H1481" s="30" t="str">
        <f ca="1">IFERROR(__xludf.DUMMYFUNCTION("""COMPUTED_VALUE"""),"activo")</f>
        <v>activo</v>
      </c>
      <c r="I1481" s="30" t="str">
        <f ca="1">IFERROR(__xludf.DUMMYFUNCTION("""COMPUTED_VALUE"""),"No se encontro la circular2")</f>
        <v>No se encontro la circular2</v>
      </c>
      <c r="J1481" s="29"/>
      <c r="K1481" s="29"/>
      <c r="L1481" s="30" t="str">
        <f ca="1">IFERROR(__xludf.DUMMYFUNCTION("""COMPUTED_VALUE"""),"No")</f>
        <v>No</v>
      </c>
      <c r="M1481" s="30" t="str">
        <f ca="1">IFERROR(__xludf.DUMMYFUNCTION("""COMPUTED_VALUE"""),"62042380000")</f>
        <v>62042380000</v>
      </c>
      <c r="N1481" s="30" t="str">
        <f ca="1">IFERROR(__xludf.DUMMYFUNCTION("""COMPUTED_VALUE"""),"CHICHINALES")</f>
        <v>CHICHINALES</v>
      </c>
      <c r="O1481" s="30" t="str">
        <f ca="1">IFERROR(__xludf.DUMMYFUNCTION("""COMPUTED_VALUE"""),"6242")</f>
        <v>6242</v>
      </c>
      <c r="P1481" s="30" t="str">
        <f ca="1">IFERROR(__xludf.DUMMYFUNCTION("""COMPUTED_VALUE"""),"GENERAL ROCA")</f>
        <v>GENERAL ROCA</v>
      </c>
      <c r="Q1481" s="30" t="str">
        <f ca="1">IFERROR(__xludf.DUMMYFUNCTION("""COMPUTED_VALUE"""),"-39.12608")</f>
        <v>-39.12608</v>
      </c>
      <c r="R1481" s="30" t="str">
        <f ca="1">IFERROR(__xludf.DUMMYFUNCTION("""COMPUTED_VALUE"""),"-66.99691")</f>
        <v>-66.99691</v>
      </c>
      <c r="S1481" s="30" t="str">
        <f ca="1">IFERROR(__xludf.DUMMYFUNCTION("""COMPUTED_VALUE"""),"Provincial")</f>
        <v>Provincial</v>
      </c>
      <c r="T1481" s="30" t="str">
        <f ca="1">IFERROR(__xludf.DUMMYFUNCTION("""COMPUTED_VALUE"""),"-")</f>
        <v>-</v>
      </c>
    </row>
    <row r="1482" spans="1:20" ht="15.75" customHeight="1" x14ac:dyDescent="0.25">
      <c r="A1482" s="30" t="str">
        <f ca="1">IFERROR(__xludf.DUMMYFUNCTION("""COMPUTED_VALUE"""),"50620632170238")</f>
        <v>50620632170238</v>
      </c>
      <c r="B1482" s="30" t="str">
        <f ca="1">IFERROR(__xludf.DUMMYFUNCTION("""COMPUTED_VALUE"""),"CENTRO DE SALUD BUENA PARADA")</f>
        <v>CENTRO DE SALUD BUENA PARADA</v>
      </c>
      <c r="C1482" s="30" t="str">
        <f ca="1">IFERROR(__xludf.DUMMYFUNCTION("""COMPUTED_VALUE"""),"Río Negro")</f>
        <v>Río Negro</v>
      </c>
      <c r="D1482" s="30" t="str">
        <f ca="1">IFERROR(__xludf.DUMMYFUNCTION("""COMPUTED_VALUE"""),"62")</f>
        <v>62</v>
      </c>
      <c r="E1482" s="30" t="str">
        <f ca="1">IFERROR(__xludf.DUMMYFUNCTION("""COMPUTED_VALUE"""),"")</f>
        <v/>
      </c>
      <c r="F1482" s="29"/>
      <c r="G1482" s="29"/>
      <c r="H1482" s="30" t="str">
        <f ca="1">IFERROR(__xludf.DUMMYFUNCTION("""COMPUTED_VALUE"""),"activo")</f>
        <v>activo</v>
      </c>
      <c r="I1482" s="30" t="str">
        <f ca="1">IFERROR(__xludf.DUMMYFUNCTION("""COMPUTED_VALUE"""),"No se encontro la circular2")</f>
        <v>No se encontro la circular2</v>
      </c>
      <c r="J1482" s="29"/>
      <c r="K1482" s="29"/>
      <c r="L1482" s="30" t="str">
        <f ca="1">IFERROR(__xludf.DUMMYFUNCTION("""COMPUTED_VALUE"""),"No")</f>
        <v>No</v>
      </c>
      <c r="M1482" s="30" t="str">
        <f ca="1">IFERROR(__xludf.DUMMYFUNCTION("""COMPUTED_VALUE"""),"62063020000")</f>
        <v>62063020000</v>
      </c>
      <c r="N1482" s="30" t="str">
        <f ca="1">IFERROR(__xludf.DUMMYFUNCTION("""COMPUTED_VALUE"""),"RIO COLORADO")</f>
        <v>RIO COLORADO</v>
      </c>
      <c r="O1482" s="30" t="str">
        <f ca="1">IFERROR(__xludf.DUMMYFUNCTION("""COMPUTED_VALUE"""),"6263")</f>
        <v>6263</v>
      </c>
      <c r="P1482" s="30" t="str">
        <f ca="1">IFERROR(__xludf.DUMMYFUNCTION("""COMPUTED_VALUE"""),"PICHI MAHUIDA")</f>
        <v>PICHI MAHUIDA</v>
      </c>
      <c r="Q1482" s="30" t="str">
        <f ca="1">IFERROR(__xludf.DUMMYFUNCTION("""COMPUTED_VALUE"""),"-38.9997")</f>
        <v>-38.9997</v>
      </c>
      <c r="R1482" s="30" t="str">
        <f ca="1">IFERROR(__xludf.DUMMYFUNCTION("""COMPUTED_VALUE"""),"-64.0699")</f>
        <v>-64.0699</v>
      </c>
      <c r="S1482" s="30" t="str">
        <f ca="1">IFERROR(__xludf.DUMMYFUNCTION("""COMPUTED_VALUE"""),"Provincial")</f>
        <v>Provincial</v>
      </c>
      <c r="T1482" s="30" t="str">
        <f ca="1">IFERROR(__xludf.DUMMYFUNCTION("""COMPUTED_VALUE"""),"-")</f>
        <v>-</v>
      </c>
    </row>
    <row r="1483" spans="1:20" ht="15.75" customHeight="1" x14ac:dyDescent="0.25">
      <c r="A1483" s="30" t="str">
        <f ca="1">IFERROR(__xludf.DUMMYFUNCTION("""COMPUTED_VALUE"""),"10620422170020")</f>
        <v>10620422170020</v>
      </c>
      <c r="B1483" s="30" t="str">
        <f ca="1">IFERROR(__xludf.DUMMYFUNCTION("""COMPUTED_VALUE"""),"HOSPITAL AREA PROGRAMA FERNANDEZ ORO")</f>
        <v>HOSPITAL AREA PROGRAMA FERNANDEZ ORO</v>
      </c>
      <c r="C1483" s="30" t="str">
        <f ca="1">IFERROR(__xludf.DUMMYFUNCTION("""COMPUTED_VALUE"""),"Río Negro")</f>
        <v>Río Negro</v>
      </c>
      <c r="D1483" s="30" t="str">
        <f ca="1">IFERROR(__xludf.DUMMYFUNCTION("""COMPUTED_VALUE"""),"62")</f>
        <v>62</v>
      </c>
      <c r="E1483" s="30" t="str">
        <f ca="1">IFERROR(__xludf.DUMMYFUNCTION("""COMPUTED_VALUE"""),"")</f>
        <v/>
      </c>
      <c r="F1483" s="29"/>
      <c r="G1483" s="29"/>
      <c r="H1483" s="30" t="str">
        <f ca="1">IFERROR(__xludf.DUMMYFUNCTION("""COMPUTED_VALUE"""),"activo")</f>
        <v>activo</v>
      </c>
      <c r="I1483" s="30" t="str">
        <f ca="1">IFERROR(__xludf.DUMMYFUNCTION("""COMPUTED_VALUE"""),"No se encontro la circular2")</f>
        <v>No se encontro la circular2</v>
      </c>
      <c r="J1483" s="29"/>
      <c r="K1483" s="29"/>
      <c r="L1483" s="30" t="str">
        <f ca="1">IFERROR(__xludf.DUMMYFUNCTION("""COMPUTED_VALUE"""),"No")</f>
        <v>No</v>
      </c>
      <c r="M1483" s="30" t="str">
        <f ca="1">IFERROR(__xludf.DUMMYFUNCTION("""COMPUTED_VALUE"""),"62042440000")</f>
        <v>62042440000</v>
      </c>
      <c r="N1483" s="30" t="str">
        <f ca="1">IFERROR(__xludf.DUMMYFUNCTION("""COMPUTED_VALUE"""),"GENERAL FERNANDEZ ORO")</f>
        <v>GENERAL FERNANDEZ ORO</v>
      </c>
      <c r="O1483" s="30" t="str">
        <f ca="1">IFERROR(__xludf.DUMMYFUNCTION("""COMPUTED_VALUE"""),"6242")</f>
        <v>6242</v>
      </c>
      <c r="P1483" s="30" t="str">
        <f ca="1">IFERROR(__xludf.DUMMYFUNCTION("""COMPUTED_VALUE"""),"GENERAL ROCA")</f>
        <v>GENERAL ROCA</v>
      </c>
      <c r="Q1483" s="30" t="str">
        <f ca="1">IFERROR(__xludf.DUMMYFUNCTION("""COMPUTED_VALUE"""),"-38.9555")</f>
        <v>-38.9555</v>
      </c>
      <c r="R1483" s="30" t="str">
        <f ca="1">IFERROR(__xludf.DUMMYFUNCTION("""COMPUTED_VALUE"""),"-67.9236")</f>
        <v>-67.9236</v>
      </c>
      <c r="S1483" s="30" t="str">
        <f ca="1">IFERROR(__xludf.DUMMYFUNCTION("""COMPUTED_VALUE"""),"Provincial")</f>
        <v>Provincial</v>
      </c>
      <c r="T1483" s="30" t="str">
        <f ca="1">IFERROR(__xludf.DUMMYFUNCTION("""COMPUTED_VALUE"""),"-")</f>
        <v>-</v>
      </c>
    </row>
    <row r="1484" spans="1:20" ht="15.75" customHeight="1" x14ac:dyDescent="0.25">
      <c r="A1484" s="30" t="str">
        <f ca="1">IFERROR(__xludf.DUMMYFUNCTION("""COMPUTED_VALUE"""),"10660562173001")</f>
        <v>10660562173001</v>
      </c>
      <c r="B1484" s="30" t="str">
        <f ca="1">IFERROR(__xludf.DUMMYFUNCTION("""COMPUTED_VALUE"""),"CENTRO DE SALUD DRAGONES")</f>
        <v>CENTRO DE SALUD DRAGONES</v>
      </c>
      <c r="C1484" s="30" t="str">
        <f ca="1">IFERROR(__xludf.DUMMYFUNCTION("""COMPUTED_VALUE"""),"Salta")</f>
        <v>Salta</v>
      </c>
      <c r="D1484" s="30" t="str">
        <f ca="1">IFERROR(__xludf.DUMMYFUNCTION("""COMPUTED_VALUE"""),"66")</f>
        <v>66</v>
      </c>
      <c r="E1484" s="30" t="str">
        <f ca="1">IFERROR(__xludf.DUMMYFUNCTION("""COMPUTED_VALUE"""),"")</f>
        <v/>
      </c>
      <c r="F1484" s="29"/>
      <c r="G1484" s="29"/>
      <c r="H1484" s="30" t="str">
        <f ca="1">IFERROR(__xludf.DUMMYFUNCTION("""COMPUTED_VALUE"""),"inactivo")</f>
        <v>inactivo</v>
      </c>
      <c r="I1484" s="29"/>
      <c r="J1484" s="29"/>
      <c r="K1484" s="29"/>
      <c r="L1484" s="30" t="str">
        <f ca="1">IFERROR(__xludf.DUMMYFUNCTION("""COMPUTED_VALUE"""),"No")</f>
        <v>No</v>
      </c>
      <c r="M1484" s="30" t="str">
        <f ca="1">IFERROR(__xludf.DUMMYFUNCTION("""COMPUTED_VALUE"""),"66056080000")</f>
        <v>66056080000</v>
      </c>
      <c r="N1484" s="30" t="str">
        <f ca="1">IFERROR(__xludf.DUMMYFUNCTION("""COMPUTED_VALUE"""),"DRAGONES")</f>
        <v>DRAGONES</v>
      </c>
      <c r="O1484" s="30" t="str">
        <f ca="1">IFERROR(__xludf.DUMMYFUNCTION("""COMPUTED_VALUE"""),"6656")</f>
        <v>6656</v>
      </c>
      <c r="P1484" s="30" t="str">
        <f ca="1">IFERROR(__xludf.DUMMYFUNCTION("""COMPUTED_VALUE"""),"GRL. JOSÉ DE SAN MARTÍN")</f>
        <v>GRL. JOSÉ DE SAN MARTÍN</v>
      </c>
      <c r="Q1484" s="30" t="str">
        <f ca="1">IFERROR(__xludf.DUMMYFUNCTION("""COMPUTED_VALUE"""),"-23.24883119")</f>
        <v>-23.24883119</v>
      </c>
      <c r="R1484" s="30" t="str">
        <f ca="1">IFERROR(__xludf.DUMMYFUNCTION("""COMPUTED_VALUE"""),"-63.33990331")</f>
        <v>-63.33990331</v>
      </c>
      <c r="S1484" s="30" t="str">
        <f ca="1">IFERROR(__xludf.DUMMYFUNCTION("""COMPUTED_VALUE"""),"Provincial")</f>
        <v>Provincial</v>
      </c>
      <c r="T1484" s="30" t="str">
        <f ca="1">IFERROR(__xludf.DUMMYFUNCTION("""COMPUTED_VALUE"""),"-")</f>
        <v>-</v>
      </c>
    </row>
    <row r="1485" spans="1:20" ht="15.75" customHeight="1" x14ac:dyDescent="0.25">
      <c r="A1485" s="30" t="str">
        <f ca="1">IFERROR(__xludf.DUMMYFUNCTION("""COMPUTED_VALUE"""),"10661192173022")</f>
        <v>10661192173022</v>
      </c>
      <c r="B1485" s="30" t="str">
        <f ca="1">IFERROR(__xludf.DUMMYFUNCTION("""COMPUTED_VALUE"""),"HOSPITAL DR. A. FERNANDEZ")</f>
        <v>HOSPITAL DR. A. FERNANDEZ</v>
      </c>
      <c r="C1485" s="30" t="str">
        <f ca="1">IFERROR(__xludf.DUMMYFUNCTION("""COMPUTED_VALUE"""),"Salta")</f>
        <v>Salta</v>
      </c>
      <c r="D1485" s="30" t="str">
        <f ca="1">IFERROR(__xludf.DUMMYFUNCTION("""COMPUTED_VALUE"""),"66")</f>
        <v>66</v>
      </c>
      <c r="E1485" s="30" t="str">
        <f ca="1">IFERROR(__xludf.DUMMYFUNCTION("""COMPUTED_VALUE"""),"")</f>
        <v/>
      </c>
      <c r="F1485" s="29"/>
      <c r="G1485" s="29"/>
      <c r="H1485" s="30" t="str">
        <f ca="1">IFERROR(__xludf.DUMMYFUNCTION("""COMPUTED_VALUE"""),"inactivo")</f>
        <v>inactivo</v>
      </c>
      <c r="I1485" s="29"/>
      <c r="J1485" s="29"/>
      <c r="K1485" s="29"/>
      <c r="L1485" s="30" t="str">
        <f ca="1">IFERROR(__xludf.DUMMYFUNCTION("""COMPUTED_VALUE"""),"No")</f>
        <v>No</v>
      </c>
      <c r="M1485" s="30" t="str">
        <f ca="1">IFERROR(__xludf.DUMMYFUNCTION("""COMPUTED_VALUE"""),"66119020000")</f>
        <v>66119020000</v>
      </c>
      <c r="N1485" s="30" t="str">
        <f ca="1">IFERROR(__xludf.DUMMYFUNCTION("""COMPUTED_VALUE"""),"MOLINOS")</f>
        <v>MOLINOS</v>
      </c>
      <c r="O1485" s="30" t="str">
        <f ca="1">IFERROR(__xludf.DUMMYFUNCTION("""COMPUTED_VALUE"""),"66119")</f>
        <v>66119</v>
      </c>
      <c r="P1485" s="30" t="str">
        <f ca="1">IFERROR(__xludf.DUMMYFUNCTION("""COMPUTED_VALUE"""),"MOLINOS")</f>
        <v>MOLINOS</v>
      </c>
      <c r="Q1485" s="30" t="str">
        <f ca="1">IFERROR(__xludf.DUMMYFUNCTION("""COMPUTED_VALUE"""),"-25.43694874")</f>
        <v>-25.43694874</v>
      </c>
      <c r="R1485" s="30" t="str">
        <f ca="1">IFERROR(__xludf.DUMMYFUNCTION("""COMPUTED_VALUE"""),"-66.29519875")</f>
        <v>-66.29519875</v>
      </c>
      <c r="S1485" s="30" t="str">
        <f ca="1">IFERROR(__xludf.DUMMYFUNCTION("""COMPUTED_VALUE"""),"Provincial")</f>
        <v>Provincial</v>
      </c>
      <c r="T1485" s="30" t="str">
        <f ca="1">IFERROR(__xludf.DUMMYFUNCTION("""COMPUTED_VALUE"""),"-")</f>
        <v>-</v>
      </c>
    </row>
    <row r="1486" spans="1:20" ht="15.75" customHeight="1" x14ac:dyDescent="0.25">
      <c r="A1486" s="30" t="str">
        <f ca="1">IFERROR(__xludf.DUMMYFUNCTION("""COMPUTED_VALUE"""),"10661262173000")</f>
        <v>10661262173000</v>
      </c>
      <c r="B1486" s="30" t="str">
        <f ca="1">IFERROR(__xludf.DUMMYFUNCTION("""COMPUTED_VALUE"""),"CENTRO DE SALUD AGUAS BLANCAS")</f>
        <v>CENTRO DE SALUD AGUAS BLANCAS</v>
      </c>
      <c r="C1486" s="30" t="str">
        <f ca="1">IFERROR(__xludf.DUMMYFUNCTION("""COMPUTED_VALUE"""),"Salta")</f>
        <v>Salta</v>
      </c>
      <c r="D1486" s="30" t="str">
        <f ca="1">IFERROR(__xludf.DUMMYFUNCTION("""COMPUTED_VALUE"""),"66")</f>
        <v>66</v>
      </c>
      <c r="E1486" s="30" t="str">
        <f ca="1">IFERROR(__xludf.DUMMYFUNCTION("""COMPUTED_VALUE"""),"")</f>
        <v/>
      </c>
      <c r="F1486" s="29"/>
      <c r="G1486" s="29"/>
      <c r="H1486" s="30" t="str">
        <f ca="1">IFERROR(__xludf.DUMMYFUNCTION("""COMPUTED_VALUE"""),"inactivo")</f>
        <v>inactivo</v>
      </c>
      <c r="I1486" s="29"/>
      <c r="J1486" s="29"/>
      <c r="K1486" s="29"/>
      <c r="L1486" s="30" t="str">
        <f ca="1">IFERROR(__xludf.DUMMYFUNCTION("""COMPUTED_VALUE"""),"No")</f>
        <v>No</v>
      </c>
      <c r="M1486" s="30" t="str">
        <f ca="1">IFERROR(__xludf.DUMMYFUNCTION("""COMPUTED_VALUE"""),"66126010000")</f>
        <v>66126010000</v>
      </c>
      <c r="N1486" s="30" t="str">
        <f ca="1">IFERROR(__xludf.DUMMYFUNCTION("""COMPUTED_VALUE"""),"AGUAS BLANCAS")</f>
        <v>AGUAS BLANCAS</v>
      </c>
      <c r="O1486" s="30" t="str">
        <f ca="1">IFERROR(__xludf.DUMMYFUNCTION("""COMPUTED_VALUE"""),"66126")</f>
        <v>66126</v>
      </c>
      <c r="P1486" s="30" t="str">
        <f ca="1">IFERROR(__xludf.DUMMYFUNCTION("""COMPUTED_VALUE"""),"ORÁN")</f>
        <v>ORÁN</v>
      </c>
      <c r="Q1486" s="30" t="str">
        <f ca="1">IFERROR(__xludf.DUMMYFUNCTION("""COMPUTED_VALUE"""),"-22.73440016")</f>
        <v>-22.73440016</v>
      </c>
      <c r="R1486" s="30" t="str">
        <f ca="1">IFERROR(__xludf.DUMMYFUNCTION("""COMPUTED_VALUE"""),"-64.35424089")</f>
        <v>-64.35424089</v>
      </c>
      <c r="S1486" s="30" t="str">
        <f ca="1">IFERROR(__xludf.DUMMYFUNCTION("""COMPUTED_VALUE"""),"Provincial")</f>
        <v>Provincial</v>
      </c>
      <c r="T1486" s="30" t="str">
        <f ca="1">IFERROR(__xludf.DUMMYFUNCTION("""COMPUTED_VALUE"""),"-")</f>
        <v>-</v>
      </c>
    </row>
    <row r="1487" spans="1:20" ht="15.75" customHeight="1" x14ac:dyDescent="0.25">
      <c r="A1487" s="30" t="str">
        <f ca="1">IFERROR(__xludf.DUMMYFUNCTION("""COMPUTED_VALUE"""),"10661332173036")</f>
        <v>10661332173036</v>
      </c>
      <c r="B1487" s="30" t="str">
        <f ca="1">IFERROR(__xludf.DUMMYFUNCTION("""COMPUTED_VALUE"""),"HOSPITAL CORONEL JUAN SOLA")</f>
        <v>HOSPITAL CORONEL JUAN SOLA</v>
      </c>
      <c r="C1487" s="30" t="str">
        <f ca="1">IFERROR(__xludf.DUMMYFUNCTION("""COMPUTED_VALUE"""),"Salta")</f>
        <v>Salta</v>
      </c>
      <c r="D1487" s="30" t="str">
        <f ca="1">IFERROR(__xludf.DUMMYFUNCTION("""COMPUTED_VALUE"""),"66")</f>
        <v>66</v>
      </c>
      <c r="E1487" s="30" t="str">
        <f ca="1">IFERROR(__xludf.DUMMYFUNCTION("""COMPUTED_VALUE"""),"si")</f>
        <v>si</v>
      </c>
      <c r="F1487" s="29"/>
      <c r="G1487" s="29"/>
      <c r="H1487" s="30" t="str">
        <f ca="1">IFERROR(__xludf.DUMMYFUNCTION("""COMPUTED_VALUE"""),"inactivo")</f>
        <v>inactivo</v>
      </c>
      <c r="I1487" s="30" t="str">
        <f ca="1">IFERROR(__xludf.DUMMYFUNCTION("""COMPUTED_VALUE"""),"fuera de la circular 2")</f>
        <v>fuera de la circular 2</v>
      </c>
      <c r="J1487" s="29"/>
      <c r="K1487" s="29"/>
      <c r="L1487" s="30" t="str">
        <f ca="1">IFERROR(__xludf.DUMMYFUNCTION("""COMPUTED_VALUE"""),"No")</f>
        <v>No</v>
      </c>
      <c r="M1487" s="30" t="str">
        <f ca="1">IFERROR(__xludf.DUMMYFUNCTION("""COMPUTED_VALUE"""),"66133030000")</f>
        <v>66133030000</v>
      </c>
      <c r="N1487" s="30" t="str">
        <f ca="1">IFERROR(__xludf.DUMMYFUNCTION("""COMPUTED_VALUE"""),"CORONEL JUAN SOLA")</f>
        <v>CORONEL JUAN SOLA</v>
      </c>
      <c r="O1487" s="30" t="str">
        <f ca="1">IFERROR(__xludf.DUMMYFUNCTION("""COMPUTED_VALUE"""),"66133")</f>
        <v>66133</v>
      </c>
      <c r="P1487" s="30" t="str">
        <f ca="1">IFERROR(__xludf.DUMMYFUNCTION("""COMPUTED_VALUE"""),"RIVADAVIA")</f>
        <v>RIVADAVIA</v>
      </c>
      <c r="Q1487" s="30" t="str">
        <f ca="1">IFERROR(__xludf.DUMMYFUNCTION("""COMPUTED_VALUE"""),"-23.47169173")</f>
        <v>-23.47169173</v>
      </c>
      <c r="R1487" s="30" t="str">
        <f ca="1">IFERROR(__xludf.DUMMYFUNCTION("""COMPUTED_VALUE"""),"-62.88891008")</f>
        <v>-62.88891008</v>
      </c>
      <c r="S1487" s="30" t="str">
        <f ca="1">IFERROR(__xludf.DUMMYFUNCTION("""COMPUTED_VALUE"""),"Provincial")</f>
        <v>Provincial</v>
      </c>
      <c r="T1487" s="30" t="str">
        <f ca="1">IFERROR(__xludf.DUMMYFUNCTION("""COMPUTED_VALUE"""),"-")</f>
        <v>-</v>
      </c>
    </row>
    <row r="1488" spans="1:20" ht="15.75" customHeight="1" x14ac:dyDescent="0.25">
      <c r="A1488" s="30" t="str">
        <f ca="1">IFERROR(__xludf.DUMMYFUNCTION("""COMPUTED_VALUE"""),"10661542173603")</f>
        <v>10661542173603</v>
      </c>
      <c r="B1488" s="30" t="str">
        <f ca="1">IFERROR(__xludf.DUMMYFUNCTION("""COMPUTED_VALUE"""),"HOSPITAL NUESTRA SEÑORA DEL VALLE DE ANGASTACO")</f>
        <v>HOSPITAL NUESTRA SEÑORA DEL VALLE DE ANGASTACO</v>
      </c>
      <c r="C1488" s="30" t="str">
        <f ca="1">IFERROR(__xludf.DUMMYFUNCTION("""COMPUTED_VALUE"""),"Salta")</f>
        <v>Salta</v>
      </c>
      <c r="D1488" s="30" t="str">
        <f ca="1">IFERROR(__xludf.DUMMYFUNCTION("""COMPUTED_VALUE"""),"66")</f>
        <v>66</v>
      </c>
      <c r="E1488" s="30" t="str">
        <f ca="1">IFERROR(__xludf.DUMMYFUNCTION("""COMPUTED_VALUE"""),"")</f>
        <v/>
      </c>
      <c r="F1488" s="29"/>
      <c r="G1488" s="29"/>
      <c r="H1488" s="30" t="str">
        <f ca="1">IFERROR(__xludf.DUMMYFUNCTION("""COMPUTED_VALUE"""),"activo")</f>
        <v>activo</v>
      </c>
      <c r="I1488" s="29"/>
      <c r="J1488" s="29"/>
      <c r="K1488" s="29"/>
      <c r="L1488" s="30" t="str">
        <f ca="1">IFERROR(__xludf.DUMMYFUNCTION("""COMPUTED_VALUE"""),"No")</f>
        <v>No</v>
      </c>
      <c r="M1488" s="30" t="str">
        <f ca="1">IFERROR(__xludf.DUMMYFUNCTION("""COMPUTED_VALUE"""),"66154010000")</f>
        <v>66154010000</v>
      </c>
      <c r="N1488" s="30" t="str">
        <f ca="1">IFERROR(__xludf.DUMMYFUNCTION("""COMPUTED_VALUE"""),"ANGASTACO")</f>
        <v>ANGASTACO</v>
      </c>
      <c r="O1488" s="30" t="str">
        <f ca="1">IFERROR(__xludf.DUMMYFUNCTION("""COMPUTED_VALUE"""),"66154")</f>
        <v>66154</v>
      </c>
      <c r="P1488" s="30" t="str">
        <f ca="1">IFERROR(__xludf.DUMMYFUNCTION("""COMPUTED_VALUE"""),"SAN CARLOS")</f>
        <v>SAN CARLOS</v>
      </c>
      <c r="Q1488" s="30" t="str">
        <f ca="1">IFERROR(__xludf.DUMMYFUNCTION("""COMPUTED_VALUE"""),"-25.69037816")</f>
        <v>-25.69037816</v>
      </c>
      <c r="R1488" s="30" t="str">
        <f ca="1">IFERROR(__xludf.DUMMYFUNCTION("""COMPUTED_VALUE"""),"-66.1672157")</f>
        <v>-66.1672157</v>
      </c>
      <c r="S1488" s="30" t="str">
        <f ca="1">IFERROR(__xludf.DUMMYFUNCTION("""COMPUTED_VALUE"""),"Provincial")</f>
        <v>Provincial</v>
      </c>
      <c r="T1488" s="30" t="str">
        <f ca="1">IFERROR(__xludf.DUMMYFUNCTION("""COMPUTED_VALUE"""),"-")</f>
        <v>-</v>
      </c>
    </row>
    <row r="1489" spans="1:20" ht="15.75" customHeight="1" x14ac:dyDescent="0.25">
      <c r="A1489" s="30" t="str">
        <f ca="1">IFERROR(__xludf.DUMMYFUNCTION("""COMPUTED_VALUE"""),"10661612173003")</f>
        <v>10661612173003</v>
      </c>
      <c r="B1489" s="30" t="str">
        <f ca="1">IFERROR(__xludf.DUMMYFUNCTION("""COMPUTED_VALUE"""),"CENTRO DE SALUD LOS TOLDOS")</f>
        <v>CENTRO DE SALUD LOS TOLDOS</v>
      </c>
      <c r="C1489" s="30" t="str">
        <f ca="1">IFERROR(__xludf.DUMMYFUNCTION("""COMPUTED_VALUE"""),"Salta")</f>
        <v>Salta</v>
      </c>
      <c r="D1489" s="30" t="str">
        <f ca="1">IFERROR(__xludf.DUMMYFUNCTION("""COMPUTED_VALUE"""),"66")</f>
        <v>66</v>
      </c>
      <c r="E1489" s="30" t="str">
        <f ca="1">IFERROR(__xludf.DUMMYFUNCTION("""COMPUTED_VALUE"""),"si")</f>
        <v>si</v>
      </c>
      <c r="F1489" s="29"/>
      <c r="G1489" s="29"/>
      <c r="H1489" s="30" t="str">
        <f ca="1">IFERROR(__xludf.DUMMYFUNCTION("""COMPUTED_VALUE"""),"activo")</f>
        <v>activo</v>
      </c>
      <c r="I1489" s="29"/>
      <c r="J1489" s="29"/>
      <c r="K1489" s="29"/>
      <c r="L1489" s="30" t="str">
        <f ca="1">IFERROR(__xludf.DUMMYFUNCTION("""COMPUTED_VALUE"""),"No")</f>
        <v>No</v>
      </c>
      <c r="M1489" s="30" t="str">
        <f ca="1">IFERROR(__xludf.DUMMYFUNCTION("""COMPUTED_VALUE"""),"66161030000")</f>
        <v>66161030000</v>
      </c>
      <c r="N1489" s="30" t="str">
        <f ca="1">IFERROR(__xludf.DUMMYFUNCTION("""COMPUTED_VALUE"""),"LOS TOLDOS")</f>
        <v>LOS TOLDOS</v>
      </c>
      <c r="O1489" s="30" t="str">
        <f ca="1">IFERROR(__xludf.DUMMYFUNCTION("""COMPUTED_VALUE"""),"66161")</f>
        <v>66161</v>
      </c>
      <c r="P1489" s="30" t="str">
        <f ca="1">IFERROR(__xludf.DUMMYFUNCTION("""COMPUTED_VALUE"""),"SANTA VICTORIA")</f>
        <v>SANTA VICTORIA</v>
      </c>
      <c r="Q1489" s="30" t="str">
        <f ca="1">IFERROR(__xludf.DUMMYFUNCTION("""COMPUTED_VALUE"""),"-22.2792314")</f>
        <v>-22.2792314</v>
      </c>
      <c r="R1489" s="30" t="str">
        <f ca="1">IFERROR(__xludf.DUMMYFUNCTION("""COMPUTED_VALUE"""),"-64.6984921")</f>
        <v>-64.6984921</v>
      </c>
      <c r="S1489" s="30" t="str">
        <f ca="1">IFERROR(__xludf.DUMMYFUNCTION("""COMPUTED_VALUE"""),"Provincial")</f>
        <v>Provincial</v>
      </c>
      <c r="T1489" s="30" t="str">
        <f ca="1">IFERROR(__xludf.DUMMYFUNCTION("""COMPUTED_VALUE"""),"-")</f>
        <v>-</v>
      </c>
    </row>
    <row r="1490" spans="1:20" ht="15.75" customHeight="1" x14ac:dyDescent="0.25">
      <c r="A1490" s="30" t="str">
        <f ca="1">IFERROR(__xludf.DUMMYFUNCTION("""COMPUTED_VALUE"""),"10661612173030")</f>
        <v>10661612173030</v>
      </c>
      <c r="B1490" s="30" t="str">
        <f ca="1">IFERROR(__xludf.DUMMYFUNCTION("""COMPUTED_VALUE"""),"HOSPITAL NAZARENO")</f>
        <v>HOSPITAL NAZARENO</v>
      </c>
      <c r="C1490" s="30" t="str">
        <f ca="1">IFERROR(__xludf.DUMMYFUNCTION("""COMPUTED_VALUE"""),"Salta")</f>
        <v>Salta</v>
      </c>
      <c r="D1490" s="30" t="str">
        <f ca="1">IFERROR(__xludf.DUMMYFUNCTION("""COMPUTED_VALUE"""),"66")</f>
        <v>66</v>
      </c>
      <c r="E1490" s="30" t="str">
        <f ca="1">IFERROR(__xludf.DUMMYFUNCTION("""COMPUTED_VALUE"""),"si")</f>
        <v>si</v>
      </c>
      <c r="F1490" s="29"/>
      <c r="G1490" s="29"/>
      <c r="H1490" s="30" t="str">
        <f ca="1">IFERROR(__xludf.DUMMYFUNCTION("""COMPUTED_VALUE"""),"activo")</f>
        <v>activo</v>
      </c>
      <c r="I1490" s="29"/>
      <c r="J1490" s="29"/>
      <c r="K1490" s="29"/>
      <c r="L1490" s="30" t="str">
        <f ca="1">IFERROR(__xludf.DUMMYFUNCTION("""COMPUTED_VALUE"""),"No")</f>
        <v>No</v>
      </c>
      <c r="M1490" s="30" t="str">
        <f ca="1">IFERROR(__xludf.DUMMYFUNCTION("""COMPUTED_VALUE"""),"66161040000")</f>
        <v>66161040000</v>
      </c>
      <c r="N1490" s="30" t="str">
        <f ca="1">IFERROR(__xludf.DUMMYFUNCTION("""COMPUTED_VALUE"""),"NAZARENO")</f>
        <v>NAZARENO</v>
      </c>
      <c r="O1490" s="30" t="str">
        <f ca="1">IFERROR(__xludf.DUMMYFUNCTION("""COMPUTED_VALUE"""),"66161")</f>
        <v>66161</v>
      </c>
      <c r="P1490" s="30" t="str">
        <f ca="1">IFERROR(__xludf.DUMMYFUNCTION("""COMPUTED_VALUE"""),"SANTA VICTORIA")</f>
        <v>SANTA VICTORIA</v>
      </c>
      <c r="Q1490" s="30" t="str">
        <f ca="1">IFERROR(__xludf.DUMMYFUNCTION("""COMPUTED_VALUE"""),"-22.50915487")</f>
        <v>-22.50915487</v>
      </c>
      <c r="R1490" s="30" t="str">
        <f ca="1">IFERROR(__xludf.DUMMYFUNCTION("""COMPUTED_VALUE"""),"-65.10131121")</f>
        <v>-65.10131121</v>
      </c>
      <c r="S1490" s="30" t="str">
        <f ca="1">IFERROR(__xludf.DUMMYFUNCTION("""COMPUTED_VALUE"""),"Provincial")</f>
        <v>Provincial</v>
      </c>
      <c r="T1490" s="30" t="str">
        <f ca="1">IFERROR(__xludf.DUMMYFUNCTION("""COMPUTED_VALUE"""),"-")</f>
        <v>-</v>
      </c>
    </row>
    <row r="1491" spans="1:20" ht="15.75" customHeight="1" x14ac:dyDescent="0.25">
      <c r="A1491" s="30" t="str">
        <f ca="1">IFERROR(__xludf.DUMMYFUNCTION("""COMPUTED_VALUE"""),"10661612173042")</f>
        <v>10661612173042</v>
      </c>
      <c r="B1491" s="30" t="str">
        <f ca="1">IFERROR(__xludf.DUMMYFUNCTION("""COMPUTED_VALUE"""),"HOSPITAL  JUAN CARLOS DAVALOS")</f>
        <v>HOSPITAL  JUAN CARLOS DAVALOS</v>
      </c>
      <c r="C1491" s="30" t="str">
        <f ca="1">IFERROR(__xludf.DUMMYFUNCTION("""COMPUTED_VALUE"""),"Salta")</f>
        <v>Salta</v>
      </c>
      <c r="D1491" s="30" t="str">
        <f ca="1">IFERROR(__xludf.DUMMYFUNCTION("""COMPUTED_VALUE"""),"66")</f>
        <v>66</v>
      </c>
      <c r="E1491" s="30" t="str">
        <f ca="1">IFERROR(__xludf.DUMMYFUNCTION("""COMPUTED_VALUE"""),"")</f>
        <v/>
      </c>
      <c r="F1491" s="29"/>
      <c r="G1491" s="29"/>
      <c r="H1491" s="30" t="str">
        <f ca="1">IFERROR(__xludf.DUMMYFUNCTION("""COMPUTED_VALUE"""),"inactivo")</f>
        <v>inactivo</v>
      </c>
      <c r="I1491" s="30" t="str">
        <f ca="1">IFERROR(__xludf.DUMMYFUNCTION("""COMPUTED_VALUE"""),"fuera de la circular 2")</f>
        <v>fuera de la circular 2</v>
      </c>
      <c r="J1491" s="29"/>
      <c r="K1491" s="29"/>
      <c r="L1491" s="30" t="str">
        <f ca="1">IFERROR(__xludf.DUMMYFUNCTION("""COMPUTED_VALUE"""),"No")</f>
        <v>No</v>
      </c>
      <c r="M1491" s="30" t="str">
        <f ca="1">IFERROR(__xludf.DUMMYFUNCTION("""COMPUTED_VALUE"""),"66161070000")</f>
        <v>66161070000</v>
      </c>
      <c r="N1491" s="30" t="str">
        <f ca="1">IFERROR(__xludf.DUMMYFUNCTION("""COMPUTED_VALUE"""),"SANTA VICTORIA")</f>
        <v>SANTA VICTORIA</v>
      </c>
      <c r="O1491" s="30" t="str">
        <f ca="1">IFERROR(__xludf.DUMMYFUNCTION("""COMPUTED_VALUE"""),"66161")</f>
        <v>66161</v>
      </c>
      <c r="P1491" s="30" t="str">
        <f ca="1">IFERROR(__xludf.DUMMYFUNCTION("""COMPUTED_VALUE"""),"SANTA VICTORIA")</f>
        <v>SANTA VICTORIA</v>
      </c>
      <c r="Q1491" s="30" t="str">
        <f ca="1">IFERROR(__xludf.DUMMYFUNCTION("""COMPUTED_VALUE"""),"-22.25198511")</f>
        <v>-22.25198511</v>
      </c>
      <c r="R1491" s="30" t="str">
        <f ca="1">IFERROR(__xludf.DUMMYFUNCTION("""COMPUTED_VALUE"""),"-64.9644517")</f>
        <v>-64.9644517</v>
      </c>
      <c r="S1491" s="30" t="str">
        <f ca="1">IFERROR(__xludf.DUMMYFUNCTION("""COMPUTED_VALUE"""),"Provincial")</f>
        <v>Provincial</v>
      </c>
      <c r="T1491" s="30" t="str">
        <f ca="1">IFERROR(__xludf.DUMMYFUNCTION("""COMPUTED_VALUE"""),"-")</f>
        <v>-</v>
      </c>
    </row>
    <row r="1492" spans="1:20" ht="15.75" customHeight="1" x14ac:dyDescent="0.25">
      <c r="A1492" s="30" t="str">
        <f ca="1">IFERROR(__xludf.DUMMYFUNCTION("""COMPUTED_VALUE"""),"50660072173123")</f>
        <v>50660072173123</v>
      </c>
      <c r="B1492" s="30" t="str">
        <f ca="1">IFERROR(__xludf.DUMMYFUNCTION("""COMPUTED_VALUE"""),"CENTRO DE SALUD GAONA")</f>
        <v>CENTRO DE SALUD GAONA</v>
      </c>
      <c r="C1492" s="30" t="str">
        <f ca="1">IFERROR(__xludf.DUMMYFUNCTION("""COMPUTED_VALUE"""),"Salta")</f>
        <v>Salta</v>
      </c>
      <c r="D1492" s="30" t="str">
        <f ca="1">IFERROR(__xludf.DUMMYFUNCTION("""COMPUTED_VALUE"""),"66")</f>
        <v>66</v>
      </c>
      <c r="E1492" s="30" t="str">
        <f ca="1">IFERROR(__xludf.DUMMYFUNCTION("""COMPUTED_VALUE"""),"")</f>
        <v/>
      </c>
      <c r="F1492" s="29"/>
      <c r="G1492" s="29"/>
      <c r="H1492" s="30" t="str">
        <f ca="1">IFERROR(__xludf.DUMMYFUNCTION("""COMPUTED_VALUE"""),"activo")</f>
        <v>activo</v>
      </c>
      <c r="I1492" s="29"/>
      <c r="J1492" s="29"/>
      <c r="K1492" s="29"/>
      <c r="L1492" s="30" t="str">
        <f ca="1">IFERROR(__xludf.DUMMYFUNCTION("""COMPUTED_VALUE"""),"No")</f>
        <v>No</v>
      </c>
      <c r="M1492" s="30" t="str">
        <f ca="1">IFERROR(__xludf.DUMMYFUNCTION("""COMPUTED_VALUE"""),"66007060000")</f>
        <v>66007060000</v>
      </c>
      <c r="N1492" s="30" t="str">
        <f ca="1">IFERROR(__xludf.DUMMYFUNCTION("""COMPUTED_VALUE"""),"EL QUEBRACHAL")</f>
        <v>EL QUEBRACHAL</v>
      </c>
      <c r="O1492" s="30" t="str">
        <f ca="1">IFERROR(__xludf.DUMMYFUNCTION("""COMPUTED_VALUE"""),"667")</f>
        <v>667</v>
      </c>
      <c r="P1492" s="30" t="str">
        <f ca="1">IFERROR(__xludf.DUMMYFUNCTION("""COMPUTED_VALUE"""),"ANTA")</f>
        <v>ANTA</v>
      </c>
      <c r="Q1492" s="30" t="str">
        <f ca="1">IFERROR(__xludf.DUMMYFUNCTION("""COMPUTED_VALUE"""),"-25.24144412")</f>
        <v>-25.24144412</v>
      </c>
      <c r="R1492" s="30" t="str">
        <f ca="1">IFERROR(__xludf.DUMMYFUNCTION("""COMPUTED_VALUE"""),"-64.03648372")</f>
        <v>-64.03648372</v>
      </c>
      <c r="S1492" s="30" t="str">
        <f ca="1">IFERROR(__xludf.DUMMYFUNCTION("""COMPUTED_VALUE"""),"Provincial")</f>
        <v>Provincial</v>
      </c>
      <c r="T1492" s="30" t="str">
        <f ca="1">IFERROR(__xludf.DUMMYFUNCTION("""COMPUTED_VALUE"""),"-")</f>
        <v>-</v>
      </c>
    </row>
    <row r="1493" spans="1:20" ht="15.75" customHeight="1" x14ac:dyDescent="0.25">
      <c r="A1493" s="30" t="str">
        <f ca="1">IFERROR(__xludf.DUMMYFUNCTION("""COMPUTED_VALUE"""),"50660282173107")</f>
        <v>50660282173107</v>
      </c>
      <c r="B1493" s="30" t="str">
        <f ca="1">IFERROR(__xludf.DUMMYFUNCTION("""COMPUTED_VALUE"""),"CENTRO DE SALUD Nº 59 DR. ADOLFO TROYANO - PALMERITAS")</f>
        <v>CENTRO DE SALUD Nº 59 DR. ADOLFO TROYANO - PALMERITAS</v>
      </c>
      <c r="C1493" s="30" t="str">
        <f ca="1">IFERROR(__xludf.DUMMYFUNCTION("""COMPUTED_VALUE"""),"Salta")</f>
        <v>Salta</v>
      </c>
      <c r="D1493" s="30" t="str">
        <f ca="1">IFERROR(__xludf.DUMMYFUNCTION("""COMPUTED_VALUE"""),"66")</f>
        <v>66</v>
      </c>
      <c r="E1493" s="30" t="str">
        <f ca="1">IFERROR(__xludf.DUMMYFUNCTION("""COMPUTED_VALUE"""),"")</f>
        <v/>
      </c>
      <c r="F1493" s="29"/>
      <c r="G1493" s="29"/>
      <c r="H1493" s="30" t="str">
        <f ca="1">IFERROR(__xludf.DUMMYFUNCTION("""COMPUTED_VALUE"""),"activo")</f>
        <v>activo</v>
      </c>
      <c r="I1493" s="29"/>
      <c r="J1493" s="29"/>
      <c r="K1493" s="29"/>
      <c r="L1493" s="30" t="str">
        <f ca="1">IFERROR(__xludf.DUMMYFUNCTION("""COMPUTED_VALUE"""),"No")</f>
        <v>No</v>
      </c>
      <c r="M1493" s="30" t="str">
        <f ca="1">IFERROR(__xludf.DUMMYFUNCTION("""COMPUTED_VALUE"""),"66028050000")</f>
        <v>66028050000</v>
      </c>
      <c r="N1493" s="30" t="str">
        <f ca="1">IFERROR(__xludf.DUMMYFUNCTION("""COMPUTED_VALUE"""),"SALTA")</f>
        <v>SALTA</v>
      </c>
      <c r="O1493" s="30" t="str">
        <f ca="1">IFERROR(__xludf.DUMMYFUNCTION("""COMPUTED_VALUE"""),"6628")</f>
        <v>6628</v>
      </c>
      <c r="P1493" s="30" t="str">
        <f ca="1">IFERROR(__xludf.DUMMYFUNCTION("""COMPUTED_VALUE"""),"CAPITAL")</f>
        <v>CAPITAL</v>
      </c>
      <c r="Q1493" s="30" t="str">
        <f ca="1">IFERROR(__xludf.DUMMYFUNCTION("""COMPUTED_VALUE"""),"-24.78522243")</f>
        <v>-24.78522243</v>
      </c>
      <c r="R1493" s="30" t="str">
        <f ca="1">IFERROR(__xludf.DUMMYFUNCTION("""COMPUTED_VALUE"""),"-65.45448055")</f>
        <v>-65.45448055</v>
      </c>
      <c r="S1493" s="30" t="str">
        <f ca="1">IFERROR(__xludf.DUMMYFUNCTION("""COMPUTED_VALUE"""),"Provincial")</f>
        <v>Provincial</v>
      </c>
      <c r="T1493" s="30" t="str">
        <f ca="1">IFERROR(__xludf.DUMMYFUNCTION("""COMPUTED_VALUE"""),"-")</f>
        <v>-</v>
      </c>
    </row>
    <row r="1494" spans="1:20" ht="15.75" customHeight="1" x14ac:dyDescent="0.25">
      <c r="A1494" s="30" t="str">
        <f ca="1">IFERROR(__xludf.DUMMYFUNCTION("""COMPUTED_VALUE"""),"50660282173108")</f>
        <v>50660282173108</v>
      </c>
      <c r="B1494" s="30" t="str">
        <f ca="1">IFERROR(__xludf.DUMMYFUNCTION("""COMPUTED_VALUE"""),"CENTRO DE SALUD Nº 62 DR. RENE FAVALORO - BARRIO SANIDAD")</f>
        <v>CENTRO DE SALUD Nº 62 DR. RENE FAVALORO - BARRIO SANIDAD</v>
      </c>
      <c r="C1494" s="30" t="str">
        <f ca="1">IFERROR(__xludf.DUMMYFUNCTION("""COMPUTED_VALUE"""),"Salta")</f>
        <v>Salta</v>
      </c>
      <c r="D1494" s="30" t="str">
        <f ca="1">IFERROR(__xludf.DUMMYFUNCTION("""COMPUTED_VALUE"""),"66")</f>
        <v>66</v>
      </c>
      <c r="E1494" s="30" t="str">
        <f ca="1">IFERROR(__xludf.DUMMYFUNCTION("""COMPUTED_VALUE"""),"")</f>
        <v/>
      </c>
      <c r="F1494" s="29"/>
      <c r="G1494" s="29"/>
      <c r="H1494" s="30" t="str">
        <f ca="1">IFERROR(__xludf.DUMMYFUNCTION("""COMPUTED_VALUE"""),"activo")</f>
        <v>activo</v>
      </c>
      <c r="I1494" s="29"/>
      <c r="J1494" s="29"/>
      <c r="K1494" s="29"/>
      <c r="L1494" s="30" t="str">
        <f ca="1">IFERROR(__xludf.DUMMYFUNCTION("""COMPUTED_VALUE"""),"No")</f>
        <v>No</v>
      </c>
      <c r="M1494" s="30" t="str">
        <f ca="1">IFERROR(__xludf.DUMMYFUNCTION("""COMPUTED_VALUE"""),"66028050000")</f>
        <v>66028050000</v>
      </c>
      <c r="N1494" s="30" t="str">
        <f ca="1">IFERROR(__xludf.DUMMYFUNCTION("""COMPUTED_VALUE"""),"SALTA")</f>
        <v>SALTA</v>
      </c>
      <c r="O1494" s="30" t="str">
        <f ca="1">IFERROR(__xludf.DUMMYFUNCTION("""COMPUTED_VALUE"""),"6628")</f>
        <v>6628</v>
      </c>
      <c r="P1494" s="30" t="str">
        <f ca="1">IFERROR(__xludf.DUMMYFUNCTION("""COMPUTED_VALUE"""),"CAPITAL")</f>
        <v>CAPITAL</v>
      </c>
      <c r="Q1494" s="30" t="str">
        <f ca="1">IFERROR(__xludf.DUMMYFUNCTION("""COMPUTED_VALUE"""),"-24.84848635")</f>
        <v>-24.84848635</v>
      </c>
      <c r="R1494" s="30" t="str">
        <f ca="1">IFERROR(__xludf.DUMMYFUNCTION("""COMPUTED_VALUE"""),"-65.40326646")</f>
        <v>-65.40326646</v>
      </c>
      <c r="S1494" s="30" t="str">
        <f ca="1">IFERROR(__xludf.DUMMYFUNCTION("""COMPUTED_VALUE"""),"Provincial")</f>
        <v>Provincial</v>
      </c>
      <c r="T1494" s="30" t="str">
        <f ca="1">IFERROR(__xludf.DUMMYFUNCTION("""COMPUTED_VALUE"""),"-")</f>
        <v>-</v>
      </c>
    </row>
    <row r="1495" spans="1:20" ht="15.75" customHeight="1" x14ac:dyDescent="0.25">
      <c r="A1495" s="30" t="str">
        <f ca="1">IFERROR(__xludf.DUMMYFUNCTION("""COMPUTED_VALUE"""),"50660282173137")</f>
        <v>50660282173137</v>
      </c>
      <c r="B1495" s="30" t="str">
        <f ca="1">IFERROR(__xludf.DUMMYFUNCTION("""COMPUTED_VALUE"""),"CENTRO DE SALUD Nº 1 DR. LISANDRO SARAVIA TOLEDO")</f>
        <v>CENTRO DE SALUD Nº 1 DR. LISANDRO SARAVIA TOLEDO</v>
      </c>
      <c r="C1495" s="30" t="str">
        <f ca="1">IFERROR(__xludf.DUMMYFUNCTION("""COMPUTED_VALUE"""),"Salta")</f>
        <v>Salta</v>
      </c>
      <c r="D1495" s="30" t="str">
        <f ca="1">IFERROR(__xludf.DUMMYFUNCTION("""COMPUTED_VALUE"""),"66")</f>
        <v>66</v>
      </c>
      <c r="E1495" s="30" t="str">
        <f ca="1">IFERROR(__xludf.DUMMYFUNCTION("""COMPUTED_VALUE"""),"")</f>
        <v/>
      </c>
      <c r="F1495" s="29"/>
      <c r="G1495" s="29"/>
      <c r="H1495" s="30" t="str">
        <f ca="1">IFERROR(__xludf.DUMMYFUNCTION("""COMPUTED_VALUE"""),"activo")</f>
        <v>activo</v>
      </c>
      <c r="I1495" s="29"/>
      <c r="J1495" s="29"/>
      <c r="K1495" s="29"/>
      <c r="L1495" s="30" t="str">
        <f ca="1">IFERROR(__xludf.DUMMYFUNCTION("""COMPUTED_VALUE"""),"No")</f>
        <v>No</v>
      </c>
      <c r="M1495" s="30" t="str">
        <f ca="1">IFERROR(__xludf.DUMMYFUNCTION("""COMPUTED_VALUE"""),"66028050000")</f>
        <v>66028050000</v>
      </c>
      <c r="N1495" s="30" t="str">
        <f ca="1">IFERROR(__xludf.DUMMYFUNCTION("""COMPUTED_VALUE"""),"SALTA")</f>
        <v>SALTA</v>
      </c>
      <c r="O1495" s="30" t="str">
        <f ca="1">IFERROR(__xludf.DUMMYFUNCTION("""COMPUTED_VALUE"""),"6628")</f>
        <v>6628</v>
      </c>
      <c r="P1495" s="30" t="str">
        <f ca="1">IFERROR(__xludf.DUMMYFUNCTION("""COMPUTED_VALUE"""),"CAPITAL")</f>
        <v>CAPITAL</v>
      </c>
      <c r="Q1495" s="30" t="str">
        <f ca="1">IFERROR(__xludf.DUMMYFUNCTION("""COMPUTED_VALUE"""),"-24.79713689")</f>
        <v>-24.79713689</v>
      </c>
      <c r="R1495" s="30" t="str">
        <f ca="1">IFERROR(__xludf.DUMMYFUNCTION("""COMPUTED_VALUE"""),"-65.44075012")</f>
        <v>-65.44075012</v>
      </c>
      <c r="S1495" s="30" t="str">
        <f ca="1">IFERROR(__xludf.DUMMYFUNCTION("""COMPUTED_VALUE"""),"Provincial")</f>
        <v>Provincial</v>
      </c>
      <c r="T1495" s="30" t="str">
        <f ca="1">IFERROR(__xludf.DUMMYFUNCTION("""COMPUTED_VALUE"""),"-")</f>
        <v>-</v>
      </c>
    </row>
    <row r="1496" spans="1:20" ht="15.75" customHeight="1" x14ac:dyDescent="0.25">
      <c r="A1496" s="30" t="str">
        <f ca="1">IFERROR(__xludf.DUMMYFUNCTION("""COMPUTED_VALUE"""),"50660282173138")</f>
        <v>50660282173138</v>
      </c>
      <c r="B1496" s="30" t="str">
        <f ca="1">IFERROR(__xludf.DUMMYFUNCTION("""COMPUTED_VALUE"""),"CENTRO DE SALUD Nº 10 BARRIO 20 DE FEBRERO")</f>
        <v>CENTRO DE SALUD Nº 10 BARRIO 20 DE FEBRERO</v>
      </c>
      <c r="C1496" s="30" t="str">
        <f ca="1">IFERROR(__xludf.DUMMYFUNCTION("""COMPUTED_VALUE"""),"Salta")</f>
        <v>Salta</v>
      </c>
      <c r="D1496" s="30" t="str">
        <f ca="1">IFERROR(__xludf.DUMMYFUNCTION("""COMPUTED_VALUE"""),"66")</f>
        <v>66</v>
      </c>
      <c r="E1496" s="30" t="str">
        <f ca="1">IFERROR(__xludf.DUMMYFUNCTION("""COMPUTED_VALUE"""),"")</f>
        <v/>
      </c>
      <c r="F1496" s="29"/>
      <c r="G1496" s="29"/>
      <c r="H1496" s="30" t="str">
        <f ca="1">IFERROR(__xludf.DUMMYFUNCTION("""COMPUTED_VALUE"""),"activo")</f>
        <v>activo</v>
      </c>
      <c r="I1496" s="29"/>
      <c r="J1496" s="29"/>
      <c r="K1496" s="29"/>
      <c r="L1496" s="30" t="str">
        <f ca="1">IFERROR(__xludf.DUMMYFUNCTION("""COMPUTED_VALUE"""),"No")</f>
        <v>No</v>
      </c>
      <c r="M1496" s="30" t="str">
        <f ca="1">IFERROR(__xludf.DUMMYFUNCTION("""COMPUTED_VALUE"""),"66028050000")</f>
        <v>66028050000</v>
      </c>
      <c r="N1496" s="30" t="str">
        <f ca="1">IFERROR(__xludf.DUMMYFUNCTION("""COMPUTED_VALUE"""),"SALTA")</f>
        <v>SALTA</v>
      </c>
      <c r="O1496" s="30" t="str">
        <f ca="1">IFERROR(__xludf.DUMMYFUNCTION("""COMPUTED_VALUE"""),"6628")</f>
        <v>6628</v>
      </c>
      <c r="P1496" s="30" t="str">
        <f ca="1">IFERROR(__xludf.DUMMYFUNCTION("""COMPUTED_VALUE"""),"CAPITAL")</f>
        <v>CAPITAL</v>
      </c>
      <c r="Q1496" s="30" t="str">
        <f ca="1">IFERROR(__xludf.DUMMYFUNCTION("""COMPUTED_VALUE"""),"-24.7752716")</f>
        <v>-24.7752716</v>
      </c>
      <c r="R1496" s="30" t="str">
        <f ca="1">IFERROR(__xludf.DUMMYFUNCTION("""COMPUTED_VALUE"""),"-65.4222462")</f>
        <v>-65.4222462</v>
      </c>
      <c r="S1496" s="30" t="str">
        <f ca="1">IFERROR(__xludf.DUMMYFUNCTION("""COMPUTED_VALUE"""),"Provincial")</f>
        <v>Provincial</v>
      </c>
      <c r="T1496" s="30" t="str">
        <f ca="1">IFERROR(__xludf.DUMMYFUNCTION("""COMPUTED_VALUE"""),"-")</f>
        <v>-</v>
      </c>
    </row>
    <row r="1497" spans="1:20" ht="15.75" customHeight="1" x14ac:dyDescent="0.25">
      <c r="A1497" s="30" t="str">
        <f ca="1">IFERROR(__xludf.DUMMYFUNCTION("""COMPUTED_VALUE"""),"50660282173140")</f>
        <v>50660282173140</v>
      </c>
      <c r="B1497" s="30" t="str">
        <f ca="1">IFERROR(__xludf.DUMMYFUNCTION("""COMPUTED_VALUE"""),"CENTRO DE SALUD Nº 12 - BARRIO SANTA LUCIA")</f>
        <v>CENTRO DE SALUD Nº 12 - BARRIO SANTA LUCIA</v>
      </c>
      <c r="C1497" s="30" t="str">
        <f ca="1">IFERROR(__xludf.DUMMYFUNCTION("""COMPUTED_VALUE"""),"Salta")</f>
        <v>Salta</v>
      </c>
      <c r="D1497" s="30" t="str">
        <f ca="1">IFERROR(__xludf.DUMMYFUNCTION("""COMPUTED_VALUE"""),"66")</f>
        <v>66</v>
      </c>
      <c r="E1497" s="30" t="str">
        <f ca="1">IFERROR(__xludf.DUMMYFUNCTION("""COMPUTED_VALUE"""),"")</f>
        <v/>
      </c>
      <c r="F1497" s="29"/>
      <c r="G1497" s="29"/>
      <c r="H1497" s="30" t="str">
        <f ca="1">IFERROR(__xludf.DUMMYFUNCTION("""COMPUTED_VALUE"""),"activo")</f>
        <v>activo</v>
      </c>
      <c r="I1497" s="29"/>
      <c r="J1497" s="29"/>
      <c r="K1497" s="29"/>
      <c r="L1497" s="30" t="str">
        <f ca="1">IFERROR(__xludf.DUMMYFUNCTION("""COMPUTED_VALUE"""),"No")</f>
        <v>No</v>
      </c>
      <c r="M1497" s="30" t="str">
        <f ca="1">IFERROR(__xludf.DUMMYFUNCTION("""COMPUTED_VALUE"""),"66028050000")</f>
        <v>66028050000</v>
      </c>
      <c r="N1497" s="30" t="str">
        <f ca="1">IFERROR(__xludf.DUMMYFUNCTION("""COMPUTED_VALUE"""),"SALTA")</f>
        <v>SALTA</v>
      </c>
      <c r="O1497" s="30" t="str">
        <f ca="1">IFERROR(__xludf.DUMMYFUNCTION("""COMPUTED_VALUE"""),"6628")</f>
        <v>6628</v>
      </c>
      <c r="P1497" s="30" t="str">
        <f ca="1">IFERROR(__xludf.DUMMYFUNCTION("""COMPUTED_VALUE"""),"CAPITAL")</f>
        <v>CAPITAL</v>
      </c>
      <c r="Q1497" s="30" t="str">
        <f ca="1">IFERROR(__xludf.DUMMYFUNCTION("""COMPUTED_VALUE"""),"-24.80804849")</f>
        <v>-24.80804849</v>
      </c>
      <c r="R1497" s="30" t="str">
        <f ca="1">IFERROR(__xludf.DUMMYFUNCTION("""COMPUTED_VALUE"""),"-65.44036265")</f>
        <v>-65.44036265</v>
      </c>
      <c r="S1497" s="30" t="str">
        <f ca="1">IFERROR(__xludf.DUMMYFUNCTION("""COMPUTED_VALUE"""),"Provincial")</f>
        <v>Provincial</v>
      </c>
      <c r="T1497" s="30" t="str">
        <f ca="1">IFERROR(__xludf.DUMMYFUNCTION("""COMPUTED_VALUE"""),"-")</f>
        <v>-</v>
      </c>
    </row>
    <row r="1498" spans="1:20" ht="15.75" customHeight="1" x14ac:dyDescent="0.25">
      <c r="A1498" s="30" t="str">
        <f ca="1">IFERROR(__xludf.DUMMYFUNCTION("""COMPUTED_VALUE"""),"50660282173141")</f>
        <v>50660282173141</v>
      </c>
      <c r="B1498" s="30" t="str">
        <f ca="1">IFERROR(__xludf.DUMMYFUNCTION("""COMPUTED_VALUE"""),"CENTRO DE SALUD Nº 13 VILLA CHARTAS")</f>
        <v>CENTRO DE SALUD Nº 13 VILLA CHARTAS</v>
      </c>
      <c r="C1498" s="30" t="str">
        <f ca="1">IFERROR(__xludf.DUMMYFUNCTION("""COMPUTED_VALUE"""),"Salta")</f>
        <v>Salta</v>
      </c>
      <c r="D1498" s="30" t="str">
        <f ca="1">IFERROR(__xludf.DUMMYFUNCTION("""COMPUTED_VALUE"""),"66")</f>
        <v>66</v>
      </c>
      <c r="E1498" s="30" t="str">
        <f ca="1">IFERROR(__xludf.DUMMYFUNCTION("""COMPUTED_VALUE"""),"")</f>
        <v/>
      </c>
      <c r="F1498" s="29"/>
      <c r="G1498" s="29"/>
      <c r="H1498" s="30" t="str">
        <f ca="1">IFERROR(__xludf.DUMMYFUNCTION("""COMPUTED_VALUE"""),"activo")</f>
        <v>activo</v>
      </c>
      <c r="I1498" s="29"/>
      <c r="J1498" s="29"/>
      <c r="K1498" s="29"/>
      <c r="L1498" s="30" t="str">
        <f ca="1">IFERROR(__xludf.DUMMYFUNCTION("""COMPUTED_VALUE"""),"No")</f>
        <v>No</v>
      </c>
      <c r="M1498" s="30" t="str">
        <f ca="1">IFERROR(__xludf.DUMMYFUNCTION("""COMPUTED_VALUE"""),"66028050000")</f>
        <v>66028050000</v>
      </c>
      <c r="N1498" s="30" t="str">
        <f ca="1">IFERROR(__xludf.DUMMYFUNCTION("""COMPUTED_VALUE"""),"SALTA")</f>
        <v>SALTA</v>
      </c>
      <c r="O1498" s="30" t="str">
        <f ca="1">IFERROR(__xludf.DUMMYFUNCTION("""COMPUTED_VALUE"""),"6628")</f>
        <v>6628</v>
      </c>
      <c r="P1498" s="30" t="str">
        <f ca="1">IFERROR(__xludf.DUMMYFUNCTION("""COMPUTED_VALUE"""),"CAPITAL")</f>
        <v>CAPITAL</v>
      </c>
      <c r="Q1498" s="30" t="str">
        <f ca="1">IFERROR(__xludf.DUMMYFUNCTION("""COMPUTED_VALUE"""),"-24.80284112")</f>
        <v>-24.80284112</v>
      </c>
      <c r="R1498" s="30" t="str">
        <f ca="1">IFERROR(__xludf.DUMMYFUNCTION("""COMPUTED_VALUE"""),"-65.42838122")</f>
        <v>-65.42838122</v>
      </c>
      <c r="S1498" s="30" t="str">
        <f ca="1">IFERROR(__xludf.DUMMYFUNCTION("""COMPUTED_VALUE"""),"Provincial")</f>
        <v>Provincial</v>
      </c>
      <c r="T1498" s="30" t="str">
        <f ca="1">IFERROR(__xludf.DUMMYFUNCTION("""COMPUTED_VALUE"""),"-")</f>
        <v>-</v>
      </c>
    </row>
    <row r="1499" spans="1:20" ht="15.75" customHeight="1" x14ac:dyDescent="0.25">
      <c r="A1499" s="30" t="str">
        <f ca="1">IFERROR(__xludf.DUMMYFUNCTION("""COMPUTED_VALUE"""),"50660282173142")</f>
        <v>50660282173142</v>
      </c>
      <c r="B1499" s="30" t="str">
        <f ca="1">IFERROR(__xludf.DUMMYFUNCTION("""COMPUTED_VALUE"""),"CENTRO DE SALUD Nº 14 BARRIO MIGUEL ORTIZ")</f>
        <v>CENTRO DE SALUD Nº 14 BARRIO MIGUEL ORTIZ</v>
      </c>
      <c r="C1499" s="30" t="str">
        <f ca="1">IFERROR(__xludf.DUMMYFUNCTION("""COMPUTED_VALUE"""),"Salta")</f>
        <v>Salta</v>
      </c>
      <c r="D1499" s="30" t="str">
        <f ca="1">IFERROR(__xludf.DUMMYFUNCTION("""COMPUTED_VALUE"""),"66")</f>
        <v>66</v>
      </c>
      <c r="E1499" s="30" t="str">
        <f ca="1">IFERROR(__xludf.DUMMYFUNCTION("""COMPUTED_VALUE"""),"")</f>
        <v/>
      </c>
      <c r="F1499" s="29"/>
      <c r="G1499" s="29"/>
      <c r="H1499" s="30" t="str">
        <f ca="1">IFERROR(__xludf.DUMMYFUNCTION("""COMPUTED_VALUE"""),"activo")</f>
        <v>activo</v>
      </c>
      <c r="I1499" s="29"/>
      <c r="J1499" s="29"/>
      <c r="K1499" s="29"/>
      <c r="L1499" s="30" t="str">
        <f ca="1">IFERROR(__xludf.DUMMYFUNCTION("""COMPUTED_VALUE"""),"No")</f>
        <v>No</v>
      </c>
      <c r="M1499" s="30" t="str">
        <f ca="1">IFERROR(__xludf.DUMMYFUNCTION("""COMPUTED_VALUE"""),"66028050000")</f>
        <v>66028050000</v>
      </c>
      <c r="N1499" s="30" t="str">
        <f ca="1">IFERROR(__xludf.DUMMYFUNCTION("""COMPUTED_VALUE"""),"SALTA")</f>
        <v>SALTA</v>
      </c>
      <c r="O1499" s="30" t="str">
        <f ca="1">IFERROR(__xludf.DUMMYFUNCTION("""COMPUTED_VALUE"""),"6628")</f>
        <v>6628</v>
      </c>
      <c r="P1499" s="30" t="str">
        <f ca="1">IFERROR(__xludf.DUMMYFUNCTION("""COMPUTED_VALUE"""),"CAPITAL")</f>
        <v>CAPITAL</v>
      </c>
      <c r="Q1499" s="30" t="str">
        <f ca="1">IFERROR(__xludf.DUMMYFUNCTION("""COMPUTED_VALUE"""),"-24.75490052")</f>
        <v>-24.75490052</v>
      </c>
      <c r="R1499" s="30" t="str">
        <f ca="1">IFERROR(__xludf.DUMMYFUNCTION("""COMPUTED_VALUE"""),"-65.40459807")</f>
        <v>-65.40459807</v>
      </c>
      <c r="S1499" s="30" t="str">
        <f ca="1">IFERROR(__xludf.DUMMYFUNCTION("""COMPUTED_VALUE"""),"Provincial")</f>
        <v>Provincial</v>
      </c>
      <c r="T1499" s="30" t="str">
        <f ca="1">IFERROR(__xludf.DUMMYFUNCTION("""COMPUTED_VALUE"""),"-")</f>
        <v>-</v>
      </c>
    </row>
    <row r="1500" spans="1:20" ht="15.75" customHeight="1" x14ac:dyDescent="0.25">
      <c r="A1500" s="30" t="str">
        <f ca="1">IFERROR(__xludf.DUMMYFUNCTION("""COMPUTED_VALUE"""),"50660282173143")</f>
        <v>50660282173143</v>
      </c>
      <c r="B1500" s="30" t="str">
        <f ca="1">IFERROR(__xludf.DUMMYFUNCTION("""COMPUTED_VALUE"""),"CENTRO DE SALUD Nº 15 SAGRADO CORAZON DE JESUS")</f>
        <v>CENTRO DE SALUD Nº 15 SAGRADO CORAZON DE JESUS</v>
      </c>
      <c r="C1500" s="30" t="str">
        <f ca="1">IFERROR(__xludf.DUMMYFUNCTION("""COMPUTED_VALUE"""),"Salta")</f>
        <v>Salta</v>
      </c>
      <c r="D1500" s="30" t="str">
        <f ca="1">IFERROR(__xludf.DUMMYFUNCTION("""COMPUTED_VALUE"""),"66")</f>
        <v>66</v>
      </c>
      <c r="E1500" s="30" t="str">
        <f ca="1">IFERROR(__xludf.DUMMYFUNCTION("""COMPUTED_VALUE"""),"")</f>
        <v/>
      </c>
      <c r="F1500" s="29"/>
      <c r="G1500" s="29"/>
      <c r="H1500" s="30" t="str">
        <f ca="1">IFERROR(__xludf.DUMMYFUNCTION("""COMPUTED_VALUE"""),"activo")</f>
        <v>activo</v>
      </c>
      <c r="I1500" s="29"/>
      <c r="J1500" s="29"/>
      <c r="K1500" s="29"/>
      <c r="L1500" s="30" t="str">
        <f ca="1">IFERROR(__xludf.DUMMYFUNCTION("""COMPUTED_VALUE"""),"No")</f>
        <v>No</v>
      </c>
      <c r="M1500" s="30" t="str">
        <f ca="1">IFERROR(__xludf.DUMMYFUNCTION("""COMPUTED_VALUE"""),"66028050000")</f>
        <v>66028050000</v>
      </c>
      <c r="N1500" s="30" t="str">
        <f ca="1">IFERROR(__xludf.DUMMYFUNCTION("""COMPUTED_VALUE"""),"SALTA")</f>
        <v>SALTA</v>
      </c>
      <c r="O1500" s="30" t="str">
        <f ca="1">IFERROR(__xludf.DUMMYFUNCTION("""COMPUTED_VALUE"""),"6628")</f>
        <v>6628</v>
      </c>
      <c r="P1500" s="30" t="str">
        <f ca="1">IFERROR(__xludf.DUMMYFUNCTION("""COMPUTED_VALUE"""),"CAPITAL")</f>
        <v>CAPITAL</v>
      </c>
      <c r="Q1500" s="30" t="str">
        <f ca="1">IFERROR(__xludf.DUMMYFUNCTION("""COMPUTED_VALUE"""),"-24.7311724")</f>
        <v>-24.7311724</v>
      </c>
      <c r="R1500" s="30" t="str">
        <f ca="1">IFERROR(__xludf.DUMMYFUNCTION("""COMPUTED_VALUE"""),"-65.40211558")</f>
        <v>-65.40211558</v>
      </c>
      <c r="S1500" s="30" t="str">
        <f ca="1">IFERROR(__xludf.DUMMYFUNCTION("""COMPUTED_VALUE"""),"Provincial")</f>
        <v>Provincial</v>
      </c>
      <c r="T1500" s="30" t="str">
        <f ca="1">IFERROR(__xludf.DUMMYFUNCTION("""COMPUTED_VALUE"""),"-")</f>
        <v>-</v>
      </c>
    </row>
    <row r="1501" spans="1:20" ht="15.75" customHeight="1" x14ac:dyDescent="0.25">
      <c r="A1501" s="30" t="str">
        <f ca="1">IFERROR(__xludf.DUMMYFUNCTION("""COMPUTED_VALUE"""),"50660282173144")</f>
        <v>50660282173144</v>
      </c>
      <c r="B1501" s="30" t="str">
        <f ca="1">IFERROR(__xludf.DUMMYFUNCTION("""COMPUTED_VALUE"""),"CENTRO DE SALUD Nº 16 - ISLAS MALVINAS")</f>
        <v>CENTRO DE SALUD Nº 16 - ISLAS MALVINAS</v>
      </c>
      <c r="C1501" s="30" t="str">
        <f ca="1">IFERROR(__xludf.DUMMYFUNCTION("""COMPUTED_VALUE"""),"Salta")</f>
        <v>Salta</v>
      </c>
      <c r="D1501" s="30" t="str">
        <f ca="1">IFERROR(__xludf.DUMMYFUNCTION("""COMPUTED_VALUE"""),"66")</f>
        <v>66</v>
      </c>
      <c r="E1501" s="30" t="str">
        <f ca="1">IFERROR(__xludf.DUMMYFUNCTION("""COMPUTED_VALUE"""),"")</f>
        <v/>
      </c>
      <c r="F1501" s="29"/>
      <c r="G1501" s="29"/>
      <c r="H1501" s="30" t="str">
        <f ca="1">IFERROR(__xludf.DUMMYFUNCTION("""COMPUTED_VALUE"""),"activo")</f>
        <v>activo</v>
      </c>
      <c r="I1501" s="29"/>
      <c r="J1501" s="29"/>
      <c r="K1501" s="29"/>
      <c r="L1501" s="30" t="str">
        <f ca="1">IFERROR(__xludf.DUMMYFUNCTION("""COMPUTED_VALUE"""),"No")</f>
        <v>No</v>
      </c>
      <c r="M1501" s="30" t="str">
        <f ca="1">IFERROR(__xludf.DUMMYFUNCTION("""COMPUTED_VALUE"""),"66028050000")</f>
        <v>66028050000</v>
      </c>
      <c r="N1501" s="30" t="str">
        <f ca="1">IFERROR(__xludf.DUMMYFUNCTION("""COMPUTED_VALUE"""),"SALTA")</f>
        <v>SALTA</v>
      </c>
      <c r="O1501" s="30" t="str">
        <f ca="1">IFERROR(__xludf.DUMMYFUNCTION("""COMPUTED_VALUE"""),"6628")</f>
        <v>6628</v>
      </c>
      <c r="P1501" s="30" t="str">
        <f ca="1">IFERROR(__xludf.DUMMYFUNCTION("""COMPUTED_VALUE"""),"CAPITAL")</f>
        <v>CAPITAL</v>
      </c>
      <c r="Q1501" s="30" t="str">
        <f ca="1">IFERROR(__xludf.DUMMYFUNCTION("""COMPUTED_VALUE"""),"-24.85835243")</f>
        <v>-24.85835243</v>
      </c>
      <c r="R1501" s="30" t="str">
        <f ca="1">IFERROR(__xludf.DUMMYFUNCTION("""COMPUTED_VALUE"""),"-65.46563854")</f>
        <v>-65.46563854</v>
      </c>
      <c r="S1501" s="30" t="str">
        <f ca="1">IFERROR(__xludf.DUMMYFUNCTION("""COMPUTED_VALUE"""),"Provincial")</f>
        <v>Provincial</v>
      </c>
      <c r="T1501" s="30" t="str">
        <f ca="1">IFERROR(__xludf.DUMMYFUNCTION("""COMPUTED_VALUE"""),"-")</f>
        <v>-</v>
      </c>
    </row>
    <row r="1502" spans="1:20" ht="15.75" customHeight="1" x14ac:dyDescent="0.25">
      <c r="A1502" s="30" t="str">
        <f ca="1">IFERROR(__xludf.DUMMYFUNCTION("""COMPUTED_VALUE"""),"50660282173145")</f>
        <v>50660282173145</v>
      </c>
      <c r="B1502" s="30" t="str">
        <f ca="1">IFERROR(__xludf.DUMMYFUNCTION("""COMPUTED_VALUE"""),"CENTRO DE SALUD Nº 17 - BARRIO SAN REMO")</f>
        <v>CENTRO DE SALUD Nº 17 - BARRIO SAN REMO</v>
      </c>
      <c r="C1502" s="30" t="str">
        <f ca="1">IFERROR(__xludf.DUMMYFUNCTION("""COMPUTED_VALUE"""),"Salta")</f>
        <v>Salta</v>
      </c>
      <c r="D1502" s="30" t="str">
        <f ca="1">IFERROR(__xludf.DUMMYFUNCTION("""COMPUTED_VALUE"""),"66")</f>
        <v>66</v>
      </c>
      <c r="E1502" s="30" t="str">
        <f ca="1">IFERROR(__xludf.DUMMYFUNCTION("""COMPUTED_VALUE"""),"")</f>
        <v/>
      </c>
      <c r="F1502" s="29"/>
      <c r="G1502" s="29"/>
      <c r="H1502" s="30" t="str">
        <f ca="1">IFERROR(__xludf.DUMMYFUNCTION("""COMPUTED_VALUE"""),"activo")</f>
        <v>activo</v>
      </c>
      <c r="I1502" s="29"/>
      <c r="J1502" s="29"/>
      <c r="K1502" s="29"/>
      <c r="L1502" s="30" t="str">
        <f ca="1">IFERROR(__xludf.DUMMYFUNCTION("""COMPUTED_VALUE"""),"No")</f>
        <v>No</v>
      </c>
      <c r="M1502" s="30" t="str">
        <f ca="1">IFERROR(__xludf.DUMMYFUNCTION("""COMPUTED_VALUE"""),"66028050000")</f>
        <v>66028050000</v>
      </c>
      <c r="N1502" s="30" t="str">
        <f ca="1">IFERROR(__xludf.DUMMYFUNCTION("""COMPUTED_VALUE"""),"SALTA")</f>
        <v>SALTA</v>
      </c>
      <c r="O1502" s="30" t="str">
        <f ca="1">IFERROR(__xludf.DUMMYFUNCTION("""COMPUTED_VALUE"""),"6628")</f>
        <v>6628</v>
      </c>
      <c r="P1502" s="30" t="str">
        <f ca="1">IFERROR(__xludf.DUMMYFUNCTION("""COMPUTED_VALUE"""),"CAPITAL")</f>
        <v>CAPITAL</v>
      </c>
      <c r="Q1502" s="30" t="str">
        <f ca="1">IFERROR(__xludf.DUMMYFUNCTION("""COMPUTED_VALUE"""),"-24.829353")</f>
        <v>-24.829353</v>
      </c>
      <c r="R1502" s="30" t="str">
        <f ca="1">IFERROR(__xludf.DUMMYFUNCTION("""COMPUTED_VALUE"""),"-65.4237063")</f>
        <v>-65.4237063</v>
      </c>
      <c r="S1502" s="30" t="str">
        <f ca="1">IFERROR(__xludf.DUMMYFUNCTION("""COMPUTED_VALUE"""),"Provincial")</f>
        <v>Provincial</v>
      </c>
      <c r="T1502" s="30" t="str">
        <f ca="1">IFERROR(__xludf.DUMMYFUNCTION("""COMPUTED_VALUE"""),"-")</f>
        <v>-</v>
      </c>
    </row>
    <row r="1503" spans="1:20" ht="15.75" customHeight="1" x14ac:dyDescent="0.25">
      <c r="A1503" s="30" t="str">
        <f ca="1">IFERROR(__xludf.DUMMYFUNCTION("""COMPUTED_VALUE"""),"50660282173148")</f>
        <v>50660282173148</v>
      </c>
      <c r="B1503" s="30" t="str">
        <f ca="1">IFERROR(__xludf.DUMMYFUNCTION("""COMPUTED_VALUE"""),"CENTRO DE SALUD Nº 2 - CAMPO CASEROS")</f>
        <v>CENTRO DE SALUD Nº 2 - CAMPO CASEROS</v>
      </c>
      <c r="C1503" s="30" t="str">
        <f ca="1">IFERROR(__xludf.DUMMYFUNCTION("""COMPUTED_VALUE"""),"Salta")</f>
        <v>Salta</v>
      </c>
      <c r="D1503" s="30" t="str">
        <f ca="1">IFERROR(__xludf.DUMMYFUNCTION("""COMPUTED_VALUE"""),"66")</f>
        <v>66</v>
      </c>
      <c r="E1503" s="30" t="str">
        <f ca="1">IFERROR(__xludf.DUMMYFUNCTION("""COMPUTED_VALUE"""),"")</f>
        <v/>
      </c>
      <c r="F1503" s="29"/>
      <c r="G1503" s="29"/>
      <c r="H1503" s="30" t="str">
        <f ca="1">IFERROR(__xludf.DUMMYFUNCTION("""COMPUTED_VALUE"""),"activo")</f>
        <v>activo</v>
      </c>
      <c r="I1503" s="29"/>
      <c r="J1503" s="29"/>
      <c r="K1503" s="29"/>
      <c r="L1503" s="30" t="str">
        <f ca="1">IFERROR(__xludf.DUMMYFUNCTION("""COMPUTED_VALUE"""),"No")</f>
        <v>No</v>
      </c>
      <c r="M1503" s="30" t="str">
        <f ca="1">IFERROR(__xludf.DUMMYFUNCTION("""COMPUTED_VALUE"""),"66028050000")</f>
        <v>66028050000</v>
      </c>
      <c r="N1503" s="30" t="str">
        <f ca="1">IFERROR(__xludf.DUMMYFUNCTION("""COMPUTED_VALUE"""),"SALTA")</f>
        <v>SALTA</v>
      </c>
      <c r="O1503" s="30" t="str">
        <f ca="1">IFERROR(__xludf.DUMMYFUNCTION("""COMPUTED_VALUE"""),"6628")</f>
        <v>6628</v>
      </c>
      <c r="P1503" s="30" t="str">
        <f ca="1">IFERROR(__xludf.DUMMYFUNCTION("""COMPUTED_VALUE"""),"CAPITAL")</f>
        <v>CAPITAL</v>
      </c>
      <c r="Q1503" s="30" t="str">
        <f ca="1">IFERROR(__xludf.DUMMYFUNCTION("""COMPUTED_VALUE"""),"-24.7875743")</f>
        <v>-24.7875743</v>
      </c>
      <c r="R1503" s="30" t="str">
        <f ca="1">IFERROR(__xludf.DUMMYFUNCTION("""COMPUTED_VALUE"""),"-65.4288772")</f>
        <v>-65.4288772</v>
      </c>
      <c r="S1503" s="30" t="str">
        <f ca="1">IFERROR(__xludf.DUMMYFUNCTION("""COMPUTED_VALUE"""),"Provincial")</f>
        <v>Provincial</v>
      </c>
      <c r="T1503" s="30" t="str">
        <f ca="1">IFERROR(__xludf.DUMMYFUNCTION("""COMPUTED_VALUE"""),"-")</f>
        <v>-</v>
      </c>
    </row>
    <row r="1504" spans="1:20" ht="15.75" customHeight="1" x14ac:dyDescent="0.25">
      <c r="A1504" s="30" t="str">
        <f ca="1">IFERROR(__xludf.DUMMYFUNCTION("""COMPUTED_VALUE"""),"50660282173152")</f>
        <v>50660282173152</v>
      </c>
      <c r="B1504" s="30" t="str">
        <f ca="1">IFERROR(__xludf.DUMMYFUNCTION("""COMPUTED_VALUE"""),"CENTRO DE SALUD Nº 26 ATOCHA")</f>
        <v>CENTRO DE SALUD Nº 26 ATOCHA</v>
      </c>
      <c r="C1504" s="30" t="str">
        <f ca="1">IFERROR(__xludf.DUMMYFUNCTION("""COMPUTED_VALUE"""),"Salta")</f>
        <v>Salta</v>
      </c>
      <c r="D1504" s="30" t="str">
        <f ca="1">IFERROR(__xludf.DUMMYFUNCTION("""COMPUTED_VALUE"""),"66")</f>
        <v>66</v>
      </c>
      <c r="E1504" s="30" t="str">
        <f ca="1">IFERROR(__xludf.DUMMYFUNCTION("""COMPUTED_VALUE"""),"")</f>
        <v/>
      </c>
      <c r="F1504" s="29"/>
      <c r="G1504" s="29"/>
      <c r="H1504" s="30" t="str">
        <f ca="1">IFERROR(__xludf.DUMMYFUNCTION("""COMPUTED_VALUE"""),"activo")</f>
        <v>activo</v>
      </c>
      <c r="I1504" s="29"/>
      <c r="J1504" s="29"/>
      <c r="K1504" s="29"/>
      <c r="L1504" s="30" t="str">
        <f ca="1">IFERROR(__xludf.DUMMYFUNCTION("""COMPUTED_VALUE"""),"No")</f>
        <v>No</v>
      </c>
      <c r="M1504" s="30" t="str">
        <f ca="1">IFERROR(__xludf.DUMMYFUNCTION("""COMPUTED_VALUE"""),"66028010000")</f>
        <v>66028010000</v>
      </c>
      <c r="N1504" s="30" t="str">
        <f ca="1">IFERROR(__xludf.DUMMYFUNCTION("""COMPUTED_VALUE"""),"ATOCHA")</f>
        <v>ATOCHA</v>
      </c>
      <c r="O1504" s="30" t="str">
        <f ca="1">IFERROR(__xludf.DUMMYFUNCTION("""COMPUTED_VALUE"""),"6628")</f>
        <v>6628</v>
      </c>
      <c r="P1504" s="30" t="str">
        <f ca="1">IFERROR(__xludf.DUMMYFUNCTION("""COMPUTED_VALUE"""),"CAPITAL")</f>
        <v>CAPITAL</v>
      </c>
      <c r="Q1504" s="30" t="str">
        <f ca="1">IFERROR(__xludf.DUMMYFUNCTION("""COMPUTED_VALUE"""),"-24.81736264")</f>
        <v>-24.81736264</v>
      </c>
      <c r="R1504" s="30" t="str">
        <f ca="1">IFERROR(__xludf.DUMMYFUNCTION("""COMPUTED_VALUE"""),"-65.47923198")</f>
        <v>-65.47923198</v>
      </c>
      <c r="S1504" s="30" t="str">
        <f ca="1">IFERROR(__xludf.DUMMYFUNCTION("""COMPUTED_VALUE"""),"Provincial")</f>
        <v>Provincial</v>
      </c>
      <c r="T1504" s="30" t="str">
        <f ca="1">IFERROR(__xludf.DUMMYFUNCTION("""COMPUTED_VALUE"""),"-")</f>
        <v>-</v>
      </c>
    </row>
    <row r="1505" spans="1:20" ht="15.75" customHeight="1" x14ac:dyDescent="0.25">
      <c r="A1505" s="30" t="str">
        <f ca="1">IFERROR(__xludf.DUMMYFUNCTION("""COMPUTED_VALUE"""),"50660282173153")</f>
        <v>50660282173153</v>
      </c>
      <c r="B1505" s="30" t="str">
        <f ca="1">IFERROR(__xludf.DUMMYFUNCTION("""COMPUTED_VALUE"""),"CENTRO DE SALUD Nº 27 - BARRIO INTERSINDICAL")</f>
        <v>CENTRO DE SALUD Nº 27 - BARRIO INTERSINDICAL</v>
      </c>
      <c r="C1505" s="30" t="str">
        <f ca="1">IFERROR(__xludf.DUMMYFUNCTION("""COMPUTED_VALUE"""),"Salta")</f>
        <v>Salta</v>
      </c>
      <c r="D1505" s="30" t="str">
        <f ca="1">IFERROR(__xludf.DUMMYFUNCTION("""COMPUTED_VALUE"""),"66")</f>
        <v>66</v>
      </c>
      <c r="E1505" s="30" t="str">
        <f ca="1">IFERROR(__xludf.DUMMYFUNCTION("""COMPUTED_VALUE"""),"")</f>
        <v/>
      </c>
      <c r="F1505" s="29"/>
      <c r="G1505" s="29"/>
      <c r="H1505" s="30" t="str">
        <f ca="1">IFERROR(__xludf.DUMMYFUNCTION("""COMPUTED_VALUE"""),"activo")</f>
        <v>activo</v>
      </c>
      <c r="I1505" s="29"/>
      <c r="J1505" s="29"/>
      <c r="K1505" s="29"/>
      <c r="L1505" s="30" t="str">
        <f ca="1">IFERROR(__xludf.DUMMYFUNCTION("""COMPUTED_VALUE"""),"No")</f>
        <v>No</v>
      </c>
      <c r="M1505" s="30" t="str">
        <f ca="1">IFERROR(__xludf.DUMMYFUNCTION("""COMPUTED_VALUE"""),"66028050000")</f>
        <v>66028050000</v>
      </c>
      <c r="N1505" s="30" t="str">
        <f ca="1">IFERROR(__xludf.DUMMYFUNCTION("""COMPUTED_VALUE"""),"SALTA")</f>
        <v>SALTA</v>
      </c>
      <c r="O1505" s="30" t="str">
        <f ca="1">IFERROR(__xludf.DUMMYFUNCTION("""COMPUTED_VALUE"""),"6628")</f>
        <v>6628</v>
      </c>
      <c r="P1505" s="30" t="str">
        <f ca="1">IFERROR(__xludf.DUMMYFUNCTION("""COMPUTED_VALUE"""),"CAPITAL")</f>
        <v>CAPITAL</v>
      </c>
      <c r="Q1505" s="30" t="str">
        <f ca="1">IFERROR(__xludf.DUMMYFUNCTION("""COMPUTED_VALUE"""),"-24.84539705")</f>
        <v>-24.84539705</v>
      </c>
      <c r="R1505" s="30" t="str">
        <f ca="1">IFERROR(__xludf.DUMMYFUNCTION("""COMPUTED_VALUE"""),"-65.44924736")</f>
        <v>-65.44924736</v>
      </c>
      <c r="S1505" s="30" t="str">
        <f ca="1">IFERROR(__xludf.DUMMYFUNCTION("""COMPUTED_VALUE"""),"Provincial")</f>
        <v>Provincial</v>
      </c>
      <c r="T1505" s="30" t="str">
        <f ca="1">IFERROR(__xludf.DUMMYFUNCTION("""COMPUTED_VALUE"""),"-")</f>
        <v>-</v>
      </c>
    </row>
    <row r="1506" spans="1:20" ht="15.75" customHeight="1" x14ac:dyDescent="0.25">
      <c r="A1506" s="30" t="str">
        <f ca="1">IFERROR(__xludf.DUMMYFUNCTION("""COMPUTED_VALUE"""),"50660282173154")</f>
        <v>50660282173154</v>
      </c>
      <c r="B1506" s="30" t="str">
        <f ca="1">IFERROR(__xludf.DUMMYFUNCTION("""COMPUTED_VALUE"""),"CENTRO DE SALUD Nº 28 VILLA ASUNCION")</f>
        <v>CENTRO DE SALUD Nº 28 VILLA ASUNCION</v>
      </c>
      <c r="C1506" s="30" t="str">
        <f ca="1">IFERROR(__xludf.DUMMYFUNCTION("""COMPUTED_VALUE"""),"Salta")</f>
        <v>Salta</v>
      </c>
      <c r="D1506" s="30" t="str">
        <f ca="1">IFERROR(__xludf.DUMMYFUNCTION("""COMPUTED_VALUE"""),"66")</f>
        <v>66</v>
      </c>
      <c r="E1506" s="30" t="str">
        <f ca="1">IFERROR(__xludf.DUMMYFUNCTION("""COMPUTED_VALUE"""),"si")</f>
        <v>si</v>
      </c>
      <c r="F1506" s="29"/>
      <c r="G1506" s="29"/>
      <c r="H1506" s="30" t="str">
        <f ca="1">IFERROR(__xludf.DUMMYFUNCTION("""COMPUTED_VALUE"""),"activo")</f>
        <v>activo</v>
      </c>
      <c r="I1506" s="29"/>
      <c r="J1506" s="29"/>
      <c r="K1506" s="29"/>
      <c r="L1506" s="30" t="str">
        <f ca="1">IFERROR(__xludf.DUMMYFUNCTION("""COMPUTED_VALUE"""),"No")</f>
        <v>No</v>
      </c>
      <c r="M1506" s="30" t="str">
        <f ca="1">IFERROR(__xludf.DUMMYFUNCTION("""COMPUTED_VALUE"""),"66028050000")</f>
        <v>66028050000</v>
      </c>
      <c r="N1506" s="30" t="str">
        <f ca="1">IFERROR(__xludf.DUMMYFUNCTION("""COMPUTED_VALUE"""),"SALTA")</f>
        <v>SALTA</v>
      </c>
      <c r="O1506" s="30" t="str">
        <f ca="1">IFERROR(__xludf.DUMMYFUNCTION("""COMPUTED_VALUE"""),"6628")</f>
        <v>6628</v>
      </c>
      <c r="P1506" s="30" t="str">
        <f ca="1">IFERROR(__xludf.DUMMYFUNCTION("""COMPUTED_VALUE"""),"CAPITAL")</f>
        <v>CAPITAL</v>
      </c>
      <c r="Q1506" s="30" t="str">
        <f ca="1">IFERROR(__xludf.DUMMYFUNCTION("""COMPUTED_VALUE"""),"-24.79614057")</f>
        <v>-24.79614057</v>
      </c>
      <c r="R1506" s="30" t="str">
        <f ca="1">IFERROR(__xludf.DUMMYFUNCTION("""COMPUTED_VALUE"""),"-65.4464983")</f>
        <v>-65.4464983</v>
      </c>
      <c r="S1506" s="30" t="str">
        <f ca="1">IFERROR(__xludf.DUMMYFUNCTION("""COMPUTED_VALUE"""),"Provincial")</f>
        <v>Provincial</v>
      </c>
      <c r="T1506" s="30" t="str">
        <f ca="1">IFERROR(__xludf.DUMMYFUNCTION("""COMPUTED_VALUE"""),"-")</f>
        <v>-</v>
      </c>
    </row>
    <row r="1507" spans="1:20" ht="15.75" customHeight="1" x14ac:dyDescent="0.25">
      <c r="A1507" s="30" t="str">
        <f ca="1">IFERROR(__xludf.DUMMYFUNCTION("""COMPUTED_VALUE"""),"50660282173155")</f>
        <v>50660282173155</v>
      </c>
      <c r="B1507" s="30" t="str">
        <f ca="1">IFERROR(__xludf.DUMMYFUNCTION("""COMPUTED_VALUE"""),"CENTRO DE SALUD Nº 29 GRAL. SAN MARTIN - FCA. INDEPENDENCIA")</f>
        <v>CENTRO DE SALUD Nº 29 GRAL. SAN MARTIN - FCA. INDEPENDENCIA</v>
      </c>
      <c r="C1507" s="30" t="str">
        <f ca="1">IFERROR(__xludf.DUMMYFUNCTION("""COMPUTED_VALUE"""),"Salta")</f>
        <v>Salta</v>
      </c>
      <c r="D1507" s="30" t="str">
        <f ca="1">IFERROR(__xludf.DUMMYFUNCTION("""COMPUTED_VALUE"""),"66")</f>
        <v>66</v>
      </c>
      <c r="E1507" s="30" t="str">
        <f ca="1">IFERROR(__xludf.DUMMYFUNCTION("""COMPUTED_VALUE"""),"")</f>
        <v/>
      </c>
      <c r="F1507" s="29"/>
      <c r="G1507" s="29"/>
      <c r="H1507" s="30" t="str">
        <f ca="1">IFERROR(__xludf.DUMMYFUNCTION("""COMPUTED_VALUE"""),"activo")</f>
        <v>activo</v>
      </c>
      <c r="I1507" s="29"/>
      <c r="J1507" s="29"/>
      <c r="K1507" s="29"/>
      <c r="L1507" s="30" t="str">
        <f ca="1">IFERROR(__xludf.DUMMYFUNCTION("""COMPUTED_VALUE"""),"No")</f>
        <v>No</v>
      </c>
      <c r="M1507" s="30" t="str">
        <f ca="1">IFERROR(__xludf.DUMMYFUNCTION("""COMPUTED_VALUE"""),"66028050000")</f>
        <v>66028050000</v>
      </c>
      <c r="N1507" s="30" t="str">
        <f ca="1">IFERROR(__xludf.DUMMYFUNCTION("""COMPUTED_VALUE"""),"SALTA")</f>
        <v>SALTA</v>
      </c>
      <c r="O1507" s="30" t="str">
        <f ca="1">IFERROR(__xludf.DUMMYFUNCTION("""COMPUTED_VALUE"""),"6628")</f>
        <v>6628</v>
      </c>
      <c r="P1507" s="30" t="str">
        <f ca="1">IFERROR(__xludf.DUMMYFUNCTION("""COMPUTED_VALUE"""),"CAPITAL")</f>
        <v>CAPITAL</v>
      </c>
      <c r="Q1507" s="30" t="str">
        <f ca="1">IFERROR(__xludf.DUMMYFUNCTION("""COMPUTED_VALUE"""),"-24.82932037")</f>
        <v>-24.82932037</v>
      </c>
      <c r="R1507" s="30" t="str">
        <f ca="1">IFERROR(__xludf.DUMMYFUNCTION("""COMPUTED_VALUE"""),"-65.40064326")</f>
        <v>-65.40064326</v>
      </c>
      <c r="S1507" s="30" t="str">
        <f ca="1">IFERROR(__xludf.DUMMYFUNCTION("""COMPUTED_VALUE"""),"Provincial")</f>
        <v>Provincial</v>
      </c>
      <c r="T1507" s="30" t="str">
        <f ca="1">IFERROR(__xludf.DUMMYFUNCTION("""COMPUTED_VALUE"""),"-")</f>
        <v>-</v>
      </c>
    </row>
    <row r="1508" spans="1:20" ht="15.75" customHeight="1" x14ac:dyDescent="0.25">
      <c r="A1508" s="30" t="str">
        <f ca="1">IFERROR(__xludf.DUMMYFUNCTION("""COMPUTED_VALUE"""),"50660282173159")</f>
        <v>50660282173159</v>
      </c>
      <c r="B1508" s="30" t="str">
        <f ca="1">IFERROR(__xludf.DUMMYFUNCTION("""COMPUTED_VALUE"""),"CENTRO DE SALUD Nº 31 - VILLA COSTANERA")</f>
        <v>CENTRO DE SALUD Nº 31 - VILLA COSTANERA</v>
      </c>
      <c r="C1508" s="30" t="str">
        <f ca="1">IFERROR(__xludf.DUMMYFUNCTION("""COMPUTED_VALUE"""),"Salta")</f>
        <v>Salta</v>
      </c>
      <c r="D1508" s="30" t="str">
        <f ca="1">IFERROR(__xludf.DUMMYFUNCTION("""COMPUTED_VALUE"""),"66")</f>
        <v>66</v>
      </c>
      <c r="E1508" s="30" t="str">
        <f ca="1">IFERROR(__xludf.DUMMYFUNCTION("""COMPUTED_VALUE"""),"si")</f>
        <v>si</v>
      </c>
      <c r="F1508" s="29"/>
      <c r="G1508" s="29"/>
      <c r="H1508" s="30" t="str">
        <f ca="1">IFERROR(__xludf.DUMMYFUNCTION("""COMPUTED_VALUE"""),"activo")</f>
        <v>activo</v>
      </c>
      <c r="I1508" s="29"/>
      <c r="J1508" s="29"/>
      <c r="K1508" s="29"/>
      <c r="L1508" s="30" t="str">
        <f ca="1">IFERROR(__xludf.DUMMYFUNCTION("""COMPUTED_VALUE"""),"No")</f>
        <v>No</v>
      </c>
      <c r="M1508" s="30" t="str">
        <f ca="1">IFERROR(__xludf.DUMMYFUNCTION("""COMPUTED_VALUE"""),"66028050000")</f>
        <v>66028050000</v>
      </c>
      <c r="N1508" s="30" t="str">
        <f ca="1">IFERROR(__xludf.DUMMYFUNCTION("""COMPUTED_VALUE"""),"SALTA")</f>
        <v>SALTA</v>
      </c>
      <c r="O1508" s="30" t="str">
        <f ca="1">IFERROR(__xludf.DUMMYFUNCTION("""COMPUTED_VALUE"""),"6628")</f>
        <v>6628</v>
      </c>
      <c r="P1508" s="30" t="str">
        <f ca="1">IFERROR(__xludf.DUMMYFUNCTION("""COMPUTED_VALUE"""),"CAPITAL")</f>
        <v>CAPITAL</v>
      </c>
      <c r="Q1508" s="30" t="str">
        <f ca="1">IFERROR(__xludf.DUMMYFUNCTION("""COMPUTED_VALUE"""),"-24.80645557")</f>
        <v>-24.80645557</v>
      </c>
      <c r="R1508" s="30" t="str">
        <f ca="1">IFERROR(__xludf.DUMMYFUNCTION("""COMPUTED_VALUE"""),"-65.42802325")</f>
        <v>-65.42802325</v>
      </c>
      <c r="S1508" s="30" t="str">
        <f ca="1">IFERROR(__xludf.DUMMYFUNCTION("""COMPUTED_VALUE"""),"Provincial")</f>
        <v>Provincial</v>
      </c>
      <c r="T1508" s="30" t="str">
        <f ca="1">IFERROR(__xludf.DUMMYFUNCTION("""COMPUTED_VALUE"""),"-")</f>
        <v>-</v>
      </c>
    </row>
    <row r="1509" spans="1:20" ht="15.75" customHeight="1" x14ac:dyDescent="0.25">
      <c r="A1509" s="30" t="str">
        <f ca="1">IFERROR(__xludf.DUMMYFUNCTION("""COMPUTED_VALUE"""),"50660282173162")</f>
        <v>50660282173162</v>
      </c>
      <c r="B1509" s="30" t="str">
        <f ca="1">IFERROR(__xludf.DUMMYFUNCTION("""COMPUTED_VALUE"""),"CENTRO DE SALUD Nº 35 - BARRIO EL PROGRESO")</f>
        <v>CENTRO DE SALUD Nº 35 - BARRIO EL PROGRESO</v>
      </c>
      <c r="C1509" s="30" t="str">
        <f ca="1">IFERROR(__xludf.DUMMYFUNCTION("""COMPUTED_VALUE"""),"Salta")</f>
        <v>Salta</v>
      </c>
      <c r="D1509" s="30" t="str">
        <f ca="1">IFERROR(__xludf.DUMMYFUNCTION("""COMPUTED_VALUE"""),"66")</f>
        <v>66</v>
      </c>
      <c r="E1509" s="30" t="str">
        <f ca="1">IFERROR(__xludf.DUMMYFUNCTION("""COMPUTED_VALUE"""),"")</f>
        <v/>
      </c>
      <c r="F1509" s="29"/>
      <c r="G1509" s="29"/>
      <c r="H1509" s="30" t="str">
        <f ca="1">IFERROR(__xludf.DUMMYFUNCTION("""COMPUTED_VALUE"""),"activo")</f>
        <v>activo</v>
      </c>
      <c r="I1509" s="29"/>
      <c r="J1509" s="29"/>
      <c r="K1509" s="29"/>
      <c r="L1509" s="30" t="str">
        <f ca="1">IFERROR(__xludf.DUMMYFUNCTION("""COMPUTED_VALUE"""),"No")</f>
        <v>No</v>
      </c>
      <c r="M1509" s="30" t="str">
        <f ca="1">IFERROR(__xludf.DUMMYFUNCTION("""COMPUTED_VALUE"""),"66028050000")</f>
        <v>66028050000</v>
      </c>
      <c r="N1509" s="30" t="str">
        <f ca="1">IFERROR(__xludf.DUMMYFUNCTION("""COMPUTED_VALUE"""),"SALTA")</f>
        <v>SALTA</v>
      </c>
      <c r="O1509" s="30" t="str">
        <f ca="1">IFERROR(__xludf.DUMMYFUNCTION("""COMPUTED_VALUE"""),"6628")</f>
        <v>6628</v>
      </c>
      <c r="P1509" s="30" t="str">
        <f ca="1">IFERROR(__xludf.DUMMYFUNCTION("""COMPUTED_VALUE"""),"CAPITAL")</f>
        <v>CAPITAL</v>
      </c>
      <c r="Q1509" s="30" t="str">
        <f ca="1">IFERROR(__xludf.DUMMYFUNCTION("""COMPUTED_VALUE"""),"-24.80517581")</f>
        <v>-24.80517581</v>
      </c>
      <c r="R1509" s="30" t="str">
        <f ca="1">IFERROR(__xludf.DUMMYFUNCTION("""COMPUTED_VALUE"""),"-65.44826608")</f>
        <v>-65.44826608</v>
      </c>
      <c r="S1509" s="30" t="str">
        <f ca="1">IFERROR(__xludf.DUMMYFUNCTION("""COMPUTED_VALUE"""),"Provincial")</f>
        <v>Provincial</v>
      </c>
      <c r="T1509" s="30" t="str">
        <f ca="1">IFERROR(__xludf.DUMMYFUNCTION("""COMPUTED_VALUE"""),"-")</f>
        <v>-</v>
      </c>
    </row>
    <row r="1510" spans="1:20" ht="15.75" customHeight="1" x14ac:dyDescent="0.25">
      <c r="A1510" s="30" t="str">
        <f ca="1">IFERROR(__xludf.DUMMYFUNCTION("""COMPUTED_VALUE"""),"50660282173164")</f>
        <v>50660282173164</v>
      </c>
      <c r="B1510" s="30" t="str">
        <f ca="1">IFERROR(__xludf.DUMMYFUNCTION("""COMPUTED_VALUE"""),"CENTRO DE SALUD Nº 37 LA ISLA")</f>
        <v>CENTRO DE SALUD Nº 37 LA ISLA</v>
      </c>
      <c r="C1510" s="30" t="str">
        <f ca="1">IFERROR(__xludf.DUMMYFUNCTION("""COMPUTED_VALUE"""),"Salta")</f>
        <v>Salta</v>
      </c>
      <c r="D1510" s="30" t="str">
        <f ca="1">IFERROR(__xludf.DUMMYFUNCTION("""COMPUTED_VALUE"""),"66")</f>
        <v>66</v>
      </c>
      <c r="E1510" s="30" t="str">
        <f ca="1">IFERROR(__xludf.DUMMYFUNCTION("""COMPUTED_VALUE"""),"")</f>
        <v/>
      </c>
      <c r="F1510" s="29"/>
      <c r="G1510" s="29"/>
      <c r="H1510" s="30" t="str">
        <f ca="1">IFERROR(__xludf.DUMMYFUNCTION("""COMPUTED_VALUE"""),"activo")</f>
        <v>activo</v>
      </c>
      <c r="I1510" s="29"/>
      <c r="J1510" s="29"/>
      <c r="K1510" s="29"/>
      <c r="L1510" s="30" t="str">
        <f ca="1">IFERROR(__xludf.DUMMYFUNCTION("""COMPUTED_VALUE"""),"No")</f>
        <v>No</v>
      </c>
      <c r="M1510" s="30" t="str">
        <f ca="1">IFERROR(__xludf.DUMMYFUNCTION("""COMPUTED_VALUE"""),"66028050000")</f>
        <v>66028050000</v>
      </c>
      <c r="N1510" s="30" t="str">
        <f ca="1">IFERROR(__xludf.DUMMYFUNCTION("""COMPUTED_VALUE"""),"SALTA")</f>
        <v>SALTA</v>
      </c>
      <c r="O1510" s="30" t="str">
        <f ca="1">IFERROR(__xludf.DUMMYFUNCTION("""COMPUTED_VALUE"""),"6628")</f>
        <v>6628</v>
      </c>
      <c r="P1510" s="30" t="str">
        <f ca="1">IFERROR(__xludf.DUMMYFUNCTION("""COMPUTED_VALUE"""),"CAPITAL")</f>
        <v>CAPITAL</v>
      </c>
      <c r="Q1510" s="30" t="str">
        <f ca="1">IFERROR(__xludf.DUMMYFUNCTION("""COMPUTED_VALUE"""),"-24.87664908")</f>
        <v>-24.87664908</v>
      </c>
      <c r="R1510" s="30" t="str">
        <f ca="1">IFERROR(__xludf.DUMMYFUNCTION("""COMPUTED_VALUE"""),"-65.40054257")</f>
        <v>-65.40054257</v>
      </c>
      <c r="S1510" s="30" t="str">
        <f ca="1">IFERROR(__xludf.DUMMYFUNCTION("""COMPUTED_VALUE"""),"Provincial")</f>
        <v>Provincial</v>
      </c>
      <c r="T1510" s="30" t="str">
        <f ca="1">IFERROR(__xludf.DUMMYFUNCTION("""COMPUTED_VALUE"""),"-")</f>
        <v>-</v>
      </c>
    </row>
    <row r="1511" spans="1:20" ht="15.75" customHeight="1" x14ac:dyDescent="0.25">
      <c r="A1511" s="30" t="str">
        <f ca="1">IFERROR(__xludf.DUMMYFUNCTION("""COMPUTED_VALUE"""),"50660282173166")</f>
        <v>50660282173166</v>
      </c>
      <c r="B1511" s="30" t="str">
        <f ca="1">IFERROR(__xludf.DUMMYFUNCTION("""COMPUTED_VALUE"""),"CENTRO DE SALUD Nº 39 - VILLA LUJAN")</f>
        <v>CENTRO DE SALUD Nº 39 - VILLA LUJAN</v>
      </c>
      <c r="C1511" s="30" t="str">
        <f ca="1">IFERROR(__xludf.DUMMYFUNCTION("""COMPUTED_VALUE"""),"Salta")</f>
        <v>Salta</v>
      </c>
      <c r="D1511" s="30" t="str">
        <f ca="1">IFERROR(__xludf.DUMMYFUNCTION("""COMPUTED_VALUE"""),"66")</f>
        <v>66</v>
      </c>
      <c r="E1511" s="30" t="str">
        <f ca="1">IFERROR(__xludf.DUMMYFUNCTION("""COMPUTED_VALUE"""),"")</f>
        <v/>
      </c>
      <c r="F1511" s="29"/>
      <c r="G1511" s="29"/>
      <c r="H1511" s="30" t="str">
        <f ca="1">IFERROR(__xludf.DUMMYFUNCTION("""COMPUTED_VALUE"""),"activo")</f>
        <v>activo</v>
      </c>
      <c r="I1511" s="29"/>
      <c r="J1511" s="29"/>
      <c r="K1511" s="29"/>
      <c r="L1511" s="30" t="str">
        <f ca="1">IFERROR(__xludf.DUMMYFUNCTION("""COMPUTED_VALUE"""),"No")</f>
        <v>No</v>
      </c>
      <c r="M1511" s="30" t="str">
        <f ca="1">IFERROR(__xludf.DUMMYFUNCTION("""COMPUTED_VALUE"""),"66028050000")</f>
        <v>66028050000</v>
      </c>
      <c r="N1511" s="30" t="str">
        <f ca="1">IFERROR(__xludf.DUMMYFUNCTION("""COMPUTED_VALUE"""),"SALTA")</f>
        <v>SALTA</v>
      </c>
      <c r="O1511" s="30" t="str">
        <f ca="1">IFERROR(__xludf.DUMMYFUNCTION("""COMPUTED_VALUE"""),"6628")</f>
        <v>6628</v>
      </c>
      <c r="P1511" s="30" t="str">
        <f ca="1">IFERROR(__xludf.DUMMYFUNCTION("""COMPUTED_VALUE"""),"CAPITAL")</f>
        <v>CAPITAL</v>
      </c>
      <c r="Q1511" s="30" t="str">
        <f ca="1">IFERROR(__xludf.DUMMYFUNCTION("""COMPUTED_VALUE"""),"-24.77399214")</f>
        <v>-24.77399214</v>
      </c>
      <c r="R1511" s="30" t="str">
        <f ca="1">IFERROR(__xludf.DUMMYFUNCTION("""COMPUTED_VALUE"""),"-65.43195")</f>
        <v>-65.43195</v>
      </c>
      <c r="S1511" s="30" t="str">
        <f ca="1">IFERROR(__xludf.DUMMYFUNCTION("""COMPUTED_VALUE"""),"Provincial")</f>
        <v>Provincial</v>
      </c>
      <c r="T1511" s="30" t="str">
        <f ca="1">IFERROR(__xludf.DUMMYFUNCTION("""COMPUTED_VALUE"""),"-")</f>
        <v>-</v>
      </c>
    </row>
    <row r="1512" spans="1:20" ht="15.75" customHeight="1" x14ac:dyDescent="0.25">
      <c r="A1512" s="30" t="str">
        <f ca="1">IFERROR(__xludf.DUMMYFUNCTION("""COMPUTED_VALUE"""),"50660282173169")</f>
        <v>50660282173169</v>
      </c>
      <c r="B1512" s="30" t="str">
        <f ca="1">IFERROR(__xludf.DUMMYFUNCTION("""COMPUTED_VALUE"""),"CENTRO DE SALUD Nº 41 - BARRIO TRES CERRITOS")</f>
        <v>CENTRO DE SALUD Nº 41 - BARRIO TRES CERRITOS</v>
      </c>
      <c r="C1512" s="30" t="str">
        <f ca="1">IFERROR(__xludf.DUMMYFUNCTION("""COMPUTED_VALUE"""),"Salta")</f>
        <v>Salta</v>
      </c>
      <c r="D1512" s="30" t="str">
        <f ca="1">IFERROR(__xludf.DUMMYFUNCTION("""COMPUTED_VALUE"""),"66")</f>
        <v>66</v>
      </c>
      <c r="E1512" s="30" t="str">
        <f ca="1">IFERROR(__xludf.DUMMYFUNCTION("""COMPUTED_VALUE"""),"")</f>
        <v/>
      </c>
      <c r="F1512" s="29"/>
      <c r="G1512" s="29"/>
      <c r="H1512" s="30" t="str">
        <f ca="1">IFERROR(__xludf.DUMMYFUNCTION("""COMPUTED_VALUE"""),"activo")</f>
        <v>activo</v>
      </c>
      <c r="I1512" s="29"/>
      <c r="J1512" s="29"/>
      <c r="K1512" s="29"/>
      <c r="L1512" s="30" t="str">
        <f ca="1">IFERROR(__xludf.DUMMYFUNCTION("""COMPUTED_VALUE"""),"No")</f>
        <v>No</v>
      </c>
      <c r="M1512" s="30" t="str">
        <f ca="1">IFERROR(__xludf.DUMMYFUNCTION("""COMPUTED_VALUE"""),"66028050000")</f>
        <v>66028050000</v>
      </c>
      <c r="N1512" s="30" t="str">
        <f ca="1">IFERROR(__xludf.DUMMYFUNCTION("""COMPUTED_VALUE"""),"SALTA")</f>
        <v>SALTA</v>
      </c>
      <c r="O1512" s="30" t="str">
        <f ca="1">IFERROR(__xludf.DUMMYFUNCTION("""COMPUTED_VALUE"""),"6628")</f>
        <v>6628</v>
      </c>
      <c r="P1512" s="30" t="str">
        <f ca="1">IFERROR(__xludf.DUMMYFUNCTION("""COMPUTED_VALUE"""),"CAPITAL")</f>
        <v>CAPITAL</v>
      </c>
      <c r="Q1512" s="30" t="str">
        <f ca="1">IFERROR(__xludf.DUMMYFUNCTION("""COMPUTED_VALUE"""),"-24.76462053")</f>
        <v>-24.76462053</v>
      </c>
      <c r="R1512" s="30" t="str">
        <f ca="1">IFERROR(__xludf.DUMMYFUNCTION("""COMPUTED_VALUE"""),"-65.39322427")</f>
        <v>-65.39322427</v>
      </c>
      <c r="S1512" s="30" t="str">
        <f ca="1">IFERROR(__xludf.DUMMYFUNCTION("""COMPUTED_VALUE"""),"Provincial")</f>
        <v>Provincial</v>
      </c>
      <c r="T1512" s="30" t="str">
        <f ca="1">IFERROR(__xludf.DUMMYFUNCTION("""COMPUTED_VALUE"""),"-")</f>
        <v>-</v>
      </c>
    </row>
    <row r="1513" spans="1:20" ht="15.75" customHeight="1" x14ac:dyDescent="0.25">
      <c r="A1513" s="30" t="str">
        <f ca="1">IFERROR(__xludf.DUMMYFUNCTION("""COMPUTED_VALUE"""),"50660282173170")</f>
        <v>50660282173170</v>
      </c>
      <c r="B1513" s="30" t="str">
        <f ca="1">IFERROR(__xludf.DUMMYFUNCTION("""COMPUTED_VALUE"""),"CENTRO DE SALUD Nº 42 - BARRIO EL AUTODROMO")</f>
        <v>CENTRO DE SALUD Nº 42 - BARRIO EL AUTODROMO</v>
      </c>
      <c r="C1513" s="30" t="str">
        <f ca="1">IFERROR(__xludf.DUMMYFUNCTION("""COMPUTED_VALUE"""),"Salta")</f>
        <v>Salta</v>
      </c>
      <c r="D1513" s="30" t="str">
        <f ca="1">IFERROR(__xludf.DUMMYFUNCTION("""COMPUTED_VALUE"""),"66")</f>
        <v>66</v>
      </c>
      <c r="E1513" s="30" t="str">
        <f ca="1">IFERROR(__xludf.DUMMYFUNCTION("""COMPUTED_VALUE"""),"si")</f>
        <v>si</v>
      </c>
      <c r="F1513" s="29"/>
      <c r="G1513" s="29"/>
      <c r="H1513" s="30" t="str">
        <f ca="1">IFERROR(__xludf.DUMMYFUNCTION("""COMPUTED_VALUE"""),"activo")</f>
        <v>activo</v>
      </c>
      <c r="I1513" s="29"/>
      <c r="J1513" s="29"/>
      <c r="K1513" s="29"/>
      <c r="L1513" s="30" t="str">
        <f ca="1">IFERROR(__xludf.DUMMYFUNCTION("""COMPUTED_VALUE"""),"No")</f>
        <v>No</v>
      </c>
      <c r="M1513" s="30" t="str">
        <f ca="1">IFERROR(__xludf.DUMMYFUNCTION("""COMPUTED_VALUE"""),"66028050000")</f>
        <v>66028050000</v>
      </c>
      <c r="N1513" s="30" t="str">
        <f ca="1">IFERROR(__xludf.DUMMYFUNCTION("""COMPUTED_VALUE"""),"SALTA")</f>
        <v>SALTA</v>
      </c>
      <c r="O1513" s="30" t="str">
        <f ca="1">IFERROR(__xludf.DUMMYFUNCTION("""COMPUTED_VALUE"""),"6628")</f>
        <v>6628</v>
      </c>
      <c r="P1513" s="30" t="str">
        <f ca="1">IFERROR(__xludf.DUMMYFUNCTION("""COMPUTED_VALUE"""),"CAPITAL")</f>
        <v>CAPITAL</v>
      </c>
      <c r="Q1513" s="30" t="str">
        <f ca="1">IFERROR(__xludf.DUMMYFUNCTION("""COMPUTED_VALUE"""),"-24.79634186")</f>
        <v>-24.79634186</v>
      </c>
      <c r="R1513" s="30" t="str">
        <f ca="1">IFERROR(__xludf.DUMMYFUNCTION("""COMPUTED_VALUE"""),"-65.37037184")</f>
        <v>-65.37037184</v>
      </c>
      <c r="S1513" s="30" t="str">
        <f ca="1">IFERROR(__xludf.DUMMYFUNCTION("""COMPUTED_VALUE"""),"Provincial")</f>
        <v>Provincial</v>
      </c>
      <c r="T1513" s="30" t="str">
        <f ca="1">IFERROR(__xludf.DUMMYFUNCTION("""COMPUTED_VALUE"""),"-")</f>
        <v>-</v>
      </c>
    </row>
    <row r="1514" spans="1:20" ht="15.75" customHeight="1" x14ac:dyDescent="0.25">
      <c r="A1514" s="30" t="str">
        <f ca="1">IFERROR(__xludf.DUMMYFUNCTION("""COMPUTED_VALUE"""),"50660282173171")</f>
        <v>50660282173171</v>
      </c>
      <c r="B1514" s="30" t="str">
        <f ca="1">IFERROR(__xludf.DUMMYFUNCTION("""COMPUTED_VALUE"""),"CENTRO DE SALUD Nº 43 - BARRIO EVITA")</f>
        <v>CENTRO DE SALUD Nº 43 - BARRIO EVITA</v>
      </c>
      <c r="C1514" s="30" t="str">
        <f ca="1">IFERROR(__xludf.DUMMYFUNCTION("""COMPUTED_VALUE"""),"Salta")</f>
        <v>Salta</v>
      </c>
      <c r="D1514" s="30" t="str">
        <f ca="1">IFERROR(__xludf.DUMMYFUNCTION("""COMPUTED_VALUE"""),"66")</f>
        <v>66</v>
      </c>
      <c r="E1514" s="30" t="str">
        <f ca="1">IFERROR(__xludf.DUMMYFUNCTION("""COMPUTED_VALUE"""),"")</f>
        <v/>
      </c>
      <c r="F1514" s="29"/>
      <c r="G1514" s="29"/>
      <c r="H1514" s="30" t="str">
        <f ca="1">IFERROR(__xludf.DUMMYFUNCTION("""COMPUTED_VALUE"""),"inactivo")</f>
        <v>inactivo</v>
      </c>
      <c r="I1514" s="30" t="str">
        <f ca="1">IFERROR(__xludf.DUMMYFUNCTION("""COMPUTED_VALUE"""),"fuera de la circular 2")</f>
        <v>fuera de la circular 2</v>
      </c>
      <c r="J1514" s="29"/>
      <c r="K1514" s="29"/>
      <c r="L1514" s="30" t="str">
        <f ca="1">IFERROR(__xludf.DUMMYFUNCTION("""COMPUTED_VALUE"""),"No")</f>
        <v>No</v>
      </c>
      <c r="M1514" s="30" t="str">
        <f ca="1">IFERROR(__xludf.DUMMYFUNCTION("""COMPUTED_VALUE"""),"#N/A")</f>
        <v>#N/A</v>
      </c>
      <c r="N1514" s="30" t="str">
        <f ca="1">IFERROR(__xludf.DUMMYFUNCTION("""COMPUTED_VALUE"""),"#N/A")</f>
        <v>#N/A</v>
      </c>
      <c r="O1514" s="30" t="str">
        <f ca="1">IFERROR(__xludf.DUMMYFUNCTION("""COMPUTED_VALUE"""),"#N/A")</f>
        <v>#N/A</v>
      </c>
      <c r="P1514" s="30" t="str">
        <f ca="1">IFERROR(__xludf.DUMMYFUNCTION("""COMPUTED_VALUE"""),"Capital")</f>
        <v>Capital</v>
      </c>
      <c r="Q1514" s="30" t="str">
        <f ca="1">IFERROR(__xludf.DUMMYFUNCTION("""COMPUTED_VALUE"""),"#N/A")</f>
        <v>#N/A</v>
      </c>
      <c r="R1514" s="30" t="str">
        <f ca="1">IFERROR(__xludf.DUMMYFUNCTION("""COMPUTED_VALUE"""),"#N/A")</f>
        <v>#N/A</v>
      </c>
      <c r="S1514" s="30" t="str">
        <f ca="1">IFERROR(__xludf.DUMMYFUNCTION("""COMPUTED_VALUE"""),"#N/A")</f>
        <v>#N/A</v>
      </c>
      <c r="T1514" s="29"/>
    </row>
    <row r="1515" spans="1:20" ht="15.75" customHeight="1" x14ac:dyDescent="0.25">
      <c r="A1515" s="30" t="str">
        <f ca="1">IFERROR(__xludf.DUMMYFUNCTION("""COMPUTED_VALUE"""),"50660282173172")</f>
        <v>50660282173172</v>
      </c>
      <c r="B1515" s="30" t="str">
        <f ca="1">IFERROR(__xludf.DUMMYFUNCTION("""COMPUTED_VALUE"""),"CENTRO DE SALUD Nº 44 - BARRIO FLORESTA")</f>
        <v>CENTRO DE SALUD Nº 44 - BARRIO FLORESTA</v>
      </c>
      <c r="C1515" s="30" t="str">
        <f ca="1">IFERROR(__xludf.DUMMYFUNCTION("""COMPUTED_VALUE"""),"Salta")</f>
        <v>Salta</v>
      </c>
      <c r="D1515" s="30" t="str">
        <f ca="1">IFERROR(__xludf.DUMMYFUNCTION("""COMPUTED_VALUE"""),"66")</f>
        <v>66</v>
      </c>
      <c r="E1515" s="30" t="str">
        <f ca="1">IFERROR(__xludf.DUMMYFUNCTION("""COMPUTED_VALUE"""),"si")</f>
        <v>si</v>
      </c>
      <c r="F1515" s="29"/>
      <c r="G1515" s="29"/>
      <c r="H1515" s="30" t="str">
        <f ca="1">IFERROR(__xludf.DUMMYFUNCTION("""COMPUTED_VALUE"""),"activo")</f>
        <v>activo</v>
      </c>
      <c r="I1515" s="29"/>
      <c r="J1515" s="29"/>
      <c r="K1515" s="29"/>
      <c r="L1515" s="30" t="str">
        <f ca="1">IFERROR(__xludf.DUMMYFUNCTION("""COMPUTED_VALUE"""),"No")</f>
        <v>No</v>
      </c>
      <c r="M1515" s="30" t="str">
        <f ca="1">IFERROR(__xludf.DUMMYFUNCTION("""COMPUTED_VALUE"""),"66028050000")</f>
        <v>66028050000</v>
      </c>
      <c r="N1515" s="30" t="str">
        <f ca="1">IFERROR(__xludf.DUMMYFUNCTION("""COMPUTED_VALUE"""),"SALTA")</f>
        <v>SALTA</v>
      </c>
      <c r="O1515" s="30" t="str">
        <f ca="1">IFERROR(__xludf.DUMMYFUNCTION("""COMPUTED_VALUE"""),"6628")</f>
        <v>6628</v>
      </c>
      <c r="P1515" s="30" t="str">
        <f ca="1">IFERROR(__xludf.DUMMYFUNCTION("""COMPUTED_VALUE"""),"CAPITAL")</f>
        <v>CAPITAL</v>
      </c>
      <c r="Q1515" s="30" t="str">
        <f ca="1">IFERROR(__xludf.DUMMYFUNCTION("""COMPUTED_VALUE"""),"-24.81463164")</f>
        <v>-24.81463164</v>
      </c>
      <c r="R1515" s="30" t="str">
        <f ca="1">IFERROR(__xludf.DUMMYFUNCTION("""COMPUTED_VALUE"""),"-65.37353149")</f>
        <v>-65.37353149</v>
      </c>
      <c r="S1515" s="30" t="str">
        <f ca="1">IFERROR(__xludf.DUMMYFUNCTION("""COMPUTED_VALUE"""),"Provincial")</f>
        <v>Provincial</v>
      </c>
      <c r="T1515" s="30" t="str">
        <f ca="1">IFERROR(__xludf.DUMMYFUNCTION("""COMPUTED_VALUE"""),"-")</f>
        <v>-</v>
      </c>
    </row>
    <row r="1516" spans="1:20" ht="15.75" customHeight="1" x14ac:dyDescent="0.25">
      <c r="A1516" s="30" t="str">
        <f ca="1">IFERROR(__xludf.DUMMYFUNCTION("""COMPUTED_VALUE"""),"50660282173173")</f>
        <v>50660282173173</v>
      </c>
      <c r="B1516" s="30" t="str">
        <f ca="1">IFERROR(__xludf.DUMMYFUNCTION("""COMPUTED_VALUE"""),"CENTRO DE SALUD Nº 45 - BARRIO PROVIPO")</f>
        <v>CENTRO DE SALUD Nº 45 - BARRIO PROVIPO</v>
      </c>
      <c r="C1516" s="30" t="str">
        <f ca="1">IFERROR(__xludf.DUMMYFUNCTION("""COMPUTED_VALUE"""),"Salta")</f>
        <v>Salta</v>
      </c>
      <c r="D1516" s="30" t="str">
        <f ca="1">IFERROR(__xludf.DUMMYFUNCTION("""COMPUTED_VALUE"""),"66")</f>
        <v>66</v>
      </c>
      <c r="E1516" s="30" t="str">
        <f ca="1">IFERROR(__xludf.DUMMYFUNCTION("""COMPUTED_VALUE"""),"")</f>
        <v/>
      </c>
      <c r="F1516" s="29"/>
      <c r="G1516" s="29"/>
      <c r="H1516" s="30" t="str">
        <f ca="1">IFERROR(__xludf.DUMMYFUNCTION("""COMPUTED_VALUE"""),"activo")</f>
        <v>activo</v>
      </c>
      <c r="I1516" s="29"/>
      <c r="J1516" s="29"/>
      <c r="K1516" s="29"/>
      <c r="L1516" s="30" t="str">
        <f ca="1">IFERROR(__xludf.DUMMYFUNCTION("""COMPUTED_VALUE"""),"No")</f>
        <v>No</v>
      </c>
      <c r="M1516" s="30" t="str">
        <f ca="1">IFERROR(__xludf.DUMMYFUNCTION("""COMPUTED_VALUE"""),"66028050000")</f>
        <v>66028050000</v>
      </c>
      <c r="N1516" s="30" t="str">
        <f ca="1">IFERROR(__xludf.DUMMYFUNCTION("""COMPUTED_VALUE"""),"SALTA")</f>
        <v>SALTA</v>
      </c>
      <c r="O1516" s="30" t="str">
        <f ca="1">IFERROR(__xludf.DUMMYFUNCTION("""COMPUTED_VALUE"""),"6628")</f>
        <v>6628</v>
      </c>
      <c r="P1516" s="30" t="str">
        <f ca="1">IFERROR(__xludf.DUMMYFUNCTION("""COMPUTED_VALUE"""),"CAPITAL")</f>
        <v>CAPITAL</v>
      </c>
      <c r="Q1516" s="30" t="str">
        <f ca="1">IFERROR(__xludf.DUMMYFUNCTION("""COMPUTED_VALUE"""),"-24.82850678")</f>
        <v>-24.82850678</v>
      </c>
      <c r="R1516" s="30" t="str">
        <f ca="1">IFERROR(__xludf.DUMMYFUNCTION("""COMPUTED_VALUE"""),"-65.38977494")</f>
        <v>-65.38977494</v>
      </c>
      <c r="S1516" s="30" t="str">
        <f ca="1">IFERROR(__xludf.DUMMYFUNCTION("""COMPUTED_VALUE"""),"Provincial")</f>
        <v>Provincial</v>
      </c>
      <c r="T1516" s="30" t="str">
        <f ca="1">IFERROR(__xludf.DUMMYFUNCTION("""COMPUTED_VALUE"""),"-")</f>
        <v>-</v>
      </c>
    </row>
    <row r="1517" spans="1:20" ht="15.75" customHeight="1" x14ac:dyDescent="0.25">
      <c r="A1517" s="30" t="str">
        <f ca="1">IFERROR(__xludf.DUMMYFUNCTION("""COMPUTED_VALUE"""),"50660282173174")</f>
        <v>50660282173174</v>
      </c>
      <c r="B1517" s="30" t="str">
        <f ca="1">IFERROR(__xludf.DUMMYFUNCTION("""COMPUTED_VALUE"""),"CENTRO DE SALUD Nº 46 - BARRIO MOROSINI")</f>
        <v>CENTRO DE SALUD Nº 46 - BARRIO MOROSINI</v>
      </c>
      <c r="C1517" s="30" t="str">
        <f ca="1">IFERROR(__xludf.DUMMYFUNCTION("""COMPUTED_VALUE"""),"Salta")</f>
        <v>Salta</v>
      </c>
      <c r="D1517" s="30" t="str">
        <f ca="1">IFERROR(__xludf.DUMMYFUNCTION("""COMPUTED_VALUE"""),"66")</f>
        <v>66</v>
      </c>
      <c r="E1517" s="30" t="str">
        <f ca="1">IFERROR(__xludf.DUMMYFUNCTION("""COMPUTED_VALUE"""),"")</f>
        <v/>
      </c>
      <c r="F1517" s="29"/>
      <c r="G1517" s="29"/>
      <c r="H1517" s="30" t="str">
        <f ca="1">IFERROR(__xludf.DUMMYFUNCTION("""COMPUTED_VALUE"""),"activo")</f>
        <v>activo</v>
      </c>
      <c r="I1517" s="29"/>
      <c r="J1517" s="29"/>
      <c r="K1517" s="29"/>
      <c r="L1517" s="30" t="str">
        <f ca="1">IFERROR(__xludf.DUMMYFUNCTION("""COMPUTED_VALUE"""),"No")</f>
        <v>No</v>
      </c>
      <c r="M1517" s="30" t="str">
        <f ca="1">IFERROR(__xludf.DUMMYFUNCTION("""COMPUTED_VALUE"""),"66028050000")</f>
        <v>66028050000</v>
      </c>
      <c r="N1517" s="30" t="str">
        <f ca="1">IFERROR(__xludf.DUMMYFUNCTION("""COMPUTED_VALUE"""),"SALTA")</f>
        <v>SALTA</v>
      </c>
      <c r="O1517" s="30" t="str">
        <f ca="1">IFERROR(__xludf.DUMMYFUNCTION("""COMPUTED_VALUE"""),"6628")</f>
        <v>6628</v>
      </c>
      <c r="P1517" s="30" t="str">
        <f ca="1">IFERROR(__xludf.DUMMYFUNCTION("""COMPUTED_VALUE"""),"CAPITAL")</f>
        <v>CAPITAL</v>
      </c>
      <c r="Q1517" s="30" t="str">
        <f ca="1">IFERROR(__xludf.DUMMYFUNCTION("""COMPUTED_VALUE"""),"-24.81825059")</f>
        <v>-24.81825059</v>
      </c>
      <c r="R1517" s="30" t="str">
        <f ca="1">IFERROR(__xludf.DUMMYFUNCTION("""COMPUTED_VALUE"""),"-65.41208267")</f>
        <v>-65.41208267</v>
      </c>
      <c r="S1517" s="30" t="str">
        <f ca="1">IFERROR(__xludf.DUMMYFUNCTION("""COMPUTED_VALUE"""),"Provincial")</f>
        <v>Provincial</v>
      </c>
      <c r="T1517" s="30" t="str">
        <f ca="1">IFERROR(__xludf.DUMMYFUNCTION("""COMPUTED_VALUE"""),"-")</f>
        <v>-</v>
      </c>
    </row>
    <row r="1518" spans="1:20" ht="15.75" customHeight="1" x14ac:dyDescent="0.25">
      <c r="A1518" s="30" t="str">
        <f ca="1">IFERROR(__xludf.DUMMYFUNCTION("""COMPUTED_VALUE"""),"50660282173175")</f>
        <v>50660282173175</v>
      </c>
      <c r="B1518" s="30" t="str">
        <f ca="1">IFERROR(__xludf.DUMMYFUNCTION("""COMPUTED_VALUE"""),"CENTRO DE SALUD Nº 47 - BARRIO ROBERTO ROMERO")</f>
        <v>CENTRO DE SALUD Nº 47 - BARRIO ROBERTO ROMERO</v>
      </c>
      <c r="C1518" s="30" t="str">
        <f ca="1">IFERROR(__xludf.DUMMYFUNCTION("""COMPUTED_VALUE"""),"Salta")</f>
        <v>Salta</v>
      </c>
      <c r="D1518" s="30" t="str">
        <f ca="1">IFERROR(__xludf.DUMMYFUNCTION("""COMPUTED_VALUE"""),"66")</f>
        <v>66</v>
      </c>
      <c r="E1518" s="30" t="str">
        <f ca="1">IFERROR(__xludf.DUMMYFUNCTION("""COMPUTED_VALUE"""),"si")</f>
        <v>si</v>
      </c>
      <c r="F1518" s="29"/>
      <c r="G1518" s="29"/>
      <c r="H1518" s="30" t="str">
        <f ca="1">IFERROR(__xludf.DUMMYFUNCTION("""COMPUTED_VALUE"""),"activo")</f>
        <v>activo</v>
      </c>
      <c r="I1518" s="29"/>
      <c r="J1518" s="29"/>
      <c r="K1518" s="29"/>
      <c r="L1518" s="30" t="str">
        <f ca="1">IFERROR(__xludf.DUMMYFUNCTION("""COMPUTED_VALUE"""),"No")</f>
        <v>No</v>
      </c>
      <c r="M1518" s="30" t="str">
        <f ca="1">IFERROR(__xludf.DUMMYFUNCTION("""COMPUTED_VALUE"""),"66028050000")</f>
        <v>66028050000</v>
      </c>
      <c r="N1518" s="30" t="str">
        <f ca="1">IFERROR(__xludf.DUMMYFUNCTION("""COMPUTED_VALUE"""),"SALTA")</f>
        <v>SALTA</v>
      </c>
      <c r="O1518" s="30" t="str">
        <f ca="1">IFERROR(__xludf.DUMMYFUNCTION("""COMPUTED_VALUE"""),"6628")</f>
        <v>6628</v>
      </c>
      <c r="P1518" s="30" t="str">
        <f ca="1">IFERROR(__xludf.DUMMYFUNCTION("""COMPUTED_VALUE"""),"CAPITAL")</f>
        <v>CAPITAL</v>
      </c>
      <c r="Q1518" s="30" t="str">
        <f ca="1">IFERROR(__xludf.DUMMYFUNCTION("""COMPUTED_VALUE"""),"-24.78668251")</f>
        <v>-24.78668251</v>
      </c>
      <c r="R1518" s="30" t="str">
        <f ca="1">IFERROR(__xludf.DUMMYFUNCTION("""COMPUTED_VALUE"""),"-65.44971283")</f>
        <v>-65.44971283</v>
      </c>
      <c r="S1518" s="30" t="str">
        <f ca="1">IFERROR(__xludf.DUMMYFUNCTION("""COMPUTED_VALUE"""),"Provincial")</f>
        <v>Provincial</v>
      </c>
      <c r="T1518" s="30" t="str">
        <f ca="1">IFERROR(__xludf.DUMMYFUNCTION("""COMPUTED_VALUE"""),"-")</f>
        <v>-</v>
      </c>
    </row>
    <row r="1519" spans="1:20" ht="15.75" customHeight="1" x14ac:dyDescent="0.25">
      <c r="A1519" s="30" t="str">
        <f ca="1">IFERROR(__xludf.DUMMYFUNCTION("""COMPUTED_VALUE"""),"50660282173176")</f>
        <v>50660282173176</v>
      </c>
      <c r="B1519" s="30" t="str">
        <f ca="1">IFERROR(__xludf.DUMMYFUNCTION("""COMPUTED_VALUE"""),"CENTRO DE SALUD Nº 48 - BARRIO CEFERINO")</f>
        <v>CENTRO DE SALUD Nº 48 - BARRIO CEFERINO</v>
      </c>
      <c r="C1519" s="30" t="str">
        <f ca="1">IFERROR(__xludf.DUMMYFUNCTION("""COMPUTED_VALUE"""),"Salta")</f>
        <v>Salta</v>
      </c>
      <c r="D1519" s="30" t="str">
        <f ca="1">IFERROR(__xludf.DUMMYFUNCTION("""COMPUTED_VALUE"""),"66")</f>
        <v>66</v>
      </c>
      <c r="E1519" s="30" t="str">
        <f ca="1">IFERROR(__xludf.DUMMYFUNCTION("""COMPUTED_VALUE"""),"")</f>
        <v/>
      </c>
      <c r="F1519" s="29"/>
      <c r="G1519" s="29"/>
      <c r="H1519" s="30" t="str">
        <f ca="1">IFERROR(__xludf.DUMMYFUNCTION("""COMPUTED_VALUE"""),"activo")</f>
        <v>activo</v>
      </c>
      <c r="I1519" s="29"/>
      <c r="J1519" s="29"/>
      <c r="K1519" s="29"/>
      <c r="L1519" s="30" t="str">
        <f ca="1">IFERROR(__xludf.DUMMYFUNCTION("""COMPUTED_VALUE"""),"No")</f>
        <v>No</v>
      </c>
      <c r="M1519" s="30" t="str">
        <f ca="1">IFERROR(__xludf.DUMMYFUNCTION("""COMPUTED_VALUE"""),"66028050000")</f>
        <v>66028050000</v>
      </c>
      <c r="N1519" s="30" t="str">
        <f ca="1">IFERROR(__xludf.DUMMYFUNCTION("""COMPUTED_VALUE"""),"SALTA")</f>
        <v>SALTA</v>
      </c>
      <c r="O1519" s="30" t="str">
        <f ca="1">IFERROR(__xludf.DUMMYFUNCTION("""COMPUTED_VALUE"""),"6628")</f>
        <v>6628</v>
      </c>
      <c r="P1519" s="30" t="str">
        <f ca="1">IFERROR(__xludf.DUMMYFUNCTION("""COMPUTED_VALUE"""),"CAPITAL")</f>
        <v>CAPITAL</v>
      </c>
      <c r="Q1519" s="30" t="str">
        <f ca="1">IFERROR(__xludf.DUMMYFUNCTION("""COMPUTED_VALUE"""),"-24.81110399")</f>
        <v>-24.81110399</v>
      </c>
      <c r="R1519" s="30" t="str">
        <f ca="1">IFERROR(__xludf.DUMMYFUNCTION("""COMPUTED_VALUE"""),"-65.41263933")</f>
        <v>-65.41263933</v>
      </c>
      <c r="S1519" s="30" t="str">
        <f ca="1">IFERROR(__xludf.DUMMYFUNCTION("""COMPUTED_VALUE"""),"Provincial")</f>
        <v>Provincial</v>
      </c>
      <c r="T1519" s="30" t="str">
        <f ca="1">IFERROR(__xludf.DUMMYFUNCTION("""COMPUTED_VALUE"""),"-")</f>
        <v>-</v>
      </c>
    </row>
    <row r="1520" spans="1:20" ht="15.75" customHeight="1" x14ac:dyDescent="0.25">
      <c r="A1520" s="30" t="str">
        <f ca="1">IFERROR(__xludf.DUMMYFUNCTION("""COMPUTED_VALUE"""),"50660282173178")</f>
        <v>50660282173178</v>
      </c>
      <c r="B1520" s="30" t="str">
        <f ca="1">IFERROR(__xludf.DUMMYFUNCTION("""COMPUTED_VALUE"""),"CENTRO DE SALUD Nº 5 BARRIO NUESTRA SEÑORA DEL PILAR")</f>
        <v>CENTRO DE SALUD Nº 5 BARRIO NUESTRA SEÑORA DEL PILAR</v>
      </c>
      <c r="C1520" s="30" t="str">
        <f ca="1">IFERROR(__xludf.DUMMYFUNCTION("""COMPUTED_VALUE"""),"Salta")</f>
        <v>Salta</v>
      </c>
      <c r="D1520" s="30" t="str">
        <f ca="1">IFERROR(__xludf.DUMMYFUNCTION("""COMPUTED_VALUE"""),"66")</f>
        <v>66</v>
      </c>
      <c r="E1520" s="30" t="str">
        <f ca="1">IFERROR(__xludf.DUMMYFUNCTION("""COMPUTED_VALUE"""),"")</f>
        <v/>
      </c>
      <c r="F1520" s="29"/>
      <c r="G1520" s="29"/>
      <c r="H1520" s="30" t="str">
        <f ca="1">IFERROR(__xludf.DUMMYFUNCTION("""COMPUTED_VALUE"""),"activo")</f>
        <v>activo</v>
      </c>
      <c r="I1520" s="29"/>
      <c r="J1520" s="29"/>
      <c r="K1520" s="29"/>
      <c r="L1520" s="30" t="str">
        <f ca="1">IFERROR(__xludf.DUMMYFUNCTION("""COMPUTED_VALUE"""),"No")</f>
        <v>No</v>
      </c>
      <c r="M1520" s="30" t="str">
        <f ca="1">IFERROR(__xludf.DUMMYFUNCTION("""COMPUTED_VALUE"""),"66028050000")</f>
        <v>66028050000</v>
      </c>
      <c r="N1520" s="30" t="str">
        <f ca="1">IFERROR(__xludf.DUMMYFUNCTION("""COMPUTED_VALUE"""),"SALTA")</f>
        <v>SALTA</v>
      </c>
      <c r="O1520" s="30" t="str">
        <f ca="1">IFERROR(__xludf.DUMMYFUNCTION("""COMPUTED_VALUE"""),"6628")</f>
        <v>6628</v>
      </c>
      <c r="P1520" s="30" t="str">
        <f ca="1">IFERROR(__xludf.DUMMYFUNCTION("""COMPUTED_VALUE"""),"CAPITAL")</f>
        <v>CAPITAL</v>
      </c>
      <c r="Q1520" s="30" t="str">
        <f ca="1">IFERROR(__xludf.DUMMYFUNCTION("""COMPUTED_VALUE"""),"-24.76606488")</f>
        <v>-24.76606488</v>
      </c>
      <c r="R1520" s="30" t="str">
        <f ca="1">IFERROR(__xludf.DUMMYFUNCTION("""COMPUTED_VALUE"""),"-65.41016634")</f>
        <v>-65.41016634</v>
      </c>
      <c r="S1520" s="30" t="str">
        <f ca="1">IFERROR(__xludf.DUMMYFUNCTION("""COMPUTED_VALUE"""),"Provincial")</f>
        <v>Provincial</v>
      </c>
      <c r="T1520" s="30" t="str">
        <f ca="1">IFERROR(__xludf.DUMMYFUNCTION("""COMPUTED_VALUE"""),"-")</f>
        <v>-</v>
      </c>
    </row>
    <row r="1521" spans="1:20" ht="15.75" customHeight="1" x14ac:dyDescent="0.25">
      <c r="A1521" s="30" t="str">
        <f ca="1">IFERROR(__xludf.DUMMYFUNCTION("""COMPUTED_VALUE"""),"50660282173181")</f>
        <v>50660282173181</v>
      </c>
      <c r="B1521" s="30" t="str">
        <f ca="1">IFERROR(__xludf.DUMMYFUNCTION("""COMPUTED_VALUE"""),"CENTRO DE SALUD Nº 51 LIMACHE")</f>
        <v>CENTRO DE SALUD Nº 51 LIMACHE</v>
      </c>
      <c r="C1521" s="30" t="str">
        <f ca="1">IFERROR(__xludf.DUMMYFUNCTION("""COMPUTED_VALUE"""),"Salta")</f>
        <v>Salta</v>
      </c>
      <c r="D1521" s="30" t="str">
        <f ca="1">IFERROR(__xludf.DUMMYFUNCTION("""COMPUTED_VALUE"""),"66")</f>
        <v>66</v>
      </c>
      <c r="E1521" s="30" t="str">
        <f ca="1">IFERROR(__xludf.DUMMYFUNCTION("""COMPUTED_VALUE"""),"")</f>
        <v/>
      </c>
      <c r="F1521" s="29"/>
      <c r="G1521" s="29"/>
      <c r="H1521" s="30" t="str">
        <f ca="1">IFERROR(__xludf.DUMMYFUNCTION("""COMPUTED_VALUE"""),"activo")</f>
        <v>activo</v>
      </c>
      <c r="I1521" s="29"/>
      <c r="J1521" s="29"/>
      <c r="K1521" s="29"/>
      <c r="L1521" s="30" t="str">
        <f ca="1">IFERROR(__xludf.DUMMYFUNCTION("""COMPUTED_VALUE"""),"No")</f>
        <v>No</v>
      </c>
      <c r="M1521" s="30" t="str">
        <f ca="1">IFERROR(__xludf.DUMMYFUNCTION("""COMPUTED_VALUE"""),"66028050000")</f>
        <v>66028050000</v>
      </c>
      <c r="N1521" s="30" t="str">
        <f ca="1">IFERROR(__xludf.DUMMYFUNCTION("""COMPUTED_VALUE"""),"SALTA")</f>
        <v>SALTA</v>
      </c>
      <c r="O1521" s="30" t="str">
        <f ca="1">IFERROR(__xludf.DUMMYFUNCTION("""COMPUTED_VALUE"""),"6628")</f>
        <v>6628</v>
      </c>
      <c r="P1521" s="30" t="str">
        <f ca="1">IFERROR(__xludf.DUMMYFUNCTION("""COMPUTED_VALUE"""),"CAPITAL")</f>
        <v>CAPITAL</v>
      </c>
      <c r="Q1521" s="30" t="str">
        <f ca="1">IFERROR(__xludf.DUMMYFUNCTION("""COMPUTED_VALUE"""),"-24.85266717")</f>
        <v>-24.85266717</v>
      </c>
      <c r="R1521" s="30" t="str">
        <f ca="1">IFERROR(__xludf.DUMMYFUNCTION("""COMPUTED_VALUE"""),"-65.43126335")</f>
        <v>-65.43126335</v>
      </c>
      <c r="S1521" s="30" t="str">
        <f ca="1">IFERROR(__xludf.DUMMYFUNCTION("""COMPUTED_VALUE"""),"Provincial")</f>
        <v>Provincial</v>
      </c>
      <c r="T1521" s="30" t="str">
        <f ca="1">IFERROR(__xludf.DUMMYFUNCTION("""COMPUTED_VALUE"""),"-")</f>
        <v>-</v>
      </c>
    </row>
    <row r="1522" spans="1:20" ht="15.75" customHeight="1" x14ac:dyDescent="0.25">
      <c r="A1522" s="30" t="str">
        <f ca="1">IFERROR(__xludf.DUMMYFUNCTION("""COMPUTED_VALUE"""),"50660282173184")</f>
        <v>50660282173184</v>
      </c>
      <c r="B1522" s="30" t="str">
        <f ca="1">IFERROR(__xludf.DUMMYFUNCTION("""COMPUTED_VALUE"""),"CENTRO DE SALUD Nº 54 BARRIO SAN IGNACIO")</f>
        <v>CENTRO DE SALUD Nº 54 BARRIO SAN IGNACIO</v>
      </c>
      <c r="C1522" s="30" t="str">
        <f ca="1">IFERROR(__xludf.DUMMYFUNCTION("""COMPUTED_VALUE"""),"Salta")</f>
        <v>Salta</v>
      </c>
      <c r="D1522" s="30" t="str">
        <f ca="1">IFERROR(__xludf.DUMMYFUNCTION("""COMPUTED_VALUE"""),"66")</f>
        <v>66</v>
      </c>
      <c r="E1522" s="30" t="str">
        <f ca="1">IFERROR(__xludf.DUMMYFUNCTION("""COMPUTED_VALUE"""),"si")</f>
        <v>si</v>
      </c>
      <c r="F1522" s="29"/>
      <c r="G1522" s="29"/>
      <c r="H1522" s="30" t="str">
        <f ca="1">IFERROR(__xludf.DUMMYFUNCTION("""COMPUTED_VALUE"""),"activo")</f>
        <v>activo</v>
      </c>
      <c r="I1522" s="29"/>
      <c r="J1522" s="29"/>
      <c r="K1522" s="29"/>
      <c r="L1522" s="30" t="str">
        <f ca="1">IFERROR(__xludf.DUMMYFUNCTION("""COMPUTED_VALUE"""),"No")</f>
        <v>No</v>
      </c>
      <c r="M1522" s="30" t="str">
        <f ca="1">IFERROR(__xludf.DUMMYFUNCTION("""COMPUTED_VALUE"""),"66028050000")</f>
        <v>66028050000</v>
      </c>
      <c r="N1522" s="30" t="str">
        <f ca="1">IFERROR(__xludf.DUMMYFUNCTION("""COMPUTED_VALUE"""),"SALTA")</f>
        <v>SALTA</v>
      </c>
      <c r="O1522" s="30" t="str">
        <f ca="1">IFERROR(__xludf.DUMMYFUNCTION("""COMPUTED_VALUE"""),"6628")</f>
        <v>6628</v>
      </c>
      <c r="P1522" s="30" t="str">
        <f ca="1">IFERROR(__xludf.DUMMYFUNCTION("""COMPUTED_VALUE"""),"CAPITAL")</f>
        <v>CAPITAL</v>
      </c>
      <c r="Q1522" s="30" t="str">
        <f ca="1">IFERROR(__xludf.DUMMYFUNCTION("""COMPUTED_VALUE"""),"-24.83502438")</f>
        <v>-24.83502438</v>
      </c>
      <c r="R1522" s="30" t="str">
        <f ca="1">IFERROR(__xludf.DUMMYFUNCTION("""COMPUTED_VALUE"""),"-65.38697224")</f>
        <v>-65.38697224</v>
      </c>
      <c r="S1522" s="30" t="str">
        <f ca="1">IFERROR(__xludf.DUMMYFUNCTION("""COMPUTED_VALUE"""),"Provincial")</f>
        <v>Provincial</v>
      </c>
      <c r="T1522" s="30" t="str">
        <f ca="1">IFERROR(__xludf.DUMMYFUNCTION("""COMPUTED_VALUE"""),"-")</f>
        <v>-</v>
      </c>
    </row>
    <row r="1523" spans="1:20" ht="15.75" customHeight="1" x14ac:dyDescent="0.25">
      <c r="A1523" s="30" t="str">
        <f ca="1">IFERROR(__xludf.DUMMYFUNCTION("""COMPUTED_VALUE"""),"50660282173185")</f>
        <v>50660282173185</v>
      </c>
      <c r="B1523" s="30" t="str">
        <f ca="1">IFERROR(__xludf.DUMMYFUNCTION("""COMPUTED_VALUE"""),"CENTRO DE SALUD Nº 55 - BARRIO 17 DE OCTUBRE")</f>
        <v>CENTRO DE SALUD Nº 55 - BARRIO 17 DE OCTUBRE</v>
      </c>
      <c r="C1523" s="30" t="str">
        <f ca="1">IFERROR(__xludf.DUMMYFUNCTION("""COMPUTED_VALUE"""),"Salta")</f>
        <v>Salta</v>
      </c>
      <c r="D1523" s="30" t="str">
        <f ca="1">IFERROR(__xludf.DUMMYFUNCTION("""COMPUTED_VALUE"""),"66")</f>
        <v>66</v>
      </c>
      <c r="E1523" s="30" t="str">
        <f ca="1">IFERROR(__xludf.DUMMYFUNCTION("""COMPUTED_VALUE"""),"")</f>
        <v/>
      </c>
      <c r="F1523" s="29"/>
      <c r="G1523" s="29"/>
      <c r="H1523" s="30" t="str">
        <f ca="1">IFERROR(__xludf.DUMMYFUNCTION("""COMPUTED_VALUE"""),"activo")</f>
        <v>activo</v>
      </c>
      <c r="I1523" s="29"/>
      <c r="J1523" s="29"/>
      <c r="K1523" s="29"/>
      <c r="L1523" s="30" t="str">
        <f ca="1">IFERROR(__xludf.DUMMYFUNCTION("""COMPUTED_VALUE"""),"No")</f>
        <v>No</v>
      </c>
      <c r="M1523" s="30" t="str">
        <f ca="1">IFERROR(__xludf.DUMMYFUNCTION("""COMPUTED_VALUE"""),"66028050000")</f>
        <v>66028050000</v>
      </c>
      <c r="N1523" s="30" t="str">
        <f ca="1">IFERROR(__xludf.DUMMYFUNCTION("""COMPUTED_VALUE"""),"SALTA")</f>
        <v>SALTA</v>
      </c>
      <c r="O1523" s="30" t="str">
        <f ca="1">IFERROR(__xludf.DUMMYFUNCTION("""COMPUTED_VALUE"""),"6628")</f>
        <v>6628</v>
      </c>
      <c r="P1523" s="30" t="str">
        <f ca="1">IFERROR(__xludf.DUMMYFUNCTION("""COMPUTED_VALUE"""),"CAPITAL")</f>
        <v>CAPITAL</v>
      </c>
      <c r="Q1523" s="30" t="str">
        <f ca="1">IFERROR(__xludf.DUMMYFUNCTION("""COMPUTED_VALUE"""),"-24.71879897")</f>
        <v>-24.71879897</v>
      </c>
      <c r="R1523" s="30" t="str">
        <f ca="1">IFERROR(__xludf.DUMMYFUNCTION("""COMPUTED_VALUE"""),"-65.39739778")</f>
        <v>-65.39739778</v>
      </c>
      <c r="S1523" s="30" t="str">
        <f ca="1">IFERROR(__xludf.DUMMYFUNCTION("""COMPUTED_VALUE"""),"Provincial")</f>
        <v>Provincial</v>
      </c>
      <c r="T1523" s="30" t="str">
        <f ca="1">IFERROR(__xludf.DUMMYFUNCTION("""COMPUTED_VALUE"""),"-")</f>
        <v>-</v>
      </c>
    </row>
    <row r="1524" spans="1:20" ht="15.75" customHeight="1" x14ac:dyDescent="0.25">
      <c r="A1524" s="30" t="str">
        <f ca="1">IFERROR(__xludf.DUMMYFUNCTION("""COMPUTED_VALUE"""),"50660282173187")</f>
        <v>50660282173187</v>
      </c>
      <c r="B1524" s="30" t="str">
        <f ca="1">IFERROR(__xludf.DUMMYFUNCTION("""COMPUTED_VALUE"""),"CENTRO DE SALUD Nº 57 SANTA ANA II")</f>
        <v>CENTRO DE SALUD Nº 57 SANTA ANA II</v>
      </c>
      <c r="C1524" s="30" t="str">
        <f ca="1">IFERROR(__xludf.DUMMYFUNCTION("""COMPUTED_VALUE"""),"Salta")</f>
        <v>Salta</v>
      </c>
      <c r="D1524" s="30" t="str">
        <f ca="1">IFERROR(__xludf.DUMMYFUNCTION("""COMPUTED_VALUE"""),"66")</f>
        <v>66</v>
      </c>
      <c r="E1524" s="30" t="str">
        <f ca="1">IFERROR(__xludf.DUMMYFUNCTION("""COMPUTED_VALUE"""),"")</f>
        <v/>
      </c>
      <c r="F1524" s="29"/>
      <c r="G1524" s="29"/>
      <c r="H1524" s="30" t="str">
        <f ca="1">IFERROR(__xludf.DUMMYFUNCTION("""COMPUTED_VALUE"""),"activo")</f>
        <v>activo</v>
      </c>
      <c r="I1524" s="29"/>
      <c r="J1524" s="29"/>
      <c r="K1524" s="29"/>
      <c r="L1524" s="30" t="str">
        <f ca="1">IFERROR(__xludf.DUMMYFUNCTION("""COMPUTED_VALUE"""),"No")</f>
        <v>No</v>
      </c>
      <c r="M1524" s="30" t="str">
        <f ca="1">IFERROR(__xludf.DUMMYFUNCTION("""COMPUTED_VALUE"""),"66028050000")</f>
        <v>66028050000</v>
      </c>
      <c r="N1524" s="30" t="str">
        <f ca="1">IFERROR(__xludf.DUMMYFUNCTION("""COMPUTED_VALUE"""),"SALTA")</f>
        <v>SALTA</v>
      </c>
      <c r="O1524" s="30" t="str">
        <f ca="1">IFERROR(__xludf.DUMMYFUNCTION("""COMPUTED_VALUE"""),"6628")</f>
        <v>6628</v>
      </c>
      <c r="P1524" s="30" t="str">
        <f ca="1">IFERROR(__xludf.DUMMYFUNCTION("""COMPUTED_VALUE"""),"CAPITAL")</f>
        <v>CAPITAL</v>
      </c>
      <c r="Q1524" s="30" t="str">
        <f ca="1">IFERROR(__xludf.DUMMYFUNCTION("""COMPUTED_VALUE"""),"-24.85137292")</f>
        <v>-24.85137292</v>
      </c>
      <c r="R1524" s="30" t="str">
        <f ca="1">IFERROR(__xludf.DUMMYFUNCTION("""COMPUTED_VALUE"""),"-65.4598557")</f>
        <v>-65.4598557</v>
      </c>
      <c r="S1524" s="30" t="str">
        <f ca="1">IFERROR(__xludf.DUMMYFUNCTION("""COMPUTED_VALUE"""),"Provincial")</f>
        <v>Provincial</v>
      </c>
      <c r="T1524" s="30" t="str">
        <f ca="1">IFERROR(__xludf.DUMMYFUNCTION("""COMPUTED_VALUE"""),"-")</f>
        <v>-</v>
      </c>
    </row>
    <row r="1525" spans="1:20" ht="15.75" customHeight="1" x14ac:dyDescent="0.25">
      <c r="A1525" s="30" t="str">
        <f ca="1">IFERROR(__xludf.DUMMYFUNCTION("""COMPUTED_VALUE"""),"50660282173189")</f>
        <v>50660282173189</v>
      </c>
      <c r="B1525" s="30" t="str">
        <f ca="1">IFERROR(__xludf.DUMMYFUNCTION("""COMPUTED_VALUE"""),"CENTRO DE SALUD Nº 6 - BARRIO EL MANJON")</f>
        <v>CENTRO DE SALUD Nº 6 - BARRIO EL MANJON</v>
      </c>
      <c r="C1525" s="30" t="str">
        <f ca="1">IFERROR(__xludf.DUMMYFUNCTION("""COMPUTED_VALUE"""),"Salta")</f>
        <v>Salta</v>
      </c>
      <c r="D1525" s="30" t="str">
        <f ca="1">IFERROR(__xludf.DUMMYFUNCTION("""COMPUTED_VALUE"""),"66")</f>
        <v>66</v>
      </c>
      <c r="E1525" s="30" t="str">
        <f ca="1">IFERROR(__xludf.DUMMYFUNCTION("""COMPUTED_VALUE"""),"")</f>
        <v/>
      </c>
      <c r="F1525" s="29"/>
      <c r="G1525" s="29"/>
      <c r="H1525" s="30" t="str">
        <f ca="1">IFERROR(__xludf.DUMMYFUNCTION("""COMPUTED_VALUE"""),"activo")</f>
        <v>activo</v>
      </c>
      <c r="I1525" s="29"/>
      <c r="J1525" s="29"/>
      <c r="K1525" s="29"/>
      <c r="L1525" s="30" t="str">
        <f ca="1">IFERROR(__xludf.DUMMYFUNCTION("""COMPUTED_VALUE"""),"No")</f>
        <v>No</v>
      </c>
      <c r="M1525" s="30" t="str">
        <f ca="1">IFERROR(__xludf.DUMMYFUNCTION("""COMPUTED_VALUE"""),"66028050000")</f>
        <v>66028050000</v>
      </c>
      <c r="N1525" s="30" t="str">
        <f ca="1">IFERROR(__xludf.DUMMYFUNCTION("""COMPUTED_VALUE"""),"SALTA")</f>
        <v>SALTA</v>
      </c>
      <c r="O1525" s="30" t="str">
        <f ca="1">IFERROR(__xludf.DUMMYFUNCTION("""COMPUTED_VALUE"""),"6628")</f>
        <v>6628</v>
      </c>
      <c r="P1525" s="30" t="str">
        <f ca="1">IFERROR(__xludf.DUMMYFUNCTION("""COMPUTED_VALUE"""),"CAPITAL")</f>
        <v>CAPITAL</v>
      </c>
      <c r="Q1525" s="30" t="str">
        <f ca="1">IFERROR(__xludf.DUMMYFUNCTION("""COMPUTED_VALUE"""),"-24.8096883")</f>
        <v>-24.8096883</v>
      </c>
      <c r="R1525" s="30" t="str">
        <f ca="1">IFERROR(__xludf.DUMMYFUNCTION("""COMPUTED_VALUE"""),"-65.38191071")</f>
        <v>-65.38191071</v>
      </c>
      <c r="S1525" s="30" t="str">
        <f ca="1">IFERROR(__xludf.DUMMYFUNCTION("""COMPUTED_VALUE"""),"Provincial")</f>
        <v>Provincial</v>
      </c>
      <c r="T1525" s="30" t="str">
        <f ca="1">IFERROR(__xludf.DUMMYFUNCTION("""COMPUTED_VALUE"""),"-")</f>
        <v>-</v>
      </c>
    </row>
    <row r="1526" spans="1:20" ht="15.75" customHeight="1" x14ac:dyDescent="0.25">
      <c r="A1526" s="30" t="str">
        <f ca="1">IFERROR(__xludf.DUMMYFUNCTION("""COMPUTED_VALUE"""),"50660282173190")</f>
        <v>50660282173190</v>
      </c>
      <c r="B1526" s="30" t="str">
        <f ca="1">IFERROR(__xludf.DUMMYFUNCTION("""COMPUTED_VALUE"""),"CENTRO DE SALUD Nº 60 - BARRIO EL MIRADOR")</f>
        <v>CENTRO DE SALUD Nº 60 - BARRIO EL MIRADOR</v>
      </c>
      <c r="C1526" s="30" t="str">
        <f ca="1">IFERROR(__xludf.DUMMYFUNCTION("""COMPUTED_VALUE"""),"Salta")</f>
        <v>Salta</v>
      </c>
      <c r="D1526" s="30" t="str">
        <f ca="1">IFERROR(__xludf.DUMMYFUNCTION("""COMPUTED_VALUE"""),"66")</f>
        <v>66</v>
      </c>
      <c r="E1526" s="30" t="str">
        <f ca="1">IFERROR(__xludf.DUMMYFUNCTION("""COMPUTED_VALUE"""),"si")</f>
        <v>si</v>
      </c>
      <c r="F1526" s="29"/>
      <c r="G1526" s="29"/>
      <c r="H1526" s="30" t="str">
        <f ca="1">IFERROR(__xludf.DUMMYFUNCTION("""COMPUTED_VALUE"""),"activo")</f>
        <v>activo</v>
      </c>
      <c r="I1526" s="29"/>
      <c r="J1526" s="29"/>
      <c r="K1526" s="29"/>
      <c r="L1526" s="30" t="str">
        <f ca="1">IFERROR(__xludf.DUMMYFUNCTION("""COMPUTED_VALUE"""),"No")</f>
        <v>No</v>
      </c>
      <c r="M1526" s="30" t="str">
        <f ca="1">IFERROR(__xludf.DUMMYFUNCTION("""COMPUTED_VALUE"""),"66028050000")</f>
        <v>66028050000</v>
      </c>
      <c r="N1526" s="30" t="str">
        <f ca="1">IFERROR(__xludf.DUMMYFUNCTION("""COMPUTED_VALUE"""),"SALTA")</f>
        <v>SALTA</v>
      </c>
      <c r="O1526" s="30" t="str">
        <f ca="1">IFERROR(__xludf.DUMMYFUNCTION("""COMPUTED_VALUE"""),"6628")</f>
        <v>6628</v>
      </c>
      <c r="P1526" s="30" t="str">
        <f ca="1">IFERROR(__xludf.DUMMYFUNCTION("""COMPUTED_VALUE"""),"CAPITAL")</f>
        <v>CAPITAL</v>
      </c>
      <c r="Q1526" s="30" t="str">
        <f ca="1">IFERROR(__xludf.DUMMYFUNCTION("""COMPUTED_VALUE"""),"-24.79645116")</f>
        <v>-24.79645116</v>
      </c>
      <c r="R1526" s="30" t="str">
        <f ca="1">IFERROR(__xludf.DUMMYFUNCTION("""COMPUTED_VALUE"""),"-65.36167612")</f>
        <v>-65.36167612</v>
      </c>
      <c r="S1526" s="30" t="str">
        <f ca="1">IFERROR(__xludf.DUMMYFUNCTION("""COMPUTED_VALUE"""),"Provincial")</f>
        <v>Provincial</v>
      </c>
      <c r="T1526" s="30" t="str">
        <f ca="1">IFERROR(__xludf.DUMMYFUNCTION("""COMPUTED_VALUE"""),"-")</f>
        <v>-</v>
      </c>
    </row>
    <row r="1527" spans="1:20" ht="15.75" customHeight="1" x14ac:dyDescent="0.25">
      <c r="A1527" s="30" t="str">
        <f ca="1">IFERROR(__xludf.DUMMYFUNCTION("""COMPUTED_VALUE"""),"50660282173191")</f>
        <v>50660282173191</v>
      </c>
      <c r="B1527" s="30" t="str">
        <f ca="1">IFERROR(__xludf.DUMMYFUNCTION("""COMPUTED_VALUE"""),"CENTRO DE SALUD Nº 61 - BARRIO SOLIDARIDAD")</f>
        <v>CENTRO DE SALUD Nº 61 - BARRIO SOLIDARIDAD</v>
      </c>
      <c r="C1527" s="30" t="str">
        <f ca="1">IFERROR(__xludf.DUMMYFUNCTION("""COMPUTED_VALUE"""),"Salta")</f>
        <v>Salta</v>
      </c>
      <c r="D1527" s="30" t="str">
        <f ca="1">IFERROR(__xludf.DUMMYFUNCTION("""COMPUTED_VALUE"""),"66")</f>
        <v>66</v>
      </c>
      <c r="E1527" s="30" t="str">
        <f ca="1">IFERROR(__xludf.DUMMYFUNCTION("""COMPUTED_VALUE"""),"si")</f>
        <v>si</v>
      </c>
      <c r="F1527" s="29"/>
      <c r="G1527" s="29"/>
      <c r="H1527" s="30" t="str">
        <f ca="1">IFERROR(__xludf.DUMMYFUNCTION("""COMPUTED_VALUE"""),"activo")</f>
        <v>activo</v>
      </c>
      <c r="I1527" s="29"/>
      <c r="J1527" s="29"/>
      <c r="K1527" s="29"/>
      <c r="L1527" s="30" t="str">
        <f ca="1">IFERROR(__xludf.DUMMYFUNCTION("""COMPUTED_VALUE"""),"No")</f>
        <v>No</v>
      </c>
      <c r="M1527" s="30" t="str">
        <f ca="1">IFERROR(__xludf.DUMMYFUNCTION("""COMPUTED_VALUE"""),"66028050000")</f>
        <v>66028050000</v>
      </c>
      <c r="N1527" s="30" t="str">
        <f ca="1">IFERROR(__xludf.DUMMYFUNCTION("""COMPUTED_VALUE"""),"SALTA")</f>
        <v>SALTA</v>
      </c>
      <c r="O1527" s="30" t="str">
        <f ca="1">IFERROR(__xludf.DUMMYFUNCTION("""COMPUTED_VALUE"""),"6628")</f>
        <v>6628</v>
      </c>
      <c r="P1527" s="30" t="str">
        <f ca="1">IFERROR(__xludf.DUMMYFUNCTION("""COMPUTED_VALUE"""),"CAPITAL")</f>
        <v>CAPITAL</v>
      </c>
      <c r="Q1527" s="30" t="str">
        <f ca="1">IFERROR(__xludf.DUMMYFUNCTION("""COMPUTED_VALUE"""),"-24.84329231")</f>
        <v>-24.84329231</v>
      </c>
      <c r="R1527" s="30" t="str">
        <f ca="1">IFERROR(__xludf.DUMMYFUNCTION("""COMPUTED_VALUE"""),"-65.39696863")</f>
        <v>-65.39696863</v>
      </c>
      <c r="S1527" s="30" t="str">
        <f ca="1">IFERROR(__xludf.DUMMYFUNCTION("""COMPUTED_VALUE"""),"Provincial")</f>
        <v>Provincial</v>
      </c>
      <c r="T1527" s="30" t="str">
        <f ca="1">IFERROR(__xludf.DUMMYFUNCTION("""COMPUTED_VALUE"""),"-")</f>
        <v>-</v>
      </c>
    </row>
    <row r="1528" spans="1:20" ht="15.75" customHeight="1" x14ac:dyDescent="0.25">
      <c r="A1528" s="30" t="str">
        <f ca="1">IFERROR(__xludf.DUMMYFUNCTION("""COMPUTED_VALUE"""),"50660282173193")</f>
        <v>50660282173193</v>
      </c>
      <c r="B1528" s="30" t="str">
        <f ca="1">IFERROR(__xludf.DUMMYFUNCTION("""COMPUTED_VALUE"""),"CENTRO DE SALUD Nº 64 - BARRIO LOS CRESPONES")</f>
        <v>CENTRO DE SALUD Nº 64 - BARRIO LOS CRESPONES</v>
      </c>
      <c r="C1528" s="30" t="str">
        <f ca="1">IFERROR(__xludf.DUMMYFUNCTION("""COMPUTED_VALUE"""),"Salta")</f>
        <v>Salta</v>
      </c>
      <c r="D1528" s="30" t="str">
        <f ca="1">IFERROR(__xludf.DUMMYFUNCTION("""COMPUTED_VALUE"""),"66")</f>
        <v>66</v>
      </c>
      <c r="E1528" s="30" t="str">
        <f ca="1">IFERROR(__xludf.DUMMYFUNCTION("""COMPUTED_VALUE"""),"")</f>
        <v/>
      </c>
      <c r="F1528" s="29"/>
      <c r="G1528" s="29"/>
      <c r="H1528" s="30" t="str">
        <f ca="1">IFERROR(__xludf.DUMMYFUNCTION("""COMPUTED_VALUE"""),"activo")</f>
        <v>activo</v>
      </c>
      <c r="I1528" s="29"/>
      <c r="J1528" s="29"/>
      <c r="K1528" s="29"/>
      <c r="L1528" s="30" t="str">
        <f ca="1">IFERROR(__xludf.DUMMYFUNCTION("""COMPUTED_VALUE"""),"No")</f>
        <v>No</v>
      </c>
      <c r="M1528" s="30" t="str">
        <f ca="1">IFERROR(__xludf.DUMMYFUNCTION("""COMPUTED_VALUE"""),"66028050000")</f>
        <v>66028050000</v>
      </c>
      <c r="N1528" s="30" t="str">
        <f ca="1">IFERROR(__xludf.DUMMYFUNCTION("""COMPUTED_VALUE"""),"SALTA")</f>
        <v>SALTA</v>
      </c>
      <c r="O1528" s="30" t="str">
        <f ca="1">IFERROR(__xludf.DUMMYFUNCTION("""COMPUTED_VALUE"""),"6628")</f>
        <v>6628</v>
      </c>
      <c r="P1528" s="30" t="str">
        <f ca="1">IFERROR(__xludf.DUMMYFUNCTION("""COMPUTED_VALUE"""),"CAPITAL")</f>
        <v>CAPITAL</v>
      </c>
      <c r="Q1528" s="30" t="str">
        <f ca="1">IFERROR(__xludf.DUMMYFUNCTION("""COMPUTED_VALUE"""),"-24.86103542")</f>
        <v>-24.86103542</v>
      </c>
      <c r="R1528" s="30" t="str">
        <f ca="1">IFERROR(__xludf.DUMMYFUNCTION("""COMPUTED_VALUE"""),"-65.39864233")</f>
        <v>-65.39864233</v>
      </c>
      <c r="S1528" s="30" t="str">
        <f ca="1">IFERROR(__xludf.DUMMYFUNCTION("""COMPUTED_VALUE"""),"Provincial")</f>
        <v>Provincial</v>
      </c>
      <c r="T1528" s="30" t="str">
        <f ca="1">IFERROR(__xludf.DUMMYFUNCTION("""COMPUTED_VALUE"""),"-")</f>
        <v>-</v>
      </c>
    </row>
    <row r="1529" spans="1:20" ht="15.75" customHeight="1" x14ac:dyDescent="0.25">
      <c r="A1529" s="30" t="str">
        <f ca="1">IFERROR(__xludf.DUMMYFUNCTION("""COMPUTED_VALUE"""),"50660282173194")</f>
        <v>50660282173194</v>
      </c>
      <c r="B1529" s="30" t="str">
        <f ca="1">IFERROR(__xludf.DUMMYFUNCTION("""COMPUTED_VALUE"""),"CENTRO DE SALUD Nº 7 - VILLA 20 DE JUNIO")</f>
        <v>CENTRO DE SALUD Nº 7 - VILLA 20 DE JUNIO</v>
      </c>
      <c r="C1529" s="30" t="str">
        <f ca="1">IFERROR(__xludf.DUMMYFUNCTION("""COMPUTED_VALUE"""),"Salta")</f>
        <v>Salta</v>
      </c>
      <c r="D1529" s="30" t="str">
        <f ca="1">IFERROR(__xludf.DUMMYFUNCTION("""COMPUTED_VALUE"""),"66")</f>
        <v>66</v>
      </c>
      <c r="E1529" s="30" t="str">
        <f ca="1">IFERROR(__xludf.DUMMYFUNCTION("""COMPUTED_VALUE"""),"")</f>
        <v/>
      </c>
      <c r="F1529" s="29"/>
      <c r="G1529" s="29"/>
      <c r="H1529" s="30" t="str">
        <f ca="1">IFERROR(__xludf.DUMMYFUNCTION("""COMPUTED_VALUE"""),"activo")</f>
        <v>activo</v>
      </c>
      <c r="I1529" s="29"/>
      <c r="J1529" s="29"/>
      <c r="K1529" s="29"/>
      <c r="L1529" s="30" t="str">
        <f ca="1">IFERROR(__xludf.DUMMYFUNCTION("""COMPUTED_VALUE"""),"No")</f>
        <v>No</v>
      </c>
      <c r="M1529" s="30" t="str">
        <f ca="1">IFERROR(__xludf.DUMMYFUNCTION("""COMPUTED_VALUE"""),"66028050000")</f>
        <v>66028050000</v>
      </c>
      <c r="N1529" s="30" t="str">
        <f ca="1">IFERROR(__xludf.DUMMYFUNCTION("""COMPUTED_VALUE"""),"SALTA")</f>
        <v>SALTA</v>
      </c>
      <c r="O1529" s="30" t="str">
        <f ca="1">IFERROR(__xludf.DUMMYFUNCTION("""COMPUTED_VALUE"""),"6628")</f>
        <v>6628</v>
      </c>
      <c r="P1529" s="30" t="str">
        <f ca="1">IFERROR(__xludf.DUMMYFUNCTION("""COMPUTED_VALUE"""),"CAPITAL")</f>
        <v>CAPITAL</v>
      </c>
      <c r="Q1529" s="30" t="str">
        <f ca="1">IFERROR(__xludf.DUMMYFUNCTION("""COMPUTED_VALUE"""),"-24.81762619")</f>
        <v>-24.81762619</v>
      </c>
      <c r="R1529" s="30" t="str">
        <f ca="1">IFERROR(__xludf.DUMMYFUNCTION("""COMPUTED_VALUE"""),"-65.39157326")</f>
        <v>-65.39157326</v>
      </c>
      <c r="S1529" s="30" t="str">
        <f ca="1">IFERROR(__xludf.DUMMYFUNCTION("""COMPUTED_VALUE"""),"Provincial")</f>
        <v>Provincial</v>
      </c>
      <c r="T1529" s="30" t="str">
        <f ca="1">IFERROR(__xludf.DUMMYFUNCTION("""COMPUTED_VALUE"""),"-")</f>
        <v>-</v>
      </c>
    </row>
    <row r="1530" spans="1:20" ht="15.75" customHeight="1" x14ac:dyDescent="0.25">
      <c r="A1530" s="30" t="str">
        <f ca="1">IFERROR(__xludf.DUMMYFUNCTION("""COMPUTED_VALUE"""),"50660282173195")</f>
        <v>50660282173195</v>
      </c>
      <c r="B1530" s="30" t="str">
        <f ca="1">IFERROR(__xludf.DUMMYFUNCTION("""COMPUTED_VALUE"""),"CENTRO DE SALUD Nº 8 BARRIO EL TRIBUNO")</f>
        <v>CENTRO DE SALUD Nº 8 BARRIO EL TRIBUNO</v>
      </c>
      <c r="C1530" s="30" t="str">
        <f ca="1">IFERROR(__xludf.DUMMYFUNCTION("""COMPUTED_VALUE"""),"Salta")</f>
        <v>Salta</v>
      </c>
      <c r="D1530" s="30" t="str">
        <f ca="1">IFERROR(__xludf.DUMMYFUNCTION("""COMPUTED_VALUE"""),"66")</f>
        <v>66</v>
      </c>
      <c r="E1530" s="30" t="str">
        <f ca="1">IFERROR(__xludf.DUMMYFUNCTION("""COMPUTED_VALUE"""),"")</f>
        <v/>
      </c>
      <c r="F1530" s="29"/>
      <c r="G1530" s="29"/>
      <c r="H1530" s="30" t="str">
        <f ca="1">IFERROR(__xludf.DUMMYFUNCTION("""COMPUTED_VALUE"""),"activo")</f>
        <v>activo</v>
      </c>
      <c r="I1530" s="29"/>
      <c r="J1530" s="29"/>
      <c r="K1530" s="29"/>
      <c r="L1530" s="30" t="str">
        <f ca="1">IFERROR(__xludf.DUMMYFUNCTION("""COMPUTED_VALUE"""),"No")</f>
        <v>No</v>
      </c>
      <c r="M1530" s="30" t="str">
        <f ca="1">IFERROR(__xludf.DUMMYFUNCTION("""COMPUTED_VALUE"""),"66028050000")</f>
        <v>66028050000</v>
      </c>
      <c r="N1530" s="30" t="str">
        <f ca="1">IFERROR(__xludf.DUMMYFUNCTION("""COMPUTED_VALUE"""),"SALTA")</f>
        <v>SALTA</v>
      </c>
      <c r="O1530" s="30" t="str">
        <f ca="1">IFERROR(__xludf.DUMMYFUNCTION("""COMPUTED_VALUE"""),"6628")</f>
        <v>6628</v>
      </c>
      <c r="P1530" s="30" t="str">
        <f ca="1">IFERROR(__xludf.DUMMYFUNCTION("""COMPUTED_VALUE"""),"CAPITAL")</f>
        <v>CAPITAL</v>
      </c>
      <c r="Q1530" s="30" t="str">
        <f ca="1">IFERROR(__xludf.DUMMYFUNCTION("""COMPUTED_VALUE"""),"-24.84485825")</f>
        <v>-24.84485825</v>
      </c>
      <c r="R1530" s="30" t="str">
        <f ca="1">IFERROR(__xludf.DUMMYFUNCTION("""COMPUTED_VALUE"""),"-65.44283296")</f>
        <v>-65.44283296</v>
      </c>
      <c r="S1530" s="30" t="str">
        <f ca="1">IFERROR(__xludf.DUMMYFUNCTION("""COMPUTED_VALUE"""),"Provincial")</f>
        <v>Provincial</v>
      </c>
      <c r="T1530" s="30" t="str">
        <f ca="1">IFERROR(__xludf.DUMMYFUNCTION("""COMPUTED_VALUE"""),"-")</f>
        <v>-</v>
      </c>
    </row>
    <row r="1531" spans="1:20" ht="15.75" customHeight="1" x14ac:dyDescent="0.25">
      <c r="A1531" s="30" t="str">
        <f ca="1">IFERROR(__xludf.DUMMYFUNCTION("""COMPUTED_VALUE"""),"50660282173197")</f>
        <v>50660282173197</v>
      </c>
      <c r="B1531" s="30" t="str">
        <f ca="1">IFERROR(__xludf.DUMMYFUNCTION("""COMPUTED_VALUE"""),"CENTRO DE SALUD Nº 9 VILLA LAVALLE")</f>
        <v>CENTRO DE SALUD Nº 9 VILLA LAVALLE</v>
      </c>
      <c r="C1531" s="30" t="str">
        <f ca="1">IFERROR(__xludf.DUMMYFUNCTION("""COMPUTED_VALUE"""),"Salta")</f>
        <v>Salta</v>
      </c>
      <c r="D1531" s="30" t="str">
        <f ca="1">IFERROR(__xludf.DUMMYFUNCTION("""COMPUTED_VALUE"""),"66")</f>
        <v>66</v>
      </c>
      <c r="E1531" s="30" t="str">
        <f ca="1">IFERROR(__xludf.DUMMYFUNCTION("""COMPUTED_VALUE"""),"")</f>
        <v/>
      </c>
      <c r="F1531" s="29"/>
      <c r="G1531" s="29"/>
      <c r="H1531" s="30" t="str">
        <f ca="1">IFERROR(__xludf.DUMMYFUNCTION("""COMPUTED_VALUE"""),"activo")</f>
        <v>activo</v>
      </c>
      <c r="I1531" s="29"/>
      <c r="J1531" s="29"/>
      <c r="K1531" s="29"/>
      <c r="L1531" s="30" t="str">
        <f ca="1">IFERROR(__xludf.DUMMYFUNCTION("""COMPUTED_VALUE"""),"No")</f>
        <v>No</v>
      </c>
      <c r="M1531" s="30" t="str">
        <f ca="1">IFERROR(__xludf.DUMMYFUNCTION("""COMPUTED_VALUE"""),"66028050000")</f>
        <v>66028050000</v>
      </c>
      <c r="N1531" s="30" t="str">
        <f ca="1">IFERROR(__xludf.DUMMYFUNCTION("""COMPUTED_VALUE"""),"SALTA")</f>
        <v>SALTA</v>
      </c>
      <c r="O1531" s="30" t="str">
        <f ca="1">IFERROR(__xludf.DUMMYFUNCTION("""COMPUTED_VALUE"""),"6628")</f>
        <v>6628</v>
      </c>
      <c r="P1531" s="30" t="str">
        <f ca="1">IFERROR(__xludf.DUMMYFUNCTION("""COMPUTED_VALUE"""),"CAPITAL")</f>
        <v>CAPITAL</v>
      </c>
      <c r="Q1531" s="30" t="str">
        <f ca="1">IFERROR(__xludf.DUMMYFUNCTION("""COMPUTED_VALUE"""),"-24.81952717")</f>
        <v>-24.81952717</v>
      </c>
      <c r="R1531" s="30" t="str">
        <f ca="1">IFERROR(__xludf.DUMMYFUNCTION("""COMPUTED_VALUE"""),"-65.40639928")</f>
        <v>-65.40639928</v>
      </c>
      <c r="S1531" s="30" t="str">
        <f ca="1">IFERROR(__xludf.DUMMYFUNCTION("""COMPUTED_VALUE"""),"Provincial")</f>
        <v>Provincial</v>
      </c>
      <c r="T1531" s="30" t="str">
        <f ca="1">IFERROR(__xludf.DUMMYFUNCTION("""COMPUTED_VALUE"""),"-")</f>
        <v>-</v>
      </c>
    </row>
    <row r="1532" spans="1:20" ht="15.75" customHeight="1" x14ac:dyDescent="0.25">
      <c r="A1532" s="30" t="str">
        <f ca="1">IFERROR(__xludf.DUMMYFUNCTION("""COMPUTED_VALUE"""),"50660282173592")</f>
        <v>50660282173592</v>
      </c>
      <c r="B1532" s="30" t="str">
        <f ca="1">IFERROR(__xludf.DUMMYFUNCTION("""COMPUTED_VALUE"""),"CENTRO DE SALUD Nº 63 - LA MADRE Y EL NIÑO")</f>
        <v>CENTRO DE SALUD Nº 63 - LA MADRE Y EL NIÑO</v>
      </c>
      <c r="C1532" s="30" t="str">
        <f ca="1">IFERROR(__xludf.DUMMYFUNCTION("""COMPUTED_VALUE"""),"Salta")</f>
        <v>Salta</v>
      </c>
      <c r="D1532" s="30" t="str">
        <f ca="1">IFERROR(__xludf.DUMMYFUNCTION("""COMPUTED_VALUE"""),"66")</f>
        <v>66</v>
      </c>
      <c r="E1532" s="30" t="str">
        <f ca="1">IFERROR(__xludf.DUMMYFUNCTION("""COMPUTED_VALUE"""),"")</f>
        <v/>
      </c>
      <c r="F1532" s="29"/>
      <c r="G1532" s="29"/>
      <c r="H1532" s="30" t="str">
        <f ca="1">IFERROR(__xludf.DUMMYFUNCTION("""COMPUTED_VALUE"""),"activo")</f>
        <v>activo</v>
      </c>
      <c r="I1532" s="29"/>
      <c r="J1532" s="29"/>
      <c r="K1532" s="29"/>
      <c r="L1532" s="30" t="str">
        <f ca="1">IFERROR(__xludf.DUMMYFUNCTION("""COMPUTED_VALUE"""),"No")</f>
        <v>No</v>
      </c>
      <c r="M1532" s="30" t="str">
        <f ca="1">IFERROR(__xludf.DUMMYFUNCTION("""COMPUTED_VALUE"""),"66028050000")</f>
        <v>66028050000</v>
      </c>
      <c r="N1532" s="30" t="str">
        <f ca="1">IFERROR(__xludf.DUMMYFUNCTION("""COMPUTED_VALUE"""),"SALTA")</f>
        <v>SALTA</v>
      </c>
      <c r="O1532" s="30" t="str">
        <f ca="1">IFERROR(__xludf.DUMMYFUNCTION("""COMPUTED_VALUE"""),"6628")</f>
        <v>6628</v>
      </c>
      <c r="P1532" s="30" t="str">
        <f ca="1">IFERROR(__xludf.DUMMYFUNCTION("""COMPUTED_VALUE"""),"CAPITAL")</f>
        <v>CAPITAL</v>
      </c>
      <c r="Q1532" s="30" t="str">
        <f ca="1">IFERROR(__xludf.DUMMYFUNCTION("""COMPUTED_VALUE"""),"-24.7816272")</f>
        <v>-24.7816272</v>
      </c>
      <c r="R1532" s="30" t="str">
        <f ca="1">IFERROR(__xludf.DUMMYFUNCTION("""COMPUTED_VALUE"""),"-65.4159726")</f>
        <v>-65.4159726</v>
      </c>
      <c r="S1532" s="30" t="str">
        <f ca="1">IFERROR(__xludf.DUMMYFUNCTION("""COMPUTED_VALUE"""),"Provincial")</f>
        <v>Provincial</v>
      </c>
      <c r="T1532" s="30" t="str">
        <f ca="1">IFERROR(__xludf.DUMMYFUNCTION("""COMPUTED_VALUE"""),"-")</f>
        <v>-</v>
      </c>
    </row>
    <row r="1533" spans="1:20" ht="15.75" customHeight="1" x14ac:dyDescent="0.25">
      <c r="A1533" s="30" t="str">
        <f ca="1">IFERROR(__xludf.DUMMYFUNCTION("""COMPUTED_VALUE"""),"50660352173597")</f>
        <v>50660352173597</v>
      </c>
      <c r="B1533" s="30" t="str">
        <f ca="1">IFERROR(__xludf.DUMMYFUNCTION("""COMPUTED_VALUE"""),"CENTRO DE SALUD Nº 4  SANTA TERESITA")</f>
        <v>CENTRO DE SALUD Nº 4  SANTA TERESITA</v>
      </c>
      <c r="C1533" s="30" t="str">
        <f ca="1">IFERROR(__xludf.DUMMYFUNCTION("""COMPUTED_VALUE"""),"Salta")</f>
        <v>Salta</v>
      </c>
      <c r="D1533" s="30" t="str">
        <f ca="1">IFERROR(__xludf.DUMMYFUNCTION("""COMPUTED_VALUE"""),"66")</f>
        <v>66</v>
      </c>
      <c r="E1533" s="30" t="str">
        <f ca="1">IFERROR(__xludf.DUMMYFUNCTION("""COMPUTED_VALUE"""),"")</f>
        <v/>
      </c>
      <c r="F1533" s="29"/>
      <c r="G1533" s="29"/>
      <c r="H1533" s="30" t="str">
        <f ca="1">IFERROR(__xludf.DUMMYFUNCTION("""COMPUTED_VALUE"""),"inactivo")</f>
        <v>inactivo</v>
      </c>
      <c r="I1533" s="30" t="str">
        <f ca="1">IFERROR(__xludf.DUMMYFUNCTION("""COMPUTED_VALUE"""),"se dio de baja por pedido de la provincia mail 12/03/2020")</f>
        <v>se dio de baja por pedido de la provincia mail 12/03/2020</v>
      </c>
      <c r="J1533" s="29"/>
      <c r="K1533" s="29"/>
      <c r="L1533" s="30" t="str">
        <f ca="1">IFERROR(__xludf.DUMMYFUNCTION("""COMPUTED_VALUE"""),"No")</f>
        <v>No</v>
      </c>
      <c r="M1533" s="30" t="str">
        <f ca="1">IFERROR(__xludf.DUMMYFUNCTION("""COMPUTED_VALUE"""),"66035010000")</f>
        <v>66035010000</v>
      </c>
      <c r="N1533" s="30" t="str">
        <f ca="1">IFERROR(__xludf.DUMMYFUNCTION("""COMPUTED_VALUE"""),"CERRILLOS")</f>
        <v>CERRILLOS</v>
      </c>
      <c r="O1533" s="30" t="str">
        <f ca="1">IFERROR(__xludf.DUMMYFUNCTION("""COMPUTED_VALUE"""),"6635")</f>
        <v>6635</v>
      </c>
      <c r="P1533" s="30" t="str">
        <f ca="1">IFERROR(__xludf.DUMMYFUNCTION("""COMPUTED_VALUE"""),"CERRILLOS")</f>
        <v>CERRILLOS</v>
      </c>
      <c r="Q1533" s="30" t="str">
        <f ca="1">IFERROR(__xludf.DUMMYFUNCTION("""COMPUTED_VALUE"""),"-24.91214073")</f>
        <v>-24.91214073</v>
      </c>
      <c r="R1533" s="30" t="str">
        <f ca="1">IFERROR(__xludf.DUMMYFUNCTION("""COMPUTED_VALUE"""),"-65.50602725")</f>
        <v>-65.50602725</v>
      </c>
      <c r="S1533" s="30" t="str">
        <f ca="1">IFERROR(__xludf.DUMMYFUNCTION("""COMPUTED_VALUE"""),"Provincial")</f>
        <v>Provincial</v>
      </c>
      <c r="T1533" s="30" t="str">
        <f ca="1">IFERROR(__xludf.DUMMYFUNCTION("""COMPUTED_VALUE"""),"-")</f>
        <v>-</v>
      </c>
    </row>
    <row r="1534" spans="1:20" ht="15.75" customHeight="1" x14ac:dyDescent="0.25">
      <c r="A1534" s="30" t="str">
        <f ca="1">IFERROR(__xludf.DUMMYFUNCTION("""COMPUTED_VALUE"""),"50660282173601")</f>
        <v>50660282173601</v>
      </c>
      <c r="B1534" s="30" t="str">
        <f ca="1">IFERROR(__xludf.DUMMYFUNCTION("""COMPUTED_VALUE"""),"CENTRO DE SALUD Nº 21 VILLA PALACIOS")</f>
        <v>CENTRO DE SALUD Nº 21 VILLA PALACIOS</v>
      </c>
      <c r="C1534" s="30" t="str">
        <f ca="1">IFERROR(__xludf.DUMMYFUNCTION("""COMPUTED_VALUE"""),"Salta")</f>
        <v>Salta</v>
      </c>
      <c r="D1534" s="30" t="str">
        <f ca="1">IFERROR(__xludf.DUMMYFUNCTION("""COMPUTED_VALUE"""),"66")</f>
        <v>66</v>
      </c>
      <c r="E1534" s="30" t="str">
        <f ca="1">IFERROR(__xludf.DUMMYFUNCTION("""COMPUTED_VALUE"""),"")</f>
        <v/>
      </c>
      <c r="F1534" s="29"/>
      <c r="G1534" s="29"/>
      <c r="H1534" s="30" t="str">
        <f ca="1">IFERROR(__xludf.DUMMYFUNCTION("""COMPUTED_VALUE"""),"activo")</f>
        <v>activo</v>
      </c>
      <c r="I1534" s="30" t="str">
        <f ca="1">IFERROR(__xludf.DUMMYFUNCTION("""COMPUTED_VALUE"""),"se dio de alta por pedido de la provincia mail 12/03/2020")</f>
        <v>se dio de alta por pedido de la provincia mail 12/03/2020</v>
      </c>
      <c r="J1534" s="29"/>
      <c r="K1534" s="29"/>
      <c r="L1534" s="30" t="str">
        <f ca="1">IFERROR(__xludf.DUMMYFUNCTION("""COMPUTED_VALUE"""),"No")</f>
        <v>No</v>
      </c>
      <c r="M1534" s="30" t="str">
        <f ca="1">IFERROR(__xludf.DUMMYFUNCTION("""COMPUTED_VALUE"""),"66028050000")</f>
        <v>66028050000</v>
      </c>
      <c r="N1534" s="30" t="str">
        <f ca="1">IFERROR(__xludf.DUMMYFUNCTION("""COMPUTED_VALUE"""),"SALTA")</f>
        <v>SALTA</v>
      </c>
      <c r="O1534" s="30" t="str">
        <f ca="1">IFERROR(__xludf.DUMMYFUNCTION("""COMPUTED_VALUE"""),"6628")</f>
        <v>6628</v>
      </c>
      <c r="P1534" s="30" t="str">
        <f ca="1">IFERROR(__xludf.DUMMYFUNCTION("""COMPUTED_VALUE"""),"CAPITAL")</f>
        <v>CAPITAL</v>
      </c>
      <c r="Q1534" s="30" t="str">
        <f ca="1">IFERROR(__xludf.DUMMYFUNCTION("""COMPUTED_VALUE"""),"-24.81060976")</f>
        <v>-24.81060976</v>
      </c>
      <c r="R1534" s="30" t="str">
        <f ca="1">IFERROR(__xludf.DUMMYFUNCTION("""COMPUTED_VALUE"""),"-65.42920466")</f>
        <v>-65.42920466</v>
      </c>
      <c r="S1534" s="30" t="str">
        <f ca="1">IFERROR(__xludf.DUMMYFUNCTION("""COMPUTED_VALUE"""),"Provincial")</f>
        <v>Provincial</v>
      </c>
      <c r="T1534" s="30" t="str">
        <f ca="1">IFERROR(__xludf.DUMMYFUNCTION("""COMPUTED_VALUE"""),"-")</f>
        <v>-</v>
      </c>
    </row>
    <row r="1535" spans="1:20" ht="15.75" customHeight="1" x14ac:dyDescent="0.25">
      <c r="A1535" s="30" t="str">
        <f ca="1">IFERROR(__xludf.DUMMYFUNCTION("""COMPUTED_VALUE"""),"50660772173619")</f>
        <v>50660772173619</v>
      </c>
      <c r="B1535" s="30" t="str">
        <f ca="1">IFERROR(__xludf.DUMMYFUNCTION("""COMPUTED_VALUE"""),"CENTRO DE SALUD VAQUEROS")</f>
        <v>CENTRO DE SALUD VAQUEROS</v>
      </c>
      <c r="C1535" s="30" t="str">
        <f ca="1">IFERROR(__xludf.DUMMYFUNCTION("""COMPUTED_VALUE"""),"Salta")</f>
        <v>Salta</v>
      </c>
      <c r="D1535" s="30" t="str">
        <f ca="1">IFERROR(__xludf.DUMMYFUNCTION("""COMPUTED_VALUE"""),"66")</f>
        <v>66</v>
      </c>
      <c r="E1535" s="30" t="str">
        <f ca="1">IFERROR(__xludf.DUMMYFUNCTION("""COMPUTED_VALUE"""),"")</f>
        <v/>
      </c>
      <c r="F1535" s="29"/>
      <c r="G1535" s="29"/>
      <c r="H1535" s="30" t="str">
        <f ca="1">IFERROR(__xludf.DUMMYFUNCTION("""COMPUTED_VALUE"""),"activo")</f>
        <v>activo</v>
      </c>
      <c r="I1535" s="29"/>
      <c r="J1535" s="29"/>
      <c r="K1535" s="29"/>
      <c r="L1535" s="30" t="str">
        <f ca="1">IFERROR(__xludf.DUMMYFUNCTION("""COMPUTED_VALUE"""),"No")</f>
        <v>No</v>
      </c>
      <c r="M1535" s="30" t="str">
        <f ca="1">IFERROR(__xludf.DUMMYFUNCTION("""COMPUTED_VALUE"""),"66077020000")</f>
        <v>66077020000</v>
      </c>
      <c r="N1535" s="30" t="str">
        <f ca="1">IFERROR(__xludf.DUMMYFUNCTION("""COMPUTED_VALUE"""),"VAQUEROS")</f>
        <v>VAQUEROS</v>
      </c>
      <c r="O1535" s="30" t="str">
        <f ca="1">IFERROR(__xludf.DUMMYFUNCTION("""COMPUTED_VALUE"""),"6677")</f>
        <v>6677</v>
      </c>
      <c r="P1535" s="30" t="str">
        <f ca="1">IFERROR(__xludf.DUMMYFUNCTION("""COMPUTED_VALUE"""),"LA CALDERA")</f>
        <v>LA CALDERA</v>
      </c>
      <c r="Q1535" s="30" t="str">
        <f ca="1">IFERROR(__xludf.DUMMYFUNCTION("""COMPUTED_VALUE"""),"-24.69720959")</f>
        <v>-24.69720959</v>
      </c>
      <c r="R1535" s="30" t="str">
        <f ca="1">IFERROR(__xludf.DUMMYFUNCTION("""COMPUTED_VALUE"""),"-65.41054845")</f>
        <v>-65.41054845</v>
      </c>
      <c r="S1535" s="30" t="str">
        <f ca="1">IFERROR(__xludf.DUMMYFUNCTION("""COMPUTED_VALUE"""),"Provincial")</f>
        <v>Provincial</v>
      </c>
      <c r="T1535" s="30" t="str">
        <f ca="1">IFERROR(__xludf.DUMMYFUNCTION("""COMPUTED_VALUE"""),"-")</f>
        <v>-</v>
      </c>
    </row>
    <row r="1536" spans="1:20" ht="15.75" customHeight="1" x14ac:dyDescent="0.25">
      <c r="A1536" s="30" t="str">
        <f ca="1">IFERROR(__xludf.DUMMYFUNCTION("""COMPUTED_VALUE"""),"50661122173127")</f>
        <v>50661122173127</v>
      </c>
      <c r="B1536" s="30" t="str">
        <f ca="1">IFERROR(__xludf.DUMMYFUNCTION("""COMPUTED_VALUE"""),"CENTRO DE SALUD JOAQUIN DIAZ DE BEDOYA")</f>
        <v>CENTRO DE SALUD JOAQUIN DIAZ DE BEDOYA</v>
      </c>
      <c r="C1536" s="30" t="str">
        <f ca="1">IFERROR(__xludf.DUMMYFUNCTION("""COMPUTED_VALUE"""),"Salta")</f>
        <v>Salta</v>
      </c>
      <c r="D1536" s="30" t="str">
        <f ca="1">IFERROR(__xludf.DUMMYFUNCTION("""COMPUTED_VALUE"""),"66")</f>
        <v>66</v>
      </c>
      <c r="E1536" s="30" t="str">
        <f ca="1">IFERROR(__xludf.DUMMYFUNCTION("""COMPUTED_VALUE"""),"")</f>
        <v/>
      </c>
      <c r="F1536" s="29"/>
      <c r="G1536" s="29"/>
      <c r="H1536" s="30" t="str">
        <f ca="1">IFERROR(__xludf.DUMMYFUNCTION("""COMPUTED_VALUE"""),"activo")</f>
        <v>activo</v>
      </c>
      <c r="I1536" s="29"/>
      <c r="J1536" s="29"/>
      <c r="K1536" s="29"/>
      <c r="L1536" s="30" t="str">
        <f ca="1">IFERROR(__xludf.DUMMYFUNCTION("""COMPUTED_VALUE"""),"No")</f>
        <v>No</v>
      </c>
      <c r="M1536" s="30" t="str">
        <f ca="1">IFERROR(__xludf.DUMMYFUNCTION("""COMPUTED_VALUE"""),"66112070000")</f>
        <v>66112070000</v>
      </c>
      <c r="N1536" s="30" t="str">
        <f ca="1">IFERROR(__xludf.DUMMYFUNCTION("""COMPUTED_VALUE"""),"RIO PIEDRAS")</f>
        <v>RIO PIEDRAS</v>
      </c>
      <c r="O1536" s="30" t="str">
        <f ca="1">IFERROR(__xludf.DUMMYFUNCTION("""COMPUTED_VALUE"""),"66112")</f>
        <v>66112</v>
      </c>
      <c r="P1536" s="30" t="str">
        <f ca="1">IFERROR(__xludf.DUMMYFUNCTION("""COMPUTED_VALUE"""),"METÁN")</f>
        <v>METÁN</v>
      </c>
      <c r="Q1536" s="30" t="str">
        <f ca="1">IFERROR(__xludf.DUMMYFUNCTION("""COMPUTED_VALUE"""),"-25.31227157")</f>
        <v>-25.31227157</v>
      </c>
      <c r="R1536" s="30" t="str">
        <f ca="1">IFERROR(__xludf.DUMMYFUNCTION("""COMPUTED_VALUE"""),"-64.91141081")</f>
        <v>-64.91141081</v>
      </c>
      <c r="S1536" s="30" t="str">
        <f ca="1">IFERROR(__xludf.DUMMYFUNCTION("""COMPUTED_VALUE"""),"Provincial")</f>
        <v>Provincial</v>
      </c>
      <c r="T1536" s="30" t="str">
        <f ca="1">IFERROR(__xludf.DUMMYFUNCTION("""COMPUTED_VALUE"""),"-")</f>
        <v>-</v>
      </c>
    </row>
    <row r="1537" spans="1:20" ht="15.75" customHeight="1" x14ac:dyDescent="0.25">
      <c r="A1537" s="30" t="str">
        <f ca="1">IFERROR(__xludf.DUMMYFUNCTION("""COMPUTED_VALUE"""),"50661122173499")</f>
        <v>50661122173499</v>
      </c>
      <c r="B1537" s="30" t="str">
        <f ca="1">IFERROR(__xludf.DUMMYFUNCTION("""COMPUTED_VALUE"""),"CENTRO DE SALUD SAN CAYETANO")</f>
        <v>CENTRO DE SALUD SAN CAYETANO</v>
      </c>
      <c r="C1537" s="30" t="str">
        <f ca="1">IFERROR(__xludf.DUMMYFUNCTION("""COMPUTED_VALUE"""),"Salta")</f>
        <v>Salta</v>
      </c>
      <c r="D1537" s="30" t="str">
        <f ca="1">IFERROR(__xludf.DUMMYFUNCTION("""COMPUTED_VALUE"""),"66")</f>
        <v>66</v>
      </c>
      <c r="E1537" s="30" t="str">
        <f ca="1">IFERROR(__xludf.DUMMYFUNCTION("""COMPUTED_VALUE"""),"")</f>
        <v/>
      </c>
      <c r="F1537" s="29"/>
      <c r="G1537" s="29"/>
      <c r="H1537" s="30" t="str">
        <f ca="1">IFERROR(__xludf.DUMMYFUNCTION("""COMPUTED_VALUE"""),"activo")</f>
        <v>activo</v>
      </c>
      <c r="I1537" s="29"/>
      <c r="J1537" s="29"/>
      <c r="K1537" s="29"/>
      <c r="L1537" s="30" t="str">
        <f ca="1">IFERROR(__xludf.DUMMYFUNCTION("""COMPUTED_VALUE"""),"No")</f>
        <v>No</v>
      </c>
      <c r="M1537" s="30" t="str">
        <f ca="1">IFERROR(__xludf.DUMMYFUNCTION("""COMPUTED_VALUE"""),"66112040000")</f>
        <v>66112040000</v>
      </c>
      <c r="N1537" s="30" t="str">
        <f ca="1">IFERROR(__xludf.DUMMYFUNCTION("""COMPUTED_VALUE"""),"SAN JOSE DE METAN")</f>
        <v>SAN JOSE DE METAN</v>
      </c>
      <c r="O1537" s="30" t="str">
        <f ca="1">IFERROR(__xludf.DUMMYFUNCTION("""COMPUTED_VALUE"""),"66112")</f>
        <v>66112</v>
      </c>
      <c r="P1537" s="30" t="str">
        <f ca="1">IFERROR(__xludf.DUMMYFUNCTION("""COMPUTED_VALUE"""),"METÁN")</f>
        <v>METÁN</v>
      </c>
      <c r="Q1537" s="30" t="str">
        <f ca="1">IFERROR(__xludf.DUMMYFUNCTION("""COMPUTED_VALUE"""),"-25.50047744")</f>
        <v>-25.50047744</v>
      </c>
      <c r="R1537" s="30" t="str">
        <f ca="1">IFERROR(__xludf.DUMMYFUNCTION("""COMPUTED_VALUE"""),"-64.98288631")</f>
        <v>-64.98288631</v>
      </c>
      <c r="S1537" s="30" t="str">
        <f ca="1">IFERROR(__xludf.DUMMYFUNCTION("""COMPUTED_VALUE"""),"Provincial")</f>
        <v>Provincial</v>
      </c>
      <c r="T1537" s="30" t="str">
        <f ca="1">IFERROR(__xludf.DUMMYFUNCTION("""COMPUTED_VALUE"""),"-")</f>
        <v>-</v>
      </c>
    </row>
    <row r="1538" spans="1:20" ht="15.75" customHeight="1" x14ac:dyDescent="0.25">
      <c r="A1538" s="30" t="str">
        <f ca="1">IFERROR(__xludf.DUMMYFUNCTION("""COMPUTED_VALUE"""),"50661262173112")</f>
        <v>50661262173112</v>
      </c>
      <c r="B1538" s="30" t="str">
        <f ca="1">IFERROR(__xludf.DUMMYFUNCTION("""COMPUTED_VALUE"""),"CENTRO DE SALUD BARRIO 9 DE JULIO")</f>
        <v>CENTRO DE SALUD BARRIO 9 DE JULIO</v>
      </c>
      <c r="C1538" s="30" t="str">
        <f ca="1">IFERROR(__xludf.DUMMYFUNCTION("""COMPUTED_VALUE"""),"Salta")</f>
        <v>Salta</v>
      </c>
      <c r="D1538" s="30" t="str">
        <f ca="1">IFERROR(__xludf.DUMMYFUNCTION("""COMPUTED_VALUE"""),"66")</f>
        <v>66</v>
      </c>
      <c r="E1538" s="30" t="str">
        <f ca="1">IFERROR(__xludf.DUMMYFUNCTION("""COMPUTED_VALUE"""),"")</f>
        <v/>
      </c>
      <c r="F1538" s="29"/>
      <c r="G1538" s="29"/>
      <c r="H1538" s="30" t="str">
        <f ca="1">IFERROR(__xludf.DUMMYFUNCTION("""COMPUTED_VALUE"""),"activo")</f>
        <v>activo</v>
      </c>
      <c r="I1538" s="29"/>
      <c r="J1538" s="29"/>
      <c r="K1538" s="29"/>
      <c r="L1538" s="30" t="str">
        <f ca="1">IFERROR(__xludf.DUMMYFUNCTION("""COMPUTED_VALUE"""),"No")</f>
        <v>No</v>
      </c>
      <c r="M1538" s="30" t="str">
        <f ca="1">IFERROR(__xludf.DUMMYFUNCTION("""COMPUTED_VALUE"""),"66126070000")</f>
        <v>66126070000</v>
      </c>
      <c r="N1538" s="30" t="str">
        <f ca="1">IFERROR(__xludf.DUMMYFUNCTION("""COMPUTED_VALUE"""),"SAN RAMON DE LA NUEVA ORAN")</f>
        <v>SAN RAMON DE LA NUEVA ORAN</v>
      </c>
      <c r="O1538" s="30" t="str">
        <f ca="1">IFERROR(__xludf.DUMMYFUNCTION("""COMPUTED_VALUE"""),"66126")</f>
        <v>66126</v>
      </c>
      <c r="P1538" s="30" t="str">
        <f ca="1">IFERROR(__xludf.DUMMYFUNCTION("""COMPUTED_VALUE"""),"ORÁN")</f>
        <v>ORÁN</v>
      </c>
      <c r="Q1538" s="30" t="str">
        <f ca="1">IFERROR(__xludf.DUMMYFUNCTION("""COMPUTED_VALUE"""),"-23.1410919")</f>
        <v>-23.1410919</v>
      </c>
      <c r="R1538" s="30" t="str">
        <f ca="1">IFERROR(__xludf.DUMMYFUNCTION("""COMPUTED_VALUE"""),"-64.3091771")</f>
        <v>-64.3091771</v>
      </c>
      <c r="S1538" s="30" t="str">
        <f ca="1">IFERROR(__xludf.DUMMYFUNCTION("""COMPUTED_VALUE"""),"Provincial")</f>
        <v>Provincial</v>
      </c>
      <c r="T1538" s="30" t="str">
        <f ca="1">IFERROR(__xludf.DUMMYFUNCTION("""COMPUTED_VALUE"""),"-")</f>
        <v>-</v>
      </c>
    </row>
    <row r="1539" spans="1:20" ht="15.75" customHeight="1" x14ac:dyDescent="0.25">
      <c r="A1539" s="30" t="str">
        <f ca="1">IFERROR(__xludf.DUMMYFUNCTION("""COMPUTED_VALUE"""),"50661262173147")</f>
        <v>50661262173147</v>
      </c>
      <c r="B1539" s="30" t="str">
        <f ca="1">IFERROR(__xludf.DUMMYFUNCTION("""COMPUTED_VALUE"""),"CENTRO DE SALUD - BARRIO 200 AÑOS")</f>
        <v>CENTRO DE SALUD - BARRIO 200 AÑOS</v>
      </c>
      <c r="C1539" s="30" t="str">
        <f ca="1">IFERROR(__xludf.DUMMYFUNCTION("""COMPUTED_VALUE"""),"Salta")</f>
        <v>Salta</v>
      </c>
      <c r="D1539" s="30" t="str">
        <f ca="1">IFERROR(__xludf.DUMMYFUNCTION("""COMPUTED_VALUE"""),"66")</f>
        <v>66</v>
      </c>
      <c r="E1539" s="30" t="str">
        <f ca="1">IFERROR(__xludf.DUMMYFUNCTION("""COMPUTED_VALUE"""),"")</f>
        <v/>
      </c>
      <c r="F1539" s="29"/>
      <c r="G1539" s="29"/>
      <c r="H1539" s="30" t="str">
        <f ca="1">IFERROR(__xludf.DUMMYFUNCTION("""COMPUTED_VALUE"""),"activo")</f>
        <v>activo</v>
      </c>
      <c r="I1539" s="29"/>
      <c r="J1539" s="29"/>
      <c r="K1539" s="29"/>
      <c r="L1539" s="30" t="str">
        <f ca="1">IFERROR(__xludf.DUMMYFUNCTION("""COMPUTED_VALUE"""),"No")</f>
        <v>No</v>
      </c>
      <c r="M1539" s="30" t="str">
        <f ca="1">IFERROR(__xludf.DUMMYFUNCTION("""COMPUTED_VALUE"""),"66126070000")</f>
        <v>66126070000</v>
      </c>
      <c r="N1539" s="30" t="str">
        <f ca="1">IFERROR(__xludf.DUMMYFUNCTION("""COMPUTED_VALUE"""),"SAN RAMON DE LA NUEVA ORAN")</f>
        <v>SAN RAMON DE LA NUEVA ORAN</v>
      </c>
      <c r="O1539" s="30" t="str">
        <f ca="1">IFERROR(__xludf.DUMMYFUNCTION("""COMPUTED_VALUE"""),"66126")</f>
        <v>66126</v>
      </c>
      <c r="P1539" s="30" t="str">
        <f ca="1">IFERROR(__xludf.DUMMYFUNCTION("""COMPUTED_VALUE"""),"ORÁN")</f>
        <v>ORÁN</v>
      </c>
      <c r="Q1539" s="30" t="str">
        <f ca="1">IFERROR(__xludf.DUMMYFUNCTION("""COMPUTED_VALUE"""),"-23.11921994")</f>
        <v>-23.11921994</v>
      </c>
      <c r="R1539" s="30" t="str">
        <f ca="1">IFERROR(__xludf.DUMMYFUNCTION("""COMPUTED_VALUE"""),"-64.32819128")</f>
        <v>-64.32819128</v>
      </c>
      <c r="S1539" s="30" t="str">
        <f ca="1">IFERROR(__xludf.DUMMYFUNCTION("""COMPUTED_VALUE"""),"Provincial")</f>
        <v>Provincial</v>
      </c>
      <c r="T1539" s="30" t="str">
        <f ca="1">IFERROR(__xludf.DUMMYFUNCTION("""COMPUTED_VALUE"""),"-")</f>
        <v>-</v>
      </c>
    </row>
    <row r="1540" spans="1:20" ht="15.75" customHeight="1" x14ac:dyDescent="0.25">
      <c r="A1540" s="30" t="str">
        <f ca="1">IFERROR(__xludf.DUMMYFUNCTION("""COMPUTED_VALUE"""),"50661332173133")</f>
        <v>50661332173133</v>
      </c>
      <c r="B1540" s="30" t="str">
        <f ca="1">IFERROR(__xludf.DUMMYFUNCTION("""COMPUTED_VALUE"""),"CENTRO DE SALUD LOS BLANCOS")</f>
        <v>CENTRO DE SALUD LOS BLANCOS</v>
      </c>
      <c r="C1540" s="30" t="str">
        <f ca="1">IFERROR(__xludf.DUMMYFUNCTION("""COMPUTED_VALUE"""),"Salta")</f>
        <v>Salta</v>
      </c>
      <c r="D1540" s="30" t="str">
        <f ca="1">IFERROR(__xludf.DUMMYFUNCTION("""COMPUTED_VALUE"""),"66")</f>
        <v>66</v>
      </c>
      <c r="E1540" s="30" t="str">
        <f ca="1">IFERROR(__xludf.DUMMYFUNCTION("""COMPUTED_VALUE"""),"")</f>
        <v/>
      </c>
      <c r="F1540" s="29"/>
      <c r="G1540" s="29"/>
      <c r="H1540" s="30" t="str">
        <f ca="1">IFERROR(__xludf.DUMMYFUNCTION("""COMPUTED_VALUE"""),"inactivo")</f>
        <v>inactivo</v>
      </c>
      <c r="I1540" s="30" t="str">
        <f ca="1">IFERROR(__xludf.DUMMYFUNCTION("""COMPUTED_VALUE"""),"fuera de la circular 2")</f>
        <v>fuera de la circular 2</v>
      </c>
      <c r="J1540" s="29"/>
      <c r="K1540" s="29"/>
      <c r="L1540" s="30" t="str">
        <f ca="1">IFERROR(__xludf.DUMMYFUNCTION("""COMPUTED_VALUE"""),"No")</f>
        <v>No</v>
      </c>
      <c r="M1540" s="30" t="str">
        <f ca="1">IFERROR(__xludf.DUMMYFUNCTION("""COMPUTED_VALUE"""),"66133050000")</f>
        <v>66133050000</v>
      </c>
      <c r="N1540" s="30" t="str">
        <f ca="1">IFERROR(__xludf.DUMMYFUNCTION("""COMPUTED_VALUE"""),"LOS BLANCOS")</f>
        <v>LOS BLANCOS</v>
      </c>
      <c r="O1540" s="30" t="str">
        <f ca="1">IFERROR(__xludf.DUMMYFUNCTION("""COMPUTED_VALUE"""),"66133")</f>
        <v>66133</v>
      </c>
      <c r="P1540" s="30" t="str">
        <f ca="1">IFERROR(__xludf.DUMMYFUNCTION("""COMPUTED_VALUE"""),"RIVADAVIA")</f>
        <v>RIVADAVIA</v>
      </c>
      <c r="Q1540" s="30" t="str">
        <f ca="1">IFERROR(__xludf.DUMMYFUNCTION("""COMPUTED_VALUE"""),"-23.61153427")</f>
        <v>-23.61153427</v>
      </c>
      <c r="R1540" s="30" t="str">
        <f ca="1">IFERROR(__xludf.DUMMYFUNCTION("""COMPUTED_VALUE"""),"-62.59373009")</f>
        <v>-62.59373009</v>
      </c>
      <c r="S1540" s="30" t="str">
        <f ca="1">IFERROR(__xludf.DUMMYFUNCTION("""COMPUTED_VALUE"""),"Provincial")</f>
        <v>Provincial</v>
      </c>
      <c r="T1540" s="30" t="str">
        <f ca="1">IFERROR(__xludf.DUMMYFUNCTION("""COMPUTED_VALUE"""),"-")</f>
        <v>-</v>
      </c>
    </row>
    <row r="1541" spans="1:20" ht="15.75" customHeight="1" x14ac:dyDescent="0.25">
      <c r="A1541" s="30" t="str">
        <f ca="1">IFERROR(__xludf.DUMMYFUNCTION("""COMPUTED_VALUE"""),"50661332173408")</f>
        <v>50661332173408</v>
      </c>
      <c r="B1541" s="30" t="str">
        <f ca="1">IFERROR(__xludf.DUMMYFUNCTION("""COMPUTED_VALUE"""),"PUESTO SANITARIO LA PUNTANA")</f>
        <v>PUESTO SANITARIO LA PUNTANA</v>
      </c>
      <c r="C1541" s="30" t="str">
        <f ca="1">IFERROR(__xludf.DUMMYFUNCTION("""COMPUTED_VALUE"""),"Salta")</f>
        <v>Salta</v>
      </c>
      <c r="D1541" s="30" t="str">
        <f ca="1">IFERROR(__xludf.DUMMYFUNCTION("""COMPUTED_VALUE"""),"66")</f>
        <v>66</v>
      </c>
      <c r="E1541" s="30" t="str">
        <f ca="1">IFERROR(__xludf.DUMMYFUNCTION("""COMPUTED_VALUE"""),"si")</f>
        <v>si</v>
      </c>
      <c r="F1541" s="29"/>
      <c r="G1541" s="29"/>
      <c r="H1541" s="30" t="str">
        <f ca="1">IFERROR(__xludf.DUMMYFUNCTION("""COMPUTED_VALUE"""),"inactivo")</f>
        <v>inactivo</v>
      </c>
      <c r="I1541" s="30" t="str">
        <f ca="1">IFERROR(__xludf.DUMMYFUNCTION("""COMPUTED_VALUE"""),"fuera de la circular 2")</f>
        <v>fuera de la circular 2</v>
      </c>
      <c r="J1541" s="29"/>
      <c r="K1541" s="29"/>
      <c r="L1541" s="30" t="str">
        <f ca="1">IFERROR(__xludf.DUMMYFUNCTION("""COMPUTED_VALUE"""),"No")</f>
        <v>No</v>
      </c>
      <c r="M1541" s="30" t="str">
        <f ca="1">IFERROR(__xludf.DUMMYFUNCTION("""COMPUTED_VALUE"""),"66133100000")</f>
        <v>66133100000</v>
      </c>
      <c r="N1541" s="30" t="str">
        <f ca="1">IFERROR(__xludf.DUMMYFUNCTION("""COMPUTED_VALUE"""),"SANTA VICTORIA ESTE")</f>
        <v>SANTA VICTORIA ESTE</v>
      </c>
      <c r="O1541" s="30" t="str">
        <f ca="1">IFERROR(__xludf.DUMMYFUNCTION("""COMPUTED_VALUE"""),"66133")</f>
        <v>66133</v>
      </c>
      <c r="P1541" s="30" t="str">
        <f ca="1">IFERROR(__xludf.DUMMYFUNCTION("""COMPUTED_VALUE"""),"RIVADAVIA")</f>
        <v>RIVADAVIA</v>
      </c>
      <c r="Q1541" s="30" t="str">
        <f ca="1">IFERROR(__xludf.DUMMYFUNCTION("""COMPUTED_VALUE"""),"-22.0195676")</f>
        <v>-22.0195676</v>
      </c>
      <c r="R1541" s="30" t="str">
        <f ca="1">IFERROR(__xludf.DUMMYFUNCTION("""COMPUTED_VALUE"""),"-62.82509208")</f>
        <v>-62.82509208</v>
      </c>
      <c r="S1541" s="30" t="str">
        <f ca="1">IFERROR(__xludf.DUMMYFUNCTION("""COMPUTED_VALUE"""),"Provincial")</f>
        <v>Provincial</v>
      </c>
      <c r="T1541" s="30" t="str">
        <f ca="1">IFERROR(__xludf.DUMMYFUNCTION("""COMPUTED_VALUE"""),"-")</f>
        <v>-</v>
      </c>
    </row>
    <row r="1542" spans="1:20" ht="15.75" customHeight="1" x14ac:dyDescent="0.25">
      <c r="A1542" s="30" t="str">
        <f ca="1">IFERROR(__xludf.DUMMYFUNCTION("""COMPUTED_VALUE"""),"50661472173130")</f>
        <v>50661472173130</v>
      </c>
      <c r="B1542" s="30" t="str">
        <f ca="1">IFERROR(__xludf.DUMMYFUNCTION("""COMPUTED_VALUE"""),"CENTRO DE SALUD LA SILLETA")</f>
        <v>CENTRO DE SALUD LA SILLETA</v>
      </c>
      <c r="C1542" s="30" t="str">
        <f ca="1">IFERROR(__xludf.DUMMYFUNCTION("""COMPUTED_VALUE"""),"Salta")</f>
        <v>Salta</v>
      </c>
      <c r="D1542" s="30" t="str">
        <f ca="1">IFERROR(__xludf.DUMMYFUNCTION("""COMPUTED_VALUE"""),"66")</f>
        <v>66</v>
      </c>
      <c r="E1542" s="30" t="str">
        <f ca="1">IFERROR(__xludf.DUMMYFUNCTION("""COMPUTED_VALUE"""),"")</f>
        <v/>
      </c>
      <c r="F1542" s="29"/>
      <c r="G1542" s="29"/>
      <c r="H1542" s="30" t="str">
        <f ca="1">IFERROR(__xludf.DUMMYFUNCTION("""COMPUTED_VALUE"""),"activo")</f>
        <v>activo</v>
      </c>
      <c r="I1542" s="29"/>
      <c r="J1542" s="29"/>
      <c r="K1542" s="29"/>
      <c r="L1542" s="30" t="str">
        <f ca="1">IFERROR(__xludf.DUMMYFUNCTION("""COMPUTED_VALUE"""),"No")</f>
        <v>No</v>
      </c>
      <c r="M1542" s="30" t="str">
        <f ca="1">IFERROR(__xludf.DUMMYFUNCTION("""COMPUTED_VALUE"""),"66147020000")</f>
        <v>66147020000</v>
      </c>
      <c r="N1542" s="30" t="str">
        <f ca="1">IFERROR(__xludf.DUMMYFUNCTION("""COMPUTED_VALUE"""),"LA SILLETA")</f>
        <v>LA SILLETA</v>
      </c>
      <c r="O1542" s="30" t="str">
        <f ca="1">IFERROR(__xludf.DUMMYFUNCTION("""COMPUTED_VALUE"""),"66147")</f>
        <v>66147</v>
      </c>
      <c r="P1542" s="30" t="str">
        <f ca="1">IFERROR(__xludf.DUMMYFUNCTION("""COMPUTED_VALUE"""),"ROSARIO DE LERMA")</f>
        <v>ROSARIO DE LERMA</v>
      </c>
      <c r="Q1542" s="30" t="str">
        <f ca="1">IFERROR(__xludf.DUMMYFUNCTION("""COMPUTED_VALUE"""),"-24.8754844")</f>
        <v>-24.8754844</v>
      </c>
      <c r="R1542" s="30" t="str">
        <f ca="1">IFERROR(__xludf.DUMMYFUNCTION("""COMPUTED_VALUE"""),"-65.59057832")</f>
        <v>-65.59057832</v>
      </c>
      <c r="S1542" s="30" t="str">
        <f ca="1">IFERROR(__xludf.DUMMYFUNCTION("""COMPUTED_VALUE"""),"Provincial")</f>
        <v>Provincial</v>
      </c>
      <c r="T1542" s="30" t="str">
        <f ca="1">IFERROR(__xludf.DUMMYFUNCTION("""COMPUTED_VALUE"""),"-")</f>
        <v>-</v>
      </c>
    </row>
    <row r="1543" spans="1:20" ht="15.75" customHeight="1" x14ac:dyDescent="0.25">
      <c r="A1543" s="30" t="str">
        <f ca="1">IFERROR(__xludf.DUMMYFUNCTION("""COMPUTED_VALUE"""),"10660562173055")</f>
        <v>10660562173055</v>
      </c>
      <c r="B1543" s="30" t="str">
        <f ca="1">IFERROR(__xludf.DUMMYFUNCTION("""COMPUTED_VALUE"""),"HOSPITAL GRAL. MOSCONI")</f>
        <v>HOSPITAL GRAL. MOSCONI</v>
      </c>
      <c r="C1543" s="30" t="str">
        <f ca="1">IFERROR(__xludf.DUMMYFUNCTION("""COMPUTED_VALUE"""),"Salta")</f>
        <v>Salta</v>
      </c>
      <c r="D1543" s="30" t="str">
        <f ca="1">IFERROR(__xludf.DUMMYFUNCTION("""COMPUTED_VALUE"""),"66")</f>
        <v>66</v>
      </c>
      <c r="E1543" s="30" t="str">
        <f ca="1">IFERROR(__xludf.DUMMYFUNCTION("""COMPUTED_VALUE"""),"si")</f>
        <v>si</v>
      </c>
      <c r="F1543" s="29"/>
      <c r="G1543" s="29"/>
      <c r="H1543" s="30" t="str">
        <f ca="1">IFERROR(__xludf.DUMMYFUNCTION("""COMPUTED_VALUE"""),"activo")</f>
        <v>activo</v>
      </c>
      <c r="I1543" s="29"/>
      <c r="J1543" s="29"/>
      <c r="K1543" s="29"/>
      <c r="L1543" s="30" t="str">
        <f ca="1">IFERROR(__xludf.DUMMYFUNCTION("""COMPUTED_VALUE"""),"No")</f>
        <v>No</v>
      </c>
      <c r="M1543" s="30" t="str">
        <f ca="1">IFERROR(__xludf.DUMMYFUNCTION("""COMPUTED_VALUE"""),"66056110000")</f>
        <v>66056110000</v>
      </c>
      <c r="N1543" s="30" t="str">
        <f ca="1">IFERROR(__xludf.DUMMYFUNCTION("""COMPUTED_VALUE"""),"GENERAL MOSCONI")</f>
        <v>GENERAL MOSCONI</v>
      </c>
      <c r="O1543" s="30" t="str">
        <f ca="1">IFERROR(__xludf.DUMMYFUNCTION("""COMPUTED_VALUE"""),"6656")</f>
        <v>6656</v>
      </c>
      <c r="P1543" s="30" t="str">
        <f ca="1">IFERROR(__xludf.DUMMYFUNCTION("""COMPUTED_VALUE"""),"GRL. JOSÉ DE SAN MARTÍN")</f>
        <v>GRL. JOSÉ DE SAN MARTÍN</v>
      </c>
      <c r="Q1543" s="30" t="str">
        <f ca="1">IFERROR(__xludf.DUMMYFUNCTION("""COMPUTED_VALUE"""),"-22.59467884")</f>
        <v>-22.59467884</v>
      </c>
      <c r="R1543" s="30" t="str">
        <f ca="1">IFERROR(__xludf.DUMMYFUNCTION("""COMPUTED_VALUE"""),"-63.81146412")</f>
        <v>-63.81146412</v>
      </c>
      <c r="S1543" s="30" t="str">
        <f ca="1">IFERROR(__xludf.DUMMYFUNCTION("""COMPUTED_VALUE"""),"Provincial")</f>
        <v>Provincial</v>
      </c>
      <c r="T1543" s="30" t="str">
        <f ca="1">IFERROR(__xludf.DUMMYFUNCTION("""COMPUTED_VALUE"""),"-")</f>
        <v>-</v>
      </c>
    </row>
    <row r="1544" spans="1:20" ht="15.75" customHeight="1" x14ac:dyDescent="0.25">
      <c r="A1544" s="30" t="str">
        <f ca="1">IFERROR(__xludf.DUMMYFUNCTION("""COMPUTED_VALUE"""),"10660142173021")</f>
        <v>10660142173021</v>
      </c>
      <c r="B1544" s="30" t="str">
        <f ca="1">IFERROR(__xludf.DUMMYFUNCTION("""COMPUTED_VALUE"""),"HOSPITAL DR. ARNE HOYGAARD")</f>
        <v>HOSPITAL DR. ARNE HOYGAARD</v>
      </c>
      <c r="C1544" s="30" t="str">
        <f ca="1">IFERROR(__xludf.DUMMYFUNCTION("""COMPUTED_VALUE"""),"Salta")</f>
        <v>Salta</v>
      </c>
      <c r="D1544" s="30" t="str">
        <f ca="1">IFERROR(__xludf.DUMMYFUNCTION("""COMPUTED_VALUE"""),"66")</f>
        <v>66</v>
      </c>
      <c r="E1544" s="30" t="str">
        <f ca="1">IFERROR(__xludf.DUMMYFUNCTION("""COMPUTED_VALUE"""),"si")</f>
        <v>si</v>
      </c>
      <c r="F1544" s="29"/>
      <c r="G1544" s="29"/>
      <c r="H1544" s="30" t="str">
        <f ca="1">IFERROR(__xludf.DUMMYFUNCTION("""COMPUTED_VALUE"""),"activo")</f>
        <v>activo</v>
      </c>
      <c r="I1544" s="29"/>
      <c r="J1544" s="29"/>
      <c r="K1544" s="29"/>
      <c r="L1544" s="30" t="str">
        <f ca="1">IFERROR(__xludf.DUMMYFUNCTION("""COMPUTED_VALUE"""),"No")</f>
        <v>No</v>
      </c>
      <c r="M1544" s="30" t="str">
        <f ca="1">IFERROR(__xludf.DUMMYFUNCTION("""COMPUTED_VALUE"""),"66014010000")</f>
        <v>66014010000</v>
      </c>
      <c r="N1544" s="30" t="str">
        <f ca="1">IFERROR(__xludf.DUMMYFUNCTION("""COMPUTED_VALUE"""),"CACHI")</f>
        <v>CACHI</v>
      </c>
      <c r="O1544" s="30" t="str">
        <f ca="1">IFERROR(__xludf.DUMMYFUNCTION("""COMPUTED_VALUE"""),"6614")</f>
        <v>6614</v>
      </c>
      <c r="P1544" s="30" t="str">
        <f ca="1">IFERROR(__xludf.DUMMYFUNCTION("""COMPUTED_VALUE"""),"CACHI")</f>
        <v>CACHI</v>
      </c>
      <c r="Q1544" s="30" t="str">
        <f ca="1">IFERROR(__xludf.DUMMYFUNCTION("""COMPUTED_VALUE"""),"-25.11953121")</f>
        <v>-25.11953121</v>
      </c>
      <c r="R1544" s="30" t="str">
        <f ca="1">IFERROR(__xludf.DUMMYFUNCTION("""COMPUTED_VALUE"""),"-66.1646577")</f>
        <v>-66.1646577</v>
      </c>
      <c r="S1544" s="30" t="str">
        <f ca="1">IFERROR(__xludf.DUMMYFUNCTION("""COMPUTED_VALUE"""),"Provincial")</f>
        <v>Provincial</v>
      </c>
      <c r="T1544" s="30" t="str">
        <f ca="1">IFERROR(__xludf.DUMMYFUNCTION("""COMPUTED_VALUE"""),"-")</f>
        <v>-</v>
      </c>
    </row>
    <row r="1545" spans="1:20" ht="15.75" customHeight="1" x14ac:dyDescent="0.25">
      <c r="A1545" s="30" t="str">
        <f ca="1">IFERROR(__xludf.DUMMYFUNCTION("""COMPUTED_VALUE"""),"10660562173067")</f>
        <v>10660562173067</v>
      </c>
      <c r="B1545" s="30" t="str">
        <f ca="1">IFERROR(__xludf.DUMMYFUNCTION("""COMPUTED_VALUE"""),"HOSPITAL SAN ROQUE")</f>
        <v>HOSPITAL SAN ROQUE</v>
      </c>
      <c r="C1545" s="30" t="str">
        <f ca="1">IFERROR(__xludf.DUMMYFUNCTION("""COMPUTED_VALUE"""),"Salta")</f>
        <v>Salta</v>
      </c>
      <c r="D1545" s="30" t="str">
        <f ca="1">IFERROR(__xludf.DUMMYFUNCTION("""COMPUTED_VALUE"""),"66")</f>
        <v>66</v>
      </c>
      <c r="E1545" s="30" t="str">
        <f ca="1">IFERROR(__xludf.DUMMYFUNCTION("""COMPUTED_VALUE"""),"si")</f>
        <v>si</v>
      </c>
      <c r="F1545" s="29"/>
      <c r="G1545" s="29"/>
      <c r="H1545" s="30" t="str">
        <f ca="1">IFERROR(__xludf.DUMMYFUNCTION("""COMPUTED_VALUE"""),"activo")</f>
        <v>activo</v>
      </c>
      <c r="I1545" s="29"/>
      <c r="J1545" s="29"/>
      <c r="K1545" s="29"/>
      <c r="L1545" s="30" t="str">
        <f ca="1">IFERROR(__xludf.DUMMYFUNCTION("""COMPUTED_VALUE"""),"No")</f>
        <v>No</v>
      </c>
      <c r="M1545" s="30" t="str">
        <f ca="1">IFERROR(__xludf.DUMMYFUNCTION("""COMPUTED_VALUE"""),"66056090000")</f>
        <v>66056090000</v>
      </c>
      <c r="N1545" s="30" t="str">
        <f ca="1">IFERROR(__xludf.DUMMYFUNCTION("""COMPUTED_VALUE"""),"EMBARCACION")</f>
        <v>EMBARCACION</v>
      </c>
      <c r="O1545" s="30" t="str">
        <f ca="1">IFERROR(__xludf.DUMMYFUNCTION("""COMPUTED_VALUE"""),"6656")</f>
        <v>6656</v>
      </c>
      <c r="P1545" s="30" t="str">
        <f ca="1">IFERROR(__xludf.DUMMYFUNCTION("""COMPUTED_VALUE"""),"GRL. JOSÉ DE SAN MARTÍN")</f>
        <v>GRL. JOSÉ DE SAN MARTÍN</v>
      </c>
      <c r="Q1545" s="30" t="str">
        <f ca="1">IFERROR(__xludf.DUMMYFUNCTION("""COMPUTED_VALUE"""),"-23.20676892")</f>
        <v>-23.20676892</v>
      </c>
      <c r="R1545" s="30" t="str">
        <f ca="1">IFERROR(__xludf.DUMMYFUNCTION("""COMPUTED_VALUE"""),"-64.09773588")</f>
        <v>-64.09773588</v>
      </c>
      <c r="S1545" s="30" t="str">
        <f ca="1">IFERROR(__xludf.DUMMYFUNCTION("""COMPUTED_VALUE"""),"Provincial")</f>
        <v>Provincial</v>
      </c>
      <c r="T1545" s="30" t="str">
        <f ca="1">IFERROR(__xludf.DUMMYFUNCTION("""COMPUTED_VALUE"""),"-")</f>
        <v>-</v>
      </c>
    </row>
    <row r="1546" spans="1:20" ht="15.75" customHeight="1" x14ac:dyDescent="0.25">
      <c r="A1546" s="30" t="str">
        <f ca="1">IFERROR(__xludf.DUMMYFUNCTION("""COMPUTED_VALUE"""),"50660282173192")</f>
        <v>50660282173192</v>
      </c>
      <c r="B1546" s="30" t="str">
        <f ca="1">IFERROR(__xludf.DUMMYFUNCTION("""COMPUTED_VALUE"""),"CENTRO DE SALUD Nº 32 - VILLA SOLEDAD")</f>
        <v>CENTRO DE SALUD Nº 32 - VILLA SOLEDAD</v>
      </c>
      <c r="C1546" s="30" t="str">
        <f ca="1">IFERROR(__xludf.DUMMYFUNCTION("""COMPUTED_VALUE"""),"Salta")</f>
        <v>Salta</v>
      </c>
      <c r="D1546" s="30" t="str">
        <f ca="1">IFERROR(__xludf.DUMMYFUNCTION("""COMPUTED_VALUE"""),"66")</f>
        <v>66</v>
      </c>
      <c r="E1546" s="30" t="str">
        <f ca="1">IFERROR(__xludf.DUMMYFUNCTION("""COMPUTED_VALUE"""),"")</f>
        <v/>
      </c>
      <c r="F1546" s="29"/>
      <c r="G1546" s="29"/>
      <c r="H1546" s="30" t="str">
        <f ca="1">IFERROR(__xludf.DUMMYFUNCTION("""COMPUTED_VALUE"""),"activo")</f>
        <v>activo</v>
      </c>
      <c r="I1546" s="29"/>
      <c r="J1546" s="29"/>
      <c r="K1546" s="29"/>
      <c r="L1546" s="30" t="str">
        <f ca="1">IFERROR(__xludf.DUMMYFUNCTION("""COMPUTED_VALUE"""),"No")</f>
        <v>No</v>
      </c>
      <c r="M1546" s="30" t="str">
        <f ca="1">IFERROR(__xludf.DUMMYFUNCTION("""COMPUTED_VALUE"""),"66028050000")</f>
        <v>66028050000</v>
      </c>
      <c r="N1546" s="30" t="str">
        <f ca="1">IFERROR(__xludf.DUMMYFUNCTION("""COMPUTED_VALUE"""),"SALTA")</f>
        <v>SALTA</v>
      </c>
      <c r="O1546" s="30" t="str">
        <f ca="1">IFERROR(__xludf.DUMMYFUNCTION("""COMPUTED_VALUE"""),"6628")</f>
        <v>6628</v>
      </c>
      <c r="P1546" s="30" t="str">
        <f ca="1">IFERROR(__xludf.DUMMYFUNCTION("""COMPUTED_VALUE"""),"CAPITAL")</f>
        <v>CAPITAL</v>
      </c>
      <c r="Q1546" s="30" t="str">
        <f ca="1">IFERROR(__xludf.DUMMYFUNCTION("""COMPUTED_VALUE"""),"-24.80098309")</f>
        <v>-24.80098309</v>
      </c>
      <c r="R1546" s="30" t="str">
        <f ca="1">IFERROR(__xludf.DUMMYFUNCTION("""COMPUTED_VALUE"""),"-65.40180053")</f>
        <v>-65.40180053</v>
      </c>
      <c r="S1546" s="30" t="str">
        <f ca="1">IFERROR(__xludf.DUMMYFUNCTION("""COMPUTED_VALUE"""),"Provincial")</f>
        <v>Provincial</v>
      </c>
      <c r="T1546" s="30" t="str">
        <f ca="1">IFERROR(__xludf.DUMMYFUNCTION("""COMPUTED_VALUE"""),"-")</f>
        <v>-</v>
      </c>
    </row>
    <row r="1547" spans="1:20" ht="15.75" customHeight="1" x14ac:dyDescent="0.25">
      <c r="A1547" s="30" t="str">
        <f ca="1">IFERROR(__xludf.DUMMYFUNCTION("""COMPUTED_VALUE"""),"10660072173024")</f>
        <v>10660072173024</v>
      </c>
      <c r="B1547" s="30" t="str">
        <f ca="1">IFERROR(__xludf.DUMMYFUNCTION("""COMPUTED_VALUE"""),"HOSPITAL DR. OSCAR H. COSTAS")</f>
        <v>HOSPITAL DR. OSCAR H. COSTAS</v>
      </c>
      <c r="C1547" s="30" t="str">
        <f ca="1">IFERROR(__xludf.DUMMYFUNCTION("""COMPUTED_VALUE"""),"Salta")</f>
        <v>Salta</v>
      </c>
      <c r="D1547" s="30" t="str">
        <f ca="1">IFERROR(__xludf.DUMMYFUNCTION("""COMPUTED_VALUE"""),"66")</f>
        <v>66</v>
      </c>
      <c r="E1547" s="30" t="str">
        <f ca="1">IFERROR(__xludf.DUMMYFUNCTION("""COMPUTED_VALUE"""),"")</f>
        <v/>
      </c>
      <c r="F1547" s="29"/>
      <c r="G1547" s="29"/>
      <c r="H1547" s="30" t="str">
        <f ca="1">IFERROR(__xludf.DUMMYFUNCTION("""COMPUTED_VALUE"""),"activo")</f>
        <v>activo</v>
      </c>
      <c r="I1547" s="29"/>
      <c r="J1547" s="29"/>
      <c r="K1547" s="29"/>
      <c r="L1547" s="30" t="str">
        <f ca="1">IFERROR(__xludf.DUMMYFUNCTION("""COMPUTED_VALUE"""),"No")</f>
        <v>No</v>
      </c>
      <c r="M1547" s="30" t="str">
        <f ca="1">IFERROR(__xludf.DUMMYFUNCTION("""COMPUTED_VALUE"""),"66007090000")</f>
        <v>66007090000</v>
      </c>
      <c r="N1547" s="30" t="str">
        <f ca="1">IFERROR(__xludf.DUMMYFUNCTION("""COMPUTED_VALUE"""),"JOAQUIN V. GONZALEZ")</f>
        <v>JOAQUIN V. GONZALEZ</v>
      </c>
      <c r="O1547" s="30" t="str">
        <f ca="1">IFERROR(__xludf.DUMMYFUNCTION("""COMPUTED_VALUE"""),"667")</f>
        <v>667</v>
      </c>
      <c r="P1547" s="30" t="str">
        <f ca="1">IFERROR(__xludf.DUMMYFUNCTION("""COMPUTED_VALUE"""),"ANTA")</f>
        <v>ANTA</v>
      </c>
      <c r="Q1547" s="30" t="str">
        <f ca="1">IFERROR(__xludf.DUMMYFUNCTION("""COMPUTED_VALUE"""),"-25.11300704")</f>
        <v>-25.11300704</v>
      </c>
      <c r="R1547" s="30" t="str">
        <f ca="1">IFERROR(__xludf.DUMMYFUNCTION("""COMPUTED_VALUE"""),"-64.12397861")</f>
        <v>-64.12397861</v>
      </c>
      <c r="S1547" s="30" t="str">
        <f ca="1">IFERROR(__xludf.DUMMYFUNCTION("""COMPUTED_VALUE"""),"Provincial")</f>
        <v>Provincial</v>
      </c>
      <c r="T1547" s="30" t="str">
        <f ca="1">IFERROR(__xludf.DUMMYFUNCTION("""COMPUTED_VALUE"""),"-")</f>
        <v>-</v>
      </c>
    </row>
    <row r="1548" spans="1:20" ht="15.75" customHeight="1" x14ac:dyDescent="0.25">
      <c r="A1548" s="30" t="str">
        <f ca="1">IFERROR(__xludf.DUMMYFUNCTION("""COMPUTED_VALUE"""),"50660282173182")</f>
        <v>50660282173182</v>
      </c>
      <c r="B1548" s="30" t="str">
        <f ca="1">IFERROR(__xludf.DUMMYFUNCTION("""COMPUTED_VALUE"""),"CENTRO DE SALUD Nº 52 BARRIO SANTA CECILIA")</f>
        <v>CENTRO DE SALUD Nº 52 BARRIO SANTA CECILIA</v>
      </c>
      <c r="C1548" s="30" t="str">
        <f ca="1">IFERROR(__xludf.DUMMYFUNCTION("""COMPUTED_VALUE"""),"Salta")</f>
        <v>Salta</v>
      </c>
      <c r="D1548" s="30" t="str">
        <f ca="1">IFERROR(__xludf.DUMMYFUNCTION("""COMPUTED_VALUE"""),"66")</f>
        <v>66</v>
      </c>
      <c r="E1548" s="30" t="str">
        <f ca="1">IFERROR(__xludf.DUMMYFUNCTION("""COMPUTED_VALUE"""),"")</f>
        <v/>
      </c>
      <c r="F1548" s="29"/>
      <c r="G1548" s="29"/>
      <c r="H1548" s="30" t="str">
        <f ca="1">IFERROR(__xludf.DUMMYFUNCTION("""COMPUTED_VALUE"""),"activo")</f>
        <v>activo</v>
      </c>
      <c r="I1548" s="29"/>
      <c r="J1548" s="29"/>
      <c r="K1548" s="29"/>
      <c r="L1548" s="30" t="str">
        <f ca="1">IFERROR(__xludf.DUMMYFUNCTION("""COMPUTED_VALUE"""),"No")</f>
        <v>No</v>
      </c>
      <c r="M1548" s="30" t="str">
        <f ca="1">IFERROR(__xludf.DUMMYFUNCTION("""COMPUTED_VALUE"""),"66028050000")</f>
        <v>66028050000</v>
      </c>
      <c r="N1548" s="30" t="str">
        <f ca="1">IFERROR(__xludf.DUMMYFUNCTION("""COMPUTED_VALUE"""),"SALTA")</f>
        <v>SALTA</v>
      </c>
      <c r="O1548" s="30" t="str">
        <f ca="1">IFERROR(__xludf.DUMMYFUNCTION("""COMPUTED_VALUE"""),"6628")</f>
        <v>6628</v>
      </c>
      <c r="P1548" s="30" t="str">
        <f ca="1">IFERROR(__xludf.DUMMYFUNCTION("""COMPUTED_VALUE"""),"CAPITAL")</f>
        <v>CAPITAL</v>
      </c>
      <c r="Q1548" s="30" t="str">
        <f ca="1">IFERROR(__xludf.DUMMYFUNCTION("""COMPUTED_VALUE"""),"-24.8291487")</f>
        <v>-24.8291487</v>
      </c>
      <c r="R1548" s="30" t="str">
        <f ca="1">IFERROR(__xludf.DUMMYFUNCTION("""COMPUTED_VALUE"""),"-65.39826269")</f>
        <v>-65.39826269</v>
      </c>
      <c r="S1548" s="30" t="str">
        <f ca="1">IFERROR(__xludf.DUMMYFUNCTION("""COMPUTED_VALUE"""),"Provincial")</f>
        <v>Provincial</v>
      </c>
      <c r="T1548" s="30" t="str">
        <f ca="1">IFERROR(__xludf.DUMMYFUNCTION("""COMPUTED_VALUE"""),"-")</f>
        <v>-</v>
      </c>
    </row>
    <row r="1549" spans="1:20" ht="15.75" customHeight="1" x14ac:dyDescent="0.25">
      <c r="A1549" s="30" t="str">
        <f ca="1">IFERROR(__xludf.DUMMYFUNCTION("""COMPUTED_VALUE"""),"10661472173057")</f>
        <v>10661472173057</v>
      </c>
      <c r="B1549" s="30" t="str">
        <f ca="1">IFERROR(__xludf.DUMMYFUNCTION("""COMPUTED_VALUE"""),"HOSPITAL JOAQUIN CORBALAN")</f>
        <v>HOSPITAL JOAQUIN CORBALAN</v>
      </c>
      <c r="C1549" s="30" t="str">
        <f ca="1">IFERROR(__xludf.DUMMYFUNCTION("""COMPUTED_VALUE"""),"Salta")</f>
        <v>Salta</v>
      </c>
      <c r="D1549" s="30" t="str">
        <f ca="1">IFERROR(__xludf.DUMMYFUNCTION("""COMPUTED_VALUE"""),"66")</f>
        <v>66</v>
      </c>
      <c r="E1549" s="30" t="str">
        <f ca="1">IFERROR(__xludf.DUMMYFUNCTION("""COMPUTED_VALUE"""),"")</f>
        <v/>
      </c>
      <c r="F1549" s="29"/>
      <c r="G1549" s="29"/>
      <c r="H1549" s="30" t="str">
        <f ca="1">IFERROR(__xludf.DUMMYFUNCTION("""COMPUTED_VALUE"""),"activo")</f>
        <v>activo</v>
      </c>
      <c r="I1549" s="29"/>
      <c r="J1549" s="29"/>
      <c r="K1549" s="29"/>
      <c r="L1549" s="30" t="str">
        <f ca="1">IFERROR(__xludf.DUMMYFUNCTION("""COMPUTED_VALUE"""),"No")</f>
        <v>No</v>
      </c>
      <c r="M1549" s="30" t="str">
        <f ca="1">IFERROR(__xludf.DUMMYFUNCTION("""COMPUTED_VALUE"""),"66147030000")</f>
        <v>66147030000</v>
      </c>
      <c r="N1549" s="30" t="str">
        <f ca="1">IFERROR(__xludf.DUMMYFUNCTION("""COMPUTED_VALUE"""),"ROSARIO DE LERMA")</f>
        <v>ROSARIO DE LERMA</v>
      </c>
      <c r="O1549" s="30" t="str">
        <f ca="1">IFERROR(__xludf.DUMMYFUNCTION("""COMPUTED_VALUE"""),"66147")</f>
        <v>66147</v>
      </c>
      <c r="P1549" s="30" t="str">
        <f ca="1">IFERROR(__xludf.DUMMYFUNCTION("""COMPUTED_VALUE"""),"ROSARIO DE LERMA")</f>
        <v>ROSARIO DE LERMA</v>
      </c>
      <c r="Q1549" s="30" t="str">
        <f ca="1">IFERROR(__xludf.DUMMYFUNCTION("""COMPUTED_VALUE"""),"-24.9845209")</f>
        <v>-24.9845209</v>
      </c>
      <c r="R1549" s="30" t="str">
        <f ca="1">IFERROR(__xludf.DUMMYFUNCTION("""COMPUTED_VALUE"""),"-65.5786628")</f>
        <v>-65.5786628</v>
      </c>
      <c r="S1549" s="30" t="str">
        <f ca="1">IFERROR(__xludf.DUMMYFUNCTION("""COMPUTED_VALUE"""),"Provincial")</f>
        <v>Provincial</v>
      </c>
      <c r="T1549" s="30" t="str">
        <f ca="1">IFERROR(__xludf.DUMMYFUNCTION("""COMPUTED_VALUE"""),"-")</f>
        <v>-</v>
      </c>
    </row>
    <row r="1550" spans="1:20" ht="15.75" customHeight="1" x14ac:dyDescent="0.25">
      <c r="A1550" s="30" t="str">
        <f ca="1">IFERROR(__xludf.DUMMYFUNCTION("""COMPUTED_VALUE"""),"10660352173046")</f>
        <v>10660352173046</v>
      </c>
      <c r="B1550" s="30" t="str">
        <f ca="1">IFERROR(__xludf.DUMMYFUNCTION("""COMPUTED_VALUE"""),"HOSPITAL DR. NICOLAS LOZANO")</f>
        <v>HOSPITAL DR. NICOLAS LOZANO</v>
      </c>
      <c r="C1550" s="30" t="str">
        <f ca="1">IFERROR(__xludf.DUMMYFUNCTION("""COMPUTED_VALUE"""),"Salta")</f>
        <v>Salta</v>
      </c>
      <c r="D1550" s="30" t="str">
        <f ca="1">IFERROR(__xludf.DUMMYFUNCTION("""COMPUTED_VALUE"""),"66")</f>
        <v>66</v>
      </c>
      <c r="E1550" s="30" t="str">
        <f ca="1">IFERROR(__xludf.DUMMYFUNCTION("""COMPUTED_VALUE"""),"")</f>
        <v/>
      </c>
      <c r="F1550" s="29"/>
      <c r="G1550" s="29"/>
      <c r="H1550" s="30" t="str">
        <f ca="1">IFERROR(__xludf.DUMMYFUNCTION("""COMPUTED_VALUE"""),"activo")</f>
        <v>activo</v>
      </c>
      <c r="I1550" s="29"/>
      <c r="J1550" s="29"/>
      <c r="K1550" s="29"/>
      <c r="L1550" s="30" t="str">
        <f ca="1">IFERROR(__xludf.DUMMYFUNCTION("""COMPUTED_VALUE"""),"No")</f>
        <v>No</v>
      </c>
      <c r="M1550" s="30" t="str">
        <f ca="1">IFERROR(__xludf.DUMMYFUNCTION("""COMPUTED_VALUE"""),"66035020000")</f>
        <v>66035020000</v>
      </c>
      <c r="N1550" s="30" t="str">
        <f ca="1">IFERROR(__xludf.DUMMYFUNCTION("""COMPUTED_VALUE"""),"LA MERCED")</f>
        <v>LA MERCED</v>
      </c>
      <c r="O1550" s="30" t="str">
        <f ca="1">IFERROR(__xludf.DUMMYFUNCTION("""COMPUTED_VALUE"""),"6635")</f>
        <v>6635</v>
      </c>
      <c r="P1550" s="30" t="str">
        <f ca="1">IFERROR(__xludf.DUMMYFUNCTION("""COMPUTED_VALUE"""),"CERRILLOS")</f>
        <v>CERRILLOS</v>
      </c>
      <c r="Q1550" s="30" t="str">
        <f ca="1">IFERROR(__xludf.DUMMYFUNCTION("""COMPUTED_VALUE"""),"-24.97255765")</f>
        <v>-24.97255765</v>
      </c>
      <c r="R1550" s="30" t="str">
        <f ca="1">IFERROR(__xludf.DUMMYFUNCTION("""COMPUTED_VALUE"""),"-65.49001302")</f>
        <v>-65.49001302</v>
      </c>
      <c r="S1550" s="30" t="str">
        <f ca="1">IFERROR(__xludf.DUMMYFUNCTION("""COMPUTED_VALUE"""),"Provincial")</f>
        <v>Provincial</v>
      </c>
      <c r="T1550" s="30" t="str">
        <f ca="1">IFERROR(__xludf.DUMMYFUNCTION("""COMPUTED_VALUE"""),"-")</f>
        <v>-</v>
      </c>
    </row>
    <row r="1551" spans="1:20" ht="15.75" customHeight="1" x14ac:dyDescent="0.25">
      <c r="A1551" s="30" t="str">
        <f ca="1">IFERROR(__xludf.DUMMYFUNCTION("""COMPUTED_VALUE"""),"50660282173139")</f>
        <v>50660282173139</v>
      </c>
      <c r="B1551" s="30" t="str">
        <f ca="1">IFERROR(__xludf.DUMMYFUNCTION("""COMPUTED_VALUE"""),"CENTRO DE SALUD Nº 11 VIRGEN DE LAS LAGRIMAS")</f>
        <v>CENTRO DE SALUD Nº 11 VIRGEN DE LAS LAGRIMAS</v>
      </c>
      <c r="C1551" s="30" t="str">
        <f ca="1">IFERROR(__xludf.DUMMYFUNCTION("""COMPUTED_VALUE"""),"Salta")</f>
        <v>Salta</v>
      </c>
      <c r="D1551" s="30" t="str">
        <f ca="1">IFERROR(__xludf.DUMMYFUNCTION("""COMPUTED_VALUE"""),"66")</f>
        <v>66</v>
      </c>
      <c r="E1551" s="30" t="str">
        <f ca="1">IFERROR(__xludf.DUMMYFUNCTION("""COMPUTED_VALUE"""),"")</f>
        <v/>
      </c>
      <c r="F1551" s="29"/>
      <c r="G1551" s="29"/>
      <c r="H1551" s="30" t="str">
        <f ca="1">IFERROR(__xludf.DUMMYFUNCTION("""COMPUTED_VALUE"""),"activo")</f>
        <v>activo</v>
      </c>
      <c r="I1551" s="30" t="str">
        <f ca="1">IFERROR(__xludf.DUMMYFUNCTION("""COMPUTED_VALUE"""),"Se encontro en el CAI 2019-no figuraba en universo")</f>
        <v>Se encontro en el CAI 2019-no figuraba en universo</v>
      </c>
      <c r="J1551" s="29"/>
      <c r="K1551" s="29"/>
      <c r="L1551" s="30" t="str">
        <f ca="1">IFERROR(__xludf.DUMMYFUNCTION("""COMPUTED_VALUE"""),"No")</f>
        <v>No</v>
      </c>
      <c r="M1551" s="30" t="str">
        <f ca="1">IFERROR(__xludf.DUMMYFUNCTION("""COMPUTED_VALUE"""),"66028050000")</f>
        <v>66028050000</v>
      </c>
      <c r="N1551" s="30" t="str">
        <f ca="1">IFERROR(__xludf.DUMMYFUNCTION("""COMPUTED_VALUE"""),"SALTA")</f>
        <v>SALTA</v>
      </c>
      <c r="O1551" s="30" t="str">
        <f ca="1">IFERROR(__xludf.DUMMYFUNCTION("""COMPUTED_VALUE"""),"6628")</f>
        <v>6628</v>
      </c>
      <c r="P1551" s="30" t="str">
        <f ca="1">IFERROR(__xludf.DUMMYFUNCTION("""COMPUTED_VALUE"""),"CAPITAL")</f>
        <v>CAPITAL</v>
      </c>
      <c r="Q1551" s="30" t="str">
        <f ca="1">IFERROR(__xludf.DUMMYFUNCTION("""COMPUTED_VALUE"""),"-24.72370947")</f>
        <v>-24.72370947</v>
      </c>
      <c r="R1551" s="30" t="str">
        <f ca="1">IFERROR(__xludf.DUMMYFUNCTION("""COMPUTED_VALUE"""),"-65.40846045")</f>
        <v>-65.40846045</v>
      </c>
      <c r="S1551" s="30" t="str">
        <f ca="1">IFERROR(__xludf.DUMMYFUNCTION("""COMPUTED_VALUE"""),"Provincial")</f>
        <v>Provincial</v>
      </c>
      <c r="T1551" s="30" t="str">
        <f ca="1">IFERROR(__xludf.DUMMYFUNCTION("""COMPUTED_VALUE"""),"-")</f>
        <v>-</v>
      </c>
    </row>
    <row r="1552" spans="1:20" ht="15.75" customHeight="1" x14ac:dyDescent="0.25">
      <c r="A1552" s="30" t="str">
        <f ca="1">IFERROR(__xludf.DUMMYFUNCTION("""COMPUTED_VALUE"""),"50660282173146")</f>
        <v>50660282173146</v>
      </c>
      <c r="B1552" s="30" t="str">
        <f ca="1">IFERROR(__xludf.DUMMYFUNCTION("""COMPUTED_VALUE"""),"CENTRO DE SALUD Nº 18 - BARRIO CONSTITUCION")</f>
        <v>CENTRO DE SALUD Nº 18 - BARRIO CONSTITUCION</v>
      </c>
      <c r="C1552" s="30" t="str">
        <f ca="1">IFERROR(__xludf.DUMMYFUNCTION("""COMPUTED_VALUE"""),"Salta")</f>
        <v>Salta</v>
      </c>
      <c r="D1552" s="30" t="str">
        <f ca="1">IFERROR(__xludf.DUMMYFUNCTION("""COMPUTED_VALUE"""),"66")</f>
        <v>66</v>
      </c>
      <c r="E1552" s="30" t="str">
        <f ca="1">IFERROR(__xludf.DUMMYFUNCTION("""COMPUTED_VALUE"""),"")</f>
        <v/>
      </c>
      <c r="F1552" s="29"/>
      <c r="G1552" s="29"/>
      <c r="H1552" s="30" t="str">
        <f ca="1">IFERROR(__xludf.DUMMYFUNCTION("""COMPUTED_VALUE"""),"activo")</f>
        <v>activo</v>
      </c>
      <c r="I1552" s="30" t="str">
        <f ca="1">IFERROR(__xludf.DUMMYFUNCTION("""COMPUTED_VALUE"""),"Se encontro en el CAI 2019-no figuraba en universo")</f>
        <v>Se encontro en el CAI 2019-no figuraba en universo</v>
      </c>
      <c r="J1552" s="29"/>
      <c r="K1552" s="29"/>
      <c r="L1552" s="30" t="str">
        <f ca="1">IFERROR(__xludf.DUMMYFUNCTION("""COMPUTED_VALUE"""),"No")</f>
        <v>No</v>
      </c>
      <c r="M1552" s="30" t="str">
        <f ca="1">IFERROR(__xludf.DUMMYFUNCTION("""COMPUTED_VALUE"""),"66028050000")</f>
        <v>66028050000</v>
      </c>
      <c r="N1552" s="30" t="str">
        <f ca="1">IFERROR(__xludf.DUMMYFUNCTION("""COMPUTED_VALUE"""),"SALTA")</f>
        <v>SALTA</v>
      </c>
      <c r="O1552" s="30" t="str">
        <f ca="1">IFERROR(__xludf.DUMMYFUNCTION("""COMPUTED_VALUE"""),"6628")</f>
        <v>6628</v>
      </c>
      <c r="P1552" s="30" t="str">
        <f ca="1">IFERROR(__xludf.DUMMYFUNCTION("""COMPUTED_VALUE"""),"CAPITAL")</f>
        <v>CAPITAL</v>
      </c>
      <c r="Q1552" s="30" t="str">
        <f ca="1">IFERROR(__xludf.DUMMYFUNCTION("""COMPUTED_VALUE"""),"-24.79917012")</f>
        <v>-24.79917012</v>
      </c>
      <c r="R1552" s="30" t="str">
        <f ca="1">IFERROR(__xludf.DUMMYFUNCTION("""COMPUTED_VALUE"""),"-65.37530711")</f>
        <v>-65.37530711</v>
      </c>
      <c r="S1552" s="30" t="str">
        <f ca="1">IFERROR(__xludf.DUMMYFUNCTION("""COMPUTED_VALUE"""),"Provincial")</f>
        <v>Provincial</v>
      </c>
      <c r="T1552" s="30" t="str">
        <f ca="1">IFERROR(__xludf.DUMMYFUNCTION("""COMPUTED_VALUE"""),"-")</f>
        <v>-</v>
      </c>
    </row>
    <row r="1553" spans="1:20" ht="15.75" customHeight="1" x14ac:dyDescent="0.25">
      <c r="A1553" s="30" t="str">
        <f ca="1">IFERROR(__xludf.DUMMYFUNCTION("""COMPUTED_VALUE"""),"50660282173186")</f>
        <v>50660282173186</v>
      </c>
      <c r="B1553" s="30" t="str">
        <f ca="1">IFERROR(__xludf.DUMMYFUNCTION("""COMPUTED_VALUE"""),"CENTRO DE SALUD Nº 56 - BARRIO PALERMO")</f>
        <v>CENTRO DE SALUD Nº 56 - BARRIO PALERMO</v>
      </c>
      <c r="C1553" s="30" t="str">
        <f ca="1">IFERROR(__xludf.DUMMYFUNCTION("""COMPUTED_VALUE"""),"Salta")</f>
        <v>Salta</v>
      </c>
      <c r="D1553" s="30" t="str">
        <f ca="1">IFERROR(__xludf.DUMMYFUNCTION("""COMPUTED_VALUE"""),"66")</f>
        <v>66</v>
      </c>
      <c r="E1553" s="30" t="str">
        <f ca="1">IFERROR(__xludf.DUMMYFUNCTION("""COMPUTED_VALUE"""),"")</f>
        <v/>
      </c>
      <c r="F1553" s="29"/>
      <c r="G1553" s="29"/>
      <c r="H1553" s="30" t="str">
        <f ca="1">IFERROR(__xludf.DUMMYFUNCTION("""COMPUTED_VALUE"""),"activo")</f>
        <v>activo</v>
      </c>
      <c r="I1553" s="30" t="str">
        <f ca="1">IFERROR(__xludf.DUMMYFUNCTION("""COMPUTED_VALUE"""),"Se encontro en el CAI 2019-no figuraba en universo")</f>
        <v>Se encontro en el CAI 2019-no figuraba en universo</v>
      </c>
      <c r="J1553" s="29"/>
      <c r="K1553" s="29"/>
      <c r="L1553" s="30" t="str">
        <f ca="1">IFERROR(__xludf.DUMMYFUNCTION("""COMPUTED_VALUE"""),"No")</f>
        <v>No</v>
      </c>
      <c r="M1553" s="30" t="str">
        <f ca="1">IFERROR(__xludf.DUMMYFUNCTION("""COMPUTED_VALUE"""),"66028050000")</f>
        <v>66028050000</v>
      </c>
      <c r="N1553" s="30" t="str">
        <f ca="1">IFERROR(__xludf.DUMMYFUNCTION("""COMPUTED_VALUE"""),"SALTA")</f>
        <v>SALTA</v>
      </c>
      <c r="O1553" s="30" t="str">
        <f ca="1">IFERROR(__xludf.DUMMYFUNCTION("""COMPUTED_VALUE"""),"6628")</f>
        <v>6628</v>
      </c>
      <c r="P1553" s="30" t="str">
        <f ca="1">IFERROR(__xludf.DUMMYFUNCTION("""COMPUTED_VALUE"""),"CAPITAL")</f>
        <v>CAPITAL</v>
      </c>
      <c r="Q1553" s="30" t="str">
        <f ca="1">IFERROR(__xludf.DUMMYFUNCTION("""COMPUTED_VALUE"""),"-24.79060938")</f>
        <v>-24.79060938</v>
      </c>
      <c r="R1553" s="30" t="str">
        <f ca="1">IFERROR(__xludf.DUMMYFUNCTION("""COMPUTED_VALUE"""),"-65.461921")</f>
        <v>-65.461921</v>
      </c>
      <c r="S1553" s="30" t="str">
        <f ca="1">IFERROR(__xludf.DUMMYFUNCTION("""COMPUTED_VALUE"""),"Provincial")</f>
        <v>Provincial</v>
      </c>
      <c r="T1553" s="30" t="str">
        <f ca="1">IFERROR(__xludf.DUMMYFUNCTION("""COMPUTED_VALUE"""),"-")</f>
        <v>-</v>
      </c>
    </row>
    <row r="1554" spans="1:20" ht="15.75" customHeight="1" x14ac:dyDescent="0.25">
      <c r="A1554" s="30" t="str">
        <f ca="1">IFERROR(__xludf.DUMMYFUNCTION("""COMPUTED_VALUE"""),"10700142177013")</f>
        <v>10700142177013</v>
      </c>
      <c r="B1554" s="30" t="str">
        <f ca="1">IFERROR(__xludf.DUMMYFUNCTION("""COMPUTED_VALUE"""),"HOSPITAL DR. ALFREDO RIZO ESPARZA")</f>
        <v>HOSPITAL DR. ALFREDO RIZO ESPARZA</v>
      </c>
      <c r="C1554" s="30" t="str">
        <f ca="1">IFERROR(__xludf.DUMMYFUNCTION("""COMPUTED_VALUE"""),"San Juan")</f>
        <v>San Juan</v>
      </c>
      <c r="D1554" s="30" t="str">
        <f ca="1">IFERROR(__xludf.DUMMYFUNCTION("""COMPUTED_VALUE"""),"70")</f>
        <v>70</v>
      </c>
      <c r="E1554" s="30" t="str">
        <f ca="1">IFERROR(__xludf.DUMMYFUNCTION("""COMPUTED_VALUE"""),"")</f>
        <v/>
      </c>
      <c r="F1554" s="29"/>
      <c r="G1554" s="29"/>
      <c r="H1554" s="30" t="str">
        <f ca="1">IFERROR(__xludf.DUMMYFUNCTION("""COMPUTED_VALUE"""),"activo")</f>
        <v>activo</v>
      </c>
      <c r="I1554" s="29"/>
      <c r="J1554" s="29"/>
      <c r="K1554" s="29"/>
      <c r="L1554" s="30" t="str">
        <f ca="1">IFERROR(__xludf.DUMMYFUNCTION("""COMPUTED_VALUE"""),"No")</f>
        <v>No</v>
      </c>
      <c r="M1554" s="30" t="str">
        <f ca="1">IFERROR(__xludf.DUMMYFUNCTION("""COMPUTED_VALUE"""),"70014020001")</f>
        <v>70014020001</v>
      </c>
      <c r="N1554" s="30" t="str">
        <f ca="1">IFERROR(__xludf.DUMMYFUNCTION("""COMPUTED_VALUE"""),"VILLA EL SALVADOR")</f>
        <v>VILLA EL SALVADOR</v>
      </c>
      <c r="O1554" s="30" t="str">
        <f ca="1">IFERROR(__xludf.DUMMYFUNCTION("""COMPUTED_VALUE"""),"7014")</f>
        <v>7014</v>
      </c>
      <c r="P1554" s="30" t="str">
        <f ca="1">IFERROR(__xludf.DUMMYFUNCTION("""COMPUTED_VALUE"""),"ANGACO")</f>
        <v>ANGACO</v>
      </c>
      <c r="Q1554" s="30" t="str">
        <f ca="1">IFERROR(__xludf.DUMMYFUNCTION("""COMPUTED_VALUE"""),"-31.45136429")</f>
        <v>-31.45136429</v>
      </c>
      <c r="R1554" s="30" t="str">
        <f ca="1">IFERROR(__xludf.DUMMYFUNCTION("""COMPUTED_VALUE"""),"-68.40327144")</f>
        <v>-68.40327144</v>
      </c>
      <c r="S1554" s="30" t="str">
        <f ca="1">IFERROR(__xludf.DUMMYFUNCTION("""COMPUTED_VALUE"""),"Provincial")</f>
        <v>Provincial</v>
      </c>
      <c r="T1554" s="30" t="str">
        <f ca="1">IFERROR(__xludf.DUMMYFUNCTION("""COMPUTED_VALUE"""),"-")</f>
        <v>-</v>
      </c>
    </row>
    <row r="1555" spans="1:20" ht="15.75" customHeight="1" x14ac:dyDescent="0.25">
      <c r="A1555" s="30" t="str">
        <f ca="1">IFERROR(__xludf.DUMMYFUNCTION("""COMPUTED_VALUE"""),"50700772178253")</f>
        <v>50700772178253</v>
      </c>
      <c r="B1555" s="30" t="str">
        <f ca="1">IFERROR(__xludf.DUMMYFUNCTION("""COMPUTED_VALUE"""),"CAPS BARRIO VALLE GRANDE")</f>
        <v>CAPS BARRIO VALLE GRANDE</v>
      </c>
      <c r="C1555" s="30" t="str">
        <f ca="1">IFERROR(__xludf.DUMMYFUNCTION("""COMPUTED_VALUE"""),"San Juan")</f>
        <v>San Juan</v>
      </c>
      <c r="D1555" s="30" t="str">
        <f ca="1">IFERROR(__xludf.DUMMYFUNCTION("""COMPUTED_VALUE"""),"70")</f>
        <v>70</v>
      </c>
      <c r="E1555" s="30" t="str">
        <f ca="1">IFERROR(__xludf.DUMMYFUNCTION("""COMPUTED_VALUE"""),"")</f>
        <v/>
      </c>
      <c r="F1555" s="30" t="str">
        <f ca="1">IFERROR(__xludf.DUMMYFUNCTION("""COMPUTED_VALUE"""),"10700492177025")</f>
        <v>10700492177025</v>
      </c>
      <c r="G1555" s="29"/>
      <c r="H1555" s="30" t="str">
        <f ca="1">IFERROR(__xludf.DUMMYFUNCTION("""COMPUTED_VALUE"""),"activo")</f>
        <v>activo</v>
      </c>
      <c r="I1555" s="29"/>
      <c r="J1555" s="29"/>
      <c r="K1555" s="29"/>
      <c r="L1555" s="30" t="str">
        <f ca="1">IFERROR(__xludf.DUMMYFUNCTION("""COMPUTED_VALUE"""),"No")</f>
        <v>No</v>
      </c>
      <c r="M1555" s="30" t="str">
        <f ca="1">IFERROR(__xludf.DUMMYFUNCTION("""COMPUTED_VALUE"""),"70077010002")</f>
        <v>70077010002</v>
      </c>
      <c r="N1555" s="30" t="str">
        <f ca="1">IFERROR(__xludf.DUMMYFUNCTION("""COMPUTED_VALUE"""),"RAWSON")</f>
        <v>RAWSON</v>
      </c>
      <c r="O1555" s="30" t="str">
        <f ca="1">IFERROR(__xludf.DUMMYFUNCTION("""COMPUTED_VALUE"""),"7077")</f>
        <v>7077</v>
      </c>
      <c r="P1555" s="30" t="str">
        <f ca="1">IFERROR(__xludf.DUMMYFUNCTION("""COMPUTED_VALUE"""),"RAWSON")</f>
        <v>RAWSON</v>
      </c>
      <c r="Q1555" s="30" t="str">
        <f ca="1">IFERROR(__xludf.DUMMYFUNCTION("""COMPUTED_VALUE"""),"-31.566725")</f>
        <v>-31.566725</v>
      </c>
      <c r="R1555" s="30" t="str">
        <f ca="1">IFERROR(__xludf.DUMMYFUNCTION("""COMPUTED_VALUE"""),"-68.597852")</f>
        <v>-68.597852</v>
      </c>
      <c r="S1555" s="30" t="str">
        <f ca="1">IFERROR(__xludf.DUMMYFUNCTION("""COMPUTED_VALUE"""),"Provincial")</f>
        <v>Provincial</v>
      </c>
      <c r="T1555" s="30" t="str">
        <f ca="1">IFERROR(__xludf.DUMMYFUNCTION("""COMPUTED_VALUE"""),"-")</f>
        <v>-</v>
      </c>
    </row>
    <row r="1556" spans="1:20" ht="15.75" customHeight="1" x14ac:dyDescent="0.25">
      <c r="A1556" s="30" t="str">
        <f ca="1">IFERROR(__xludf.DUMMYFUNCTION("""COMPUTED_VALUE"""),"10700492177025")</f>
        <v>10700492177025</v>
      </c>
      <c r="B1556" s="30" t="str">
        <f ca="1">IFERROR(__xludf.DUMMYFUNCTION("""COMPUTED_VALUE"""),"HOSPITAL DR. TOMAS PERON")</f>
        <v>HOSPITAL DR. TOMAS PERON</v>
      </c>
      <c r="C1556" s="30" t="str">
        <f ca="1">IFERROR(__xludf.DUMMYFUNCTION("""COMPUTED_VALUE"""),"San Juan")</f>
        <v>San Juan</v>
      </c>
      <c r="D1556" s="30" t="str">
        <f ca="1">IFERROR(__xludf.DUMMYFUNCTION("""COMPUTED_VALUE"""),"70")</f>
        <v>70</v>
      </c>
      <c r="E1556" s="30" t="str">
        <f ca="1">IFERROR(__xludf.DUMMYFUNCTION("""COMPUTED_VALUE"""),"")</f>
        <v/>
      </c>
      <c r="F1556" s="29"/>
      <c r="G1556" s="30" t="str">
        <f ca="1">IFERROR(__xludf.DUMMYFUNCTION("""COMPUTED_VALUE"""),"50700772178253")</f>
        <v>50700772178253</v>
      </c>
      <c r="H1556" s="30" t="str">
        <f ca="1">IFERROR(__xludf.DUMMYFUNCTION("""COMPUTED_VALUE"""),"inactivo")</f>
        <v>inactivo</v>
      </c>
      <c r="I1556" s="29"/>
      <c r="J1556" s="29"/>
      <c r="K1556" s="29"/>
      <c r="L1556" s="30" t="str">
        <f ca="1">IFERROR(__xludf.DUMMYFUNCTION("""COMPUTED_VALUE"""),"No")</f>
        <v>No</v>
      </c>
      <c r="M1556" s="30" t="str">
        <f ca="1">IFERROR(__xludf.DUMMYFUNCTION("""COMPUTED_VALUE"""),"70049060000")</f>
        <v>70049060000</v>
      </c>
      <c r="N1556" s="30" t="str">
        <f ca="1">IFERROR(__xludf.DUMMYFUNCTION("""COMPUTED_VALUE"""),"RODEO")</f>
        <v>RODEO</v>
      </c>
      <c r="O1556" s="30" t="str">
        <f ca="1">IFERROR(__xludf.DUMMYFUNCTION("""COMPUTED_VALUE"""),"7049")</f>
        <v>7049</v>
      </c>
      <c r="P1556" s="30" t="str">
        <f ca="1">IFERROR(__xludf.DUMMYFUNCTION("""COMPUTED_VALUE"""),"IGLESIA")</f>
        <v>IGLESIA</v>
      </c>
      <c r="Q1556" s="30" t="str">
        <f ca="1">IFERROR(__xludf.DUMMYFUNCTION("""COMPUTED_VALUE"""),"-30.214412")</f>
        <v>-30.214412</v>
      </c>
      <c r="R1556" s="30" t="str">
        <f ca="1">IFERROR(__xludf.DUMMYFUNCTION("""COMPUTED_VALUE"""),"-69.144243")</f>
        <v>-69.144243</v>
      </c>
      <c r="S1556" s="30" t="str">
        <f ca="1">IFERROR(__xludf.DUMMYFUNCTION("""COMPUTED_VALUE"""),"Provincial")</f>
        <v>Provincial</v>
      </c>
      <c r="T1556" s="30" t="str">
        <f ca="1">IFERROR(__xludf.DUMMYFUNCTION("""COMPUTED_VALUE"""),"-")</f>
        <v>-</v>
      </c>
    </row>
    <row r="1557" spans="1:20" ht="15.75" customHeight="1" x14ac:dyDescent="0.25">
      <c r="A1557" s="30" t="str">
        <f ca="1">IFERROR(__xludf.DUMMYFUNCTION("""COMPUTED_VALUE"""),"10701052177018")</f>
        <v>10701052177018</v>
      </c>
      <c r="B1557" s="30" t="str">
        <f ca="1">IFERROR(__xludf.DUMMYFUNCTION("""COMPUTED_VALUE"""),"HOSPITAL DR. VENTURA LLOVERAS")</f>
        <v>HOSPITAL DR. VENTURA LLOVERAS</v>
      </c>
      <c r="C1557" s="30" t="str">
        <f ca="1">IFERROR(__xludf.DUMMYFUNCTION("""COMPUTED_VALUE"""),"San Juan")</f>
        <v>San Juan</v>
      </c>
      <c r="D1557" s="30" t="str">
        <f ca="1">IFERROR(__xludf.DUMMYFUNCTION("""COMPUTED_VALUE"""),"70")</f>
        <v>70</v>
      </c>
      <c r="E1557" s="30" t="str">
        <f ca="1">IFERROR(__xludf.DUMMYFUNCTION("""COMPUTED_VALUE"""),"")</f>
        <v/>
      </c>
      <c r="F1557" s="29"/>
      <c r="G1557" s="29"/>
      <c r="H1557" s="30" t="str">
        <f ca="1">IFERROR(__xludf.DUMMYFUNCTION("""COMPUTED_VALUE"""),"inactivo")</f>
        <v>inactivo</v>
      </c>
      <c r="I1557" s="29"/>
      <c r="J1557" s="29"/>
      <c r="K1557" s="29"/>
      <c r="L1557" s="30" t="str">
        <f ca="1">IFERROR(__xludf.DUMMYFUNCTION("""COMPUTED_VALUE"""),"No")</f>
        <v>No</v>
      </c>
      <c r="M1557" s="30" t="str">
        <f ca="1">IFERROR(__xludf.DUMMYFUNCTION("""COMPUTED_VALUE"""),"70105100000")</f>
        <v>70105100000</v>
      </c>
      <c r="N1557" s="30" t="str">
        <f ca="1">IFERROR(__xludf.DUMMYFUNCTION("""COMPUTED_VALUE"""),"VILLA MEDIA AGUA")</f>
        <v>VILLA MEDIA AGUA</v>
      </c>
      <c r="O1557" s="30" t="str">
        <f ca="1">IFERROR(__xludf.DUMMYFUNCTION("""COMPUTED_VALUE"""),"70105")</f>
        <v>70105</v>
      </c>
      <c r="P1557" s="30" t="str">
        <f ca="1">IFERROR(__xludf.DUMMYFUNCTION("""COMPUTED_VALUE"""),"SARMIENTO")</f>
        <v>SARMIENTO</v>
      </c>
      <c r="Q1557" s="30" t="str">
        <f ca="1">IFERROR(__xludf.DUMMYFUNCTION("""COMPUTED_VALUE"""),"-31.984833")</f>
        <v>-31.984833</v>
      </c>
      <c r="R1557" s="30" t="str">
        <f ca="1">IFERROR(__xludf.DUMMYFUNCTION("""COMPUTED_VALUE"""),"-68.4275")</f>
        <v>-68.4275</v>
      </c>
      <c r="S1557" s="30" t="str">
        <f ca="1">IFERROR(__xludf.DUMMYFUNCTION("""COMPUTED_VALUE"""),"Provincial")</f>
        <v>Provincial</v>
      </c>
      <c r="T1557" s="30" t="str">
        <f ca="1">IFERROR(__xludf.DUMMYFUNCTION("""COMPUTED_VALUE"""),"-")</f>
        <v>-</v>
      </c>
    </row>
    <row r="1558" spans="1:20" ht="15.75" customHeight="1" x14ac:dyDescent="0.25">
      <c r="A1558" s="30" t="str">
        <f ca="1">IFERROR(__xludf.DUMMYFUNCTION("""COMPUTED_VALUE"""),"10701052177022")</f>
        <v>10701052177022</v>
      </c>
      <c r="B1558" s="30" t="str">
        <f ca="1">IFERROR(__xludf.DUMMYFUNCTION("""COMPUTED_VALUE"""),"HOSPITAL LOS BERROS")</f>
        <v>HOSPITAL LOS BERROS</v>
      </c>
      <c r="C1558" s="30" t="str">
        <f ca="1">IFERROR(__xludf.DUMMYFUNCTION("""COMPUTED_VALUE"""),"San Juan")</f>
        <v>San Juan</v>
      </c>
      <c r="D1558" s="30" t="str">
        <f ca="1">IFERROR(__xludf.DUMMYFUNCTION("""COMPUTED_VALUE"""),"70")</f>
        <v>70</v>
      </c>
      <c r="E1558" s="30" t="str">
        <f ca="1">IFERROR(__xludf.DUMMYFUNCTION("""COMPUTED_VALUE"""),"")</f>
        <v/>
      </c>
      <c r="F1558" s="29"/>
      <c r="G1558" s="29"/>
      <c r="H1558" s="30" t="str">
        <f ca="1">IFERROR(__xludf.DUMMYFUNCTION("""COMPUTED_VALUE"""),"activo")</f>
        <v>activo</v>
      </c>
      <c r="I1558" s="29"/>
      <c r="J1558" s="29"/>
      <c r="K1558" s="29"/>
      <c r="L1558" s="30" t="str">
        <f ca="1">IFERROR(__xludf.DUMMYFUNCTION("""COMPUTED_VALUE"""),"No")</f>
        <v>No</v>
      </c>
      <c r="M1558" s="30" t="str">
        <f ca="1">IFERROR(__xludf.DUMMYFUNCTION("""COMPUTED_VALUE"""),"70105070000")</f>
        <v>70105070000</v>
      </c>
      <c r="N1558" s="30" t="str">
        <f ca="1">IFERROR(__xludf.DUMMYFUNCTION("""COMPUTED_VALUE"""),"LOS BERROS")</f>
        <v>LOS BERROS</v>
      </c>
      <c r="O1558" s="30" t="str">
        <f ca="1">IFERROR(__xludf.DUMMYFUNCTION("""COMPUTED_VALUE"""),"70105")</f>
        <v>70105</v>
      </c>
      <c r="P1558" s="30" t="str">
        <f ca="1">IFERROR(__xludf.DUMMYFUNCTION("""COMPUTED_VALUE"""),"SARMIENTO")</f>
        <v>SARMIENTO</v>
      </c>
      <c r="Q1558" s="30" t="str">
        <f ca="1">IFERROR(__xludf.DUMMYFUNCTION("""COMPUTED_VALUE"""),"-31.952847")</f>
        <v>-31.952847</v>
      </c>
      <c r="R1558" s="30" t="str">
        <f ca="1">IFERROR(__xludf.DUMMYFUNCTION("""COMPUTED_VALUE"""),"-68.6538")</f>
        <v>-68.6538</v>
      </c>
      <c r="S1558" s="30" t="str">
        <f ca="1">IFERROR(__xludf.DUMMYFUNCTION("""COMPUTED_VALUE"""),"Provincial")</f>
        <v>Provincial</v>
      </c>
      <c r="T1558" s="30" t="str">
        <f ca="1">IFERROR(__xludf.DUMMYFUNCTION("""COMPUTED_VALUE"""),"-")</f>
        <v>-</v>
      </c>
    </row>
    <row r="1559" spans="1:20" ht="15.75" customHeight="1" x14ac:dyDescent="0.25">
      <c r="A1559" s="30" t="str">
        <f ca="1">IFERROR(__xludf.DUMMYFUNCTION("""COMPUTED_VALUE"""),"50700772178037")</f>
        <v>50700772178037</v>
      </c>
      <c r="B1559" s="30" t="str">
        <f ca="1">IFERROR(__xludf.DUMMYFUNCTION("""COMPUTED_VALUE"""),"CAPS BARRIO RIO BLANCO")</f>
        <v>CAPS BARRIO RIO BLANCO</v>
      </c>
      <c r="C1559" s="30" t="str">
        <f ca="1">IFERROR(__xludf.DUMMYFUNCTION("""COMPUTED_VALUE"""),"San Juan")</f>
        <v>San Juan</v>
      </c>
      <c r="D1559" s="30" t="str">
        <f ca="1">IFERROR(__xludf.DUMMYFUNCTION("""COMPUTED_VALUE"""),"70")</f>
        <v>70</v>
      </c>
      <c r="E1559" s="30" t="str">
        <f ca="1">IFERROR(__xludf.DUMMYFUNCTION("""COMPUTED_VALUE"""),"")</f>
        <v/>
      </c>
      <c r="F1559" s="30" t="str">
        <f ca="1">IFERROR(__xludf.DUMMYFUNCTION("""COMPUTED_VALUE"""),"10700562177024")</f>
        <v>10700562177024</v>
      </c>
      <c r="G1559" s="29"/>
      <c r="H1559" s="30" t="str">
        <f ca="1">IFERROR(__xludf.DUMMYFUNCTION("""COMPUTED_VALUE"""),"activo")</f>
        <v>activo</v>
      </c>
      <c r="I1559" s="29"/>
      <c r="J1559" s="29"/>
      <c r="K1559" s="29"/>
      <c r="L1559" s="30" t="str">
        <f ca="1">IFERROR(__xludf.DUMMYFUNCTION("""COMPUTED_VALUE"""),"No")</f>
        <v>No</v>
      </c>
      <c r="M1559" s="30" t="str">
        <f ca="1">IFERROR(__xludf.DUMMYFUNCTION("""COMPUTED_VALUE"""),"70077010002")</f>
        <v>70077010002</v>
      </c>
      <c r="N1559" s="30" t="str">
        <f ca="1">IFERROR(__xludf.DUMMYFUNCTION("""COMPUTED_VALUE"""),"RAWSON")</f>
        <v>RAWSON</v>
      </c>
      <c r="O1559" s="30" t="str">
        <f ca="1">IFERROR(__xludf.DUMMYFUNCTION("""COMPUTED_VALUE"""),"7077")</f>
        <v>7077</v>
      </c>
      <c r="P1559" s="30" t="str">
        <f ca="1">IFERROR(__xludf.DUMMYFUNCTION("""COMPUTED_VALUE"""),"RAWSON")</f>
        <v>RAWSON</v>
      </c>
      <c r="Q1559" s="30" t="str">
        <f ca="1">IFERROR(__xludf.DUMMYFUNCTION("""COMPUTED_VALUE"""),"-31.568222")</f>
        <v>-31.568222</v>
      </c>
      <c r="R1559" s="30" t="str">
        <f ca="1">IFERROR(__xludf.DUMMYFUNCTION("""COMPUTED_VALUE"""),"-68.5805")</f>
        <v>-68.5805</v>
      </c>
      <c r="S1559" s="30" t="str">
        <f ca="1">IFERROR(__xludf.DUMMYFUNCTION("""COMPUTED_VALUE"""),"Provincial")</f>
        <v>Provincial</v>
      </c>
      <c r="T1559" s="30" t="str">
        <f ca="1">IFERROR(__xludf.DUMMYFUNCTION("""COMPUTED_VALUE"""),"-")</f>
        <v>-</v>
      </c>
    </row>
    <row r="1560" spans="1:20" ht="15.75" customHeight="1" x14ac:dyDescent="0.25">
      <c r="A1560" s="30" t="str">
        <f ca="1">IFERROR(__xludf.DUMMYFUNCTION("""COMPUTED_VALUE"""),"10700562177024")</f>
        <v>10700562177024</v>
      </c>
      <c r="B1560" s="30" t="str">
        <f ca="1">IFERROR(__xludf.DUMMYFUNCTION("""COMPUTED_VALUE"""),"HOSPITAL SAN ROQUE")</f>
        <v>HOSPITAL SAN ROQUE</v>
      </c>
      <c r="C1560" s="30" t="str">
        <f ca="1">IFERROR(__xludf.DUMMYFUNCTION("""COMPUTED_VALUE"""),"San Juan")</f>
        <v>San Juan</v>
      </c>
      <c r="D1560" s="30" t="str">
        <f ca="1">IFERROR(__xludf.DUMMYFUNCTION("""COMPUTED_VALUE"""),"70")</f>
        <v>70</v>
      </c>
      <c r="E1560" s="30" t="str">
        <f ca="1">IFERROR(__xludf.DUMMYFUNCTION("""COMPUTED_VALUE"""),"")</f>
        <v/>
      </c>
      <c r="F1560" s="29"/>
      <c r="G1560" s="30" t="str">
        <f ca="1">IFERROR(__xludf.DUMMYFUNCTION("""COMPUTED_VALUE"""),"50700772178037")</f>
        <v>50700772178037</v>
      </c>
      <c r="H1560" s="30" t="str">
        <f ca="1">IFERROR(__xludf.DUMMYFUNCTION("""COMPUTED_VALUE"""),"inactivo")</f>
        <v>inactivo</v>
      </c>
      <c r="I1560" s="29"/>
      <c r="J1560" s="29"/>
      <c r="K1560" s="29"/>
      <c r="L1560" s="30" t="str">
        <f ca="1">IFERROR(__xludf.DUMMYFUNCTION("""COMPUTED_VALUE"""),"No")</f>
        <v>No</v>
      </c>
      <c r="M1560" s="30" t="str">
        <f ca="1">IFERROR(__xludf.DUMMYFUNCTION("""COMPUTED_VALUE"""),"70056080000")</f>
        <v>70056080000</v>
      </c>
      <c r="N1560" s="30" t="str">
        <f ca="1">IFERROR(__xludf.DUMMYFUNCTION("""COMPUTED_VALUE"""),"SAN JOSE DE JACHAL")</f>
        <v>SAN JOSE DE JACHAL</v>
      </c>
      <c r="O1560" s="30" t="str">
        <f ca="1">IFERROR(__xludf.DUMMYFUNCTION("""COMPUTED_VALUE"""),"7056")</f>
        <v>7056</v>
      </c>
      <c r="P1560" s="30" t="str">
        <f ca="1">IFERROR(__xludf.DUMMYFUNCTION("""COMPUTED_VALUE"""),"JÁCHAL")</f>
        <v>JÁCHAL</v>
      </c>
      <c r="Q1560" s="30" t="str">
        <f ca="1">IFERROR(__xludf.DUMMYFUNCTION("""COMPUTED_VALUE"""),"-30.236303")</f>
        <v>-30.236303</v>
      </c>
      <c r="R1560" s="30" t="str">
        <f ca="1">IFERROR(__xludf.DUMMYFUNCTION("""COMPUTED_VALUE"""),"-68.748526")</f>
        <v>-68.748526</v>
      </c>
      <c r="S1560" s="30" t="str">
        <f ca="1">IFERROR(__xludf.DUMMYFUNCTION("""COMPUTED_VALUE"""),"Provincial")</f>
        <v>Provincial</v>
      </c>
      <c r="T1560" s="30" t="str">
        <f ca="1">IFERROR(__xludf.DUMMYFUNCTION("""COMPUTED_VALUE"""),"-")</f>
        <v>-</v>
      </c>
    </row>
    <row r="1561" spans="1:20" ht="15.75" customHeight="1" x14ac:dyDescent="0.25">
      <c r="A1561" s="30" t="str">
        <f ca="1">IFERROR(__xludf.DUMMYFUNCTION("""COMPUTED_VALUE"""),"50700142177096")</f>
        <v>50700142177096</v>
      </c>
      <c r="B1561" s="30" t="str">
        <f ca="1">IFERROR(__xludf.DUMMYFUNCTION("""COMPUTED_VALUE"""),"CAPS CAMPO DE BATALLA")</f>
        <v>CAPS CAMPO DE BATALLA</v>
      </c>
      <c r="C1561" s="30" t="str">
        <f ca="1">IFERROR(__xludf.DUMMYFUNCTION("""COMPUTED_VALUE"""),"San Juan")</f>
        <v>San Juan</v>
      </c>
      <c r="D1561" s="30" t="str">
        <f ca="1">IFERROR(__xludf.DUMMYFUNCTION("""COMPUTED_VALUE"""),"70")</f>
        <v>70</v>
      </c>
      <c r="E1561" s="30" t="str">
        <f ca="1">IFERROR(__xludf.DUMMYFUNCTION("""COMPUTED_VALUE"""),"")</f>
        <v/>
      </c>
      <c r="F1561" s="30" t="str">
        <f ca="1">IFERROR(__xludf.DUMMYFUNCTION("""COMPUTED_VALUE"""),"50700282177076")</f>
        <v>50700282177076</v>
      </c>
      <c r="G1561" s="29"/>
      <c r="H1561" s="30" t="str">
        <f ca="1">IFERROR(__xludf.DUMMYFUNCTION("""COMPUTED_VALUE"""),"activo")</f>
        <v>activo</v>
      </c>
      <c r="I1561" s="29"/>
      <c r="J1561" s="29"/>
      <c r="K1561" s="29"/>
      <c r="L1561" s="30" t="str">
        <f ca="1">IFERROR(__xludf.DUMMYFUNCTION("""COMPUTED_VALUE"""),"No")</f>
        <v>No</v>
      </c>
      <c r="M1561" s="30" t="str">
        <f ca="1">IFERROR(__xludf.DUMMYFUNCTION("""COMPUTED_VALUE"""),"70014020001")</f>
        <v>70014020001</v>
      </c>
      <c r="N1561" s="30" t="str">
        <f ca="1">IFERROR(__xludf.DUMMYFUNCTION("""COMPUTED_VALUE"""),"VILLA EL SALVADOR")</f>
        <v>VILLA EL SALVADOR</v>
      </c>
      <c r="O1561" s="30" t="str">
        <f ca="1">IFERROR(__xludf.DUMMYFUNCTION("""COMPUTED_VALUE"""),"7014")</f>
        <v>7014</v>
      </c>
      <c r="P1561" s="30" t="str">
        <f ca="1">IFERROR(__xludf.DUMMYFUNCTION("""COMPUTED_VALUE"""),"ANGACO")</f>
        <v>ANGACO</v>
      </c>
      <c r="Q1561" s="30" t="str">
        <f ca="1">IFERROR(__xludf.DUMMYFUNCTION("""COMPUTED_VALUE"""),"-31.42282217")</f>
        <v>-31.42282217</v>
      </c>
      <c r="R1561" s="30" t="str">
        <f ca="1">IFERROR(__xludf.DUMMYFUNCTION("""COMPUTED_VALUE"""),"-68.4404254")</f>
        <v>-68.4404254</v>
      </c>
      <c r="S1561" s="30" t="str">
        <f ca="1">IFERROR(__xludf.DUMMYFUNCTION("""COMPUTED_VALUE"""),"Provincial")</f>
        <v>Provincial</v>
      </c>
      <c r="T1561" s="30" t="str">
        <f ca="1">IFERROR(__xludf.DUMMYFUNCTION("""COMPUTED_VALUE"""),"-")</f>
        <v>-</v>
      </c>
    </row>
    <row r="1562" spans="1:20" ht="15.75" customHeight="1" x14ac:dyDescent="0.25">
      <c r="A1562" s="30" t="str">
        <f ca="1">IFERROR(__xludf.DUMMYFUNCTION("""COMPUTED_VALUE"""),"50700282177076")</f>
        <v>50700282177076</v>
      </c>
      <c r="B1562" s="30" t="str">
        <f ca="1">IFERROR(__xludf.DUMMYFUNCTION("""COMPUTED_VALUE"""),"CAPS DR. ALFONSO BARASSI")</f>
        <v>CAPS DR. ALFONSO BARASSI</v>
      </c>
      <c r="C1562" s="30" t="str">
        <f ca="1">IFERROR(__xludf.DUMMYFUNCTION("""COMPUTED_VALUE"""),"San Juan")</f>
        <v>San Juan</v>
      </c>
      <c r="D1562" s="30" t="str">
        <f ca="1">IFERROR(__xludf.DUMMYFUNCTION("""COMPUTED_VALUE"""),"70")</f>
        <v>70</v>
      </c>
      <c r="E1562" s="30" t="str">
        <f ca="1">IFERROR(__xludf.DUMMYFUNCTION("""COMPUTED_VALUE"""),"")</f>
        <v/>
      </c>
      <c r="F1562" s="29"/>
      <c r="G1562" s="30" t="str">
        <f ca="1">IFERROR(__xludf.DUMMYFUNCTION("""COMPUTED_VALUE"""),"50700142177096")</f>
        <v>50700142177096</v>
      </c>
      <c r="H1562" s="30" t="str">
        <f ca="1">IFERROR(__xludf.DUMMYFUNCTION("""COMPUTED_VALUE"""),"inactivo")</f>
        <v>inactivo</v>
      </c>
      <c r="I1562" s="29"/>
      <c r="J1562" s="29"/>
      <c r="K1562" s="29"/>
      <c r="L1562" s="30" t="str">
        <f ca="1">IFERROR(__xludf.DUMMYFUNCTION("""COMPUTED_VALUE"""),"No")</f>
        <v>No</v>
      </c>
      <c r="M1562" s="30" t="str">
        <f ca="1">IFERROR(__xludf.DUMMYFUNCTION("""COMPUTED_VALUE"""),"70028010000")</f>
        <v>70028010000</v>
      </c>
      <c r="N1562" s="30" t="str">
        <f ca="1">IFERROR(__xludf.DUMMYFUNCTION("""COMPUTED_VALUE"""),"SAN JUAN")</f>
        <v>SAN JUAN</v>
      </c>
      <c r="O1562" s="30" t="str">
        <f ca="1">IFERROR(__xludf.DUMMYFUNCTION("""COMPUTED_VALUE"""),"7028")</f>
        <v>7028</v>
      </c>
      <c r="P1562" s="30" t="str">
        <f ca="1">IFERROR(__xludf.DUMMYFUNCTION("""COMPUTED_VALUE"""),"CAPITAL")</f>
        <v>CAPITAL</v>
      </c>
      <c r="Q1562" s="30" t="str">
        <f ca="1">IFERROR(__xludf.DUMMYFUNCTION("""COMPUTED_VALUE"""),"-31.522096")</f>
        <v>-31.522096</v>
      </c>
      <c r="R1562" s="30" t="str">
        <f ca="1">IFERROR(__xludf.DUMMYFUNCTION("""COMPUTED_VALUE"""),"-68.548921")</f>
        <v>-68.548921</v>
      </c>
      <c r="S1562" s="30" t="str">
        <f ca="1">IFERROR(__xludf.DUMMYFUNCTION("""COMPUTED_VALUE"""),"Provincial")</f>
        <v>Provincial</v>
      </c>
      <c r="T1562" s="30" t="str">
        <f ca="1">IFERROR(__xludf.DUMMYFUNCTION("""COMPUTED_VALUE"""),"-")</f>
        <v>-</v>
      </c>
    </row>
    <row r="1563" spans="1:20" ht="15.75" customHeight="1" x14ac:dyDescent="0.25">
      <c r="A1563" s="30" t="str">
        <f ca="1">IFERROR(__xludf.DUMMYFUNCTION("""COMPUTED_VALUE"""),"50700282177109")</f>
        <v>50700282177109</v>
      </c>
      <c r="B1563" s="30" t="str">
        <f ca="1">IFERROR(__xludf.DUMMYFUNCTION("""COMPUTED_VALUE"""),"CAPS COMANDANTE CABOT")</f>
        <v>CAPS COMANDANTE CABOT</v>
      </c>
      <c r="C1563" s="30" t="str">
        <f ca="1">IFERROR(__xludf.DUMMYFUNCTION("""COMPUTED_VALUE"""),"San Juan")</f>
        <v>San Juan</v>
      </c>
      <c r="D1563" s="30" t="str">
        <f ca="1">IFERROR(__xludf.DUMMYFUNCTION("""COMPUTED_VALUE"""),"70")</f>
        <v>70</v>
      </c>
      <c r="E1563" s="30" t="str">
        <f ca="1">IFERROR(__xludf.DUMMYFUNCTION("""COMPUTED_VALUE"""),"")</f>
        <v/>
      </c>
      <c r="F1563" s="29"/>
      <c r="G1563" s="29"/>
      <c r="H1563" s="30" t="str">
        <f ca="1">IFERROR(__xludf.DUMMYFUNCTION("""COMPUTED_VALUE"""),"activo")</f>
        <v>activo</v>
      </c>
      <c r="I1563" s="29"/>
      <c r="J1563" s="29"/>
      <c r="K1563" s="29"/>
      <c r="L1563" s="30" t="str">
        <f ca="1">IFERROR(__xludf.DUMMYFUNCTION("""COMPUTED_VALUE"""),"No")</f>
        <v>No</v>
      </c>
      <c r="M1563" s="30" t="str">
        <f ca="1">IFERROR(__xludf.DUMMYFUNCTION("""COMPUTED_VALUE"""),"70028010000")</f>
        <v>70028010000</v>
      </c>
      <c r="N1563" s="30" t="str">
        <f ca="1">IFERROR(__xludf.DUMMYFUNCTION("""COMPUTED_VALUE"""),"SAN JUAN")</f>
        <v>SAN JUAN</v>
      </c>
      <c r="O1563" s="30" t="str">
        <f ca="1">IFERROR(__xludf.DUMMYFUNCTION("""COMPUTED_VALUE"""),"7028")</f>
        <v>7028</v>
      </c>
      <c r="P1563" s="30" t="str">
        <f ca="1">IFERROR(__xludf.DUMMYFUNCTION("""COMPUTED_VALUE"""),"CAPITAL")</f>
        <v>CAPITAL</v>
      </c>
      <c r="Q1563" s="30" t="str">
        <f ca="1">IFERROR(__xludf.DUMMYFUNCTION("""COMPUTED_VALUE"""),"-31.511277")</f>
        <v>-31.511277</v>
      </c>
      <c r="R1563" s="30" t="str">
        <f ca="1">IFERROR(__xludf.DUMMYFUNCTION("""COMPUTED_VALUE"""),"-68.529813")</f>
        <v>-68.529813</v>
      </c>
      <c r="S1563" s="30" t="str">
        <f ca="1">IFERROR(__xludf.DUMMYFUNCTION("""COMPUTED_VALUE"""),"Provincial")</f>
        <v>Provincial</v>
      </c>
      <c r="T1563" s="30" t="str">
        <f ca="1">IFERROR(__xludf.DUMMYFUNCTION("""COMPUTED_VALUE"""),"-")</f>
        <v>-</v>
      </c>
    </row>
    <row r="1564" spans="1:20" ht="15.75" customHeight="1" x14ac:dyDescent="0.25">
      <c r="A1564" s="30" t="str">
        <f ca="1">IFERROR(__xludf.DUMMYFUNCTION("""COMPUTED_VALUE"""),"50700282177147")</f>
        <v>50700282177147</v>
      </c>
      <c r="B1564" s="30" t="str">
        <f ca="1">IFERROR(__xludf.DUMMYFUNCTION("""COMPUTED_VALUE"""),"CAPS LAS MARGARITAS")</f>
        <v>CAPS LAS MARGARITAS</v>
      </c>
      <c r="C1564" s="30" t="str">
        <f ca="1">IFERROR(__xludf.DUMMYFUNCTION("""COMPUTED_VALUE"""),"San Juan")</f>
        <v>San Juan</v>
      </c>
      <c r="D1564" s="30" t="str">
        <f ca="1">IFERROR(__xludf.DUMMYFUNCTION("""COMPUTED_VALUE"""),"70")</f>
        <v>70</v>
      </c>
      <c r="E1564" s="30" t="str">
        <f ca="1">IFERROR(__xludf.DUMMYFUNCTION("""COMPUTED_VALUE"""),"")</f>
        <v/>
      </c>
      <c r="F1564" s="29"/>
      <c r="G1564" s="29"/>
      <c r="H1564" s="30" t="str">
        <f ca="1">IFERROR(__xludf.DUMMYFUNCTION("""COMPUTED_VALUE"""),"activo")</f>
        <v>activo</v>
      </c>
      <c r="I1564" s="29"/>
      <c r="J1564" s="29"/>
      <c r="K1564" s="29"/>
      <c r="L1564" s="30" t="str">
        <f ca="1">IFERROR(__xludf.DUMMYFUNCTION("""COMPUTED_VALUE"""),"No")</f>
        <v>No</v>
      </c>
      <c r="M1564" s="30" t="str">
        <f ca="1">IFERROR(__xludf.DUMMYFUNCTION("""COMPUTED_VALUE"""),"70028010000")</f>
        <v>70028010000</v>
      </c>
      <c r="N1564" s="30" t="str">
        <f ca="1">IFERROR(__xludf.DUMMYFUNCTION("""COMPUTED_VALUE"""),"SAN JUAN")</f>
        <v>SAN JUAN</v>
      </c>
      <c r="O1564" s="30" t="str">
        <f ca="1">IFERROR(__xludf.DUMMYFUNCTION("""COMPUTED_VALUE"""),"7028")</f>
        <v>7028</v>
      </c>
      <c r="P1564" s="30" t="str">
        <f ca="1">IFERROR(__xludf.DUMMYFUNCTION("""COMPUTED_VALUE"""),"CAPITAL")</f>
        <v>CAPITAL</v>
      </c>
      <c r="Q1564" s="30" t="str">
        <f ca="1">IFERROR(__xludf.DUMMYFUNCTION("""COMPUTED_VALUE"""),"-31.55168696")</f>
        <v>-31.55168696</v>
      </c>
      <c r="R1564" s="30" t="str">
        <f ca="1">IFERROR(__xludf.DUMMYFUNCTION("""COMPUTED_VALUE"""),"-68.54198456")</f>
        <v>-68.54198456</v>
      </c>
      <c r="S1564" s="30" t="str">
        <f ca="1">IFERROR(__xludf.DUMMYFUNCTION("""COMPUTED_VALUE"""),"Provincial")</f>
        <v>Provincial</v>
      </c>
      <c r="T1564" s="30" t="str">
        <f ca="1">IFERROR(__xludf.DUMMYFUNCTION("""COMPUTED_VALUE"""),"-")</f>
        <v>-</v>
      </c>
    </row>
    <row r="1565" spans="1:20" ht="15.75" customHeight="1" x14ac:dyDescent="0.25">
      <c r="A1565" s="30" t="str">
        <f ca="1">IFERROR(__xludf.DUMMYFUNCTION("""COMPUTED_VALUE"""),"50700422177110")</f>
        <v>50700422177110</v>
      </c>
      <c r="B1565" s="30" t="str">
        <f ca="1">IFERROR(__xludf.DUMMYFUNCTION("""COMPUTED_VALUE"""),"CAPS COSTANERA NORTE")</f>
        <v>CAPS COSTANERA NORTE</v>
      </c>
      <c r="C1565" s="30" t="str">
        <f ca="1">IFERROR(__xludf.DUMMYFUNCTION("""COMPUTED_VALUE"""),"San Juan")</f>
        <v>San Juan</v>
      </c>
      <c r="D1565" s="30" t="str">
        <f ca="1">IFERROR(__xludf.DUMMYFUNCTION("""COMPUTED_VALUE"""),"70")</f>
        <v>70</v>
      </c>
      <c r="E1565" s="30" t="str">
        <f ca="1">IFERROR(__xludf.DUMMYFUNCTION("""COMPUTED_VALUE"""),"")</f>
        <v/>
      </c>
      <c r="F1565" s="29"/>
      <c r="G1565" s="29"/>
      <c r="H1565" s="30" t="str">
        <f ca="1">IFERROR(__xludf.DUMMYFUNCTION("""COMPUTED_VALUE"""),"inactivo")</f>
        <v>inactivo</v>
      </c>
      <c r="I1565" s="29"/>
      <c r="J1565" s="29"/>
      <c r="K1565" s="29"/>
      <c r="L1565" s="30" t="str">
        <f ca="1">IFERROR(__xludf.DUMMYFUNCTION("""COMPUTED_VALUE"""),"No")</f>
        <v>No</v>
      </c>
      <c r="M1565" s="30" t="str">
        <f ca="1">IFERROR(__xludf.DUMMYFUNCTION("""COMPUTED_VALUE"""),"70042010001")</f>
        <v>70042010001</v>
      </c>
      <c r="N1565" s="30" t="str">
        <f ca="1">IFERROR(__xludf.DUMMYFUNCTION("""COMPUTED_VALUE"""),"CHIMBAS")</f>
        <v>CHIMBAS</v>
      </c>
      <c r="O1565" s="30" t="str">
        <f ca="1">IFERROR(__xludf.DUMMYFUNCTION("""COMPUTED_VALUE"""),"7042")</f>
        <v>7042</v>
      </c>
      <c r="P1565" s="30" t="str">
        <f ca="1">IFERROR(__xludf.DUMMYFUNCTION("""COMPUTED_VALUE"""),"CHIMBAS")</f>
        <v>CHIMBAS</v>
      </c>
      <c r="Q1565" s="30" t="str">
        <f ca="1">IFERROR(__xludf.DUMMYFUNCTION("""COMPUTED_VALUE"""),"-31.509686")</f>
        <v>-31.509686</v>
      </c>
      <c r="R1565" s="30" t="str">
        <f ca="1">IFERROR(__xludf.DUMMYFUNCTION("""COMPUTED_VALUE"""),"-68.590171")</f>
        <v>-68.590171</v>
      </c>
      <c r="S1565" s="30" t="str">
        <f ca="1">IFERROR(__xludf.DUMMYFUNCTION("""COMPUTED_VALUE"""),"Provincial")</f>
        <v>Provincial</v>
      </c>
      <c r="T1565" s="30" t="str">
        <f ca="1">IFERROR(__xludf.DUMMYFUNCTION("""COMPUTED_VALUE"""),"-")</f>
        <v>-</v>
      </c>
    </row>
    <row r="1566" spans="1:20" ht="15.75" customHeight="1" x14ac:dyDescent="0.25">
      <c r="A1566" s="30" t="str">
        <f ca="1">IFERROR(__xludf.DUMMYFUNCTION("""COMPUTED_VALUE"""),"50700142277249")</f>
        <v>50700142277249</v>
      </c>
      <c r="B1566" s="30" t="str">
        <f ca="1">IFERROR(__xludf.DUMMYFUNCTION("""COMPUTED_VALUE"""),"CAPS LAS TAPIAS")</f>
        <v>CAPS LAS TAPIAS</v>
      </c>
      <c r="C1566" s="30" t="str">
        <f ca="1">IFERROR(__xludf.DUMMYFUNCTION("""COMPUTED_VALUE"""),"San Juan")</f>
        <v>San Juan</v>
      </c>
      <c r="D1566" s="30" t="str">
        <f ca="1">IFERROR(__xludf.DUMMYFUNCTION("""COMPUTED_VALUE"""),"70")</f>
        <v>70</v>
      </c>
      <c r="E1566" s="30" t="str">
        <f ca="1">IFERROR(__xludf.DUMMYFUNCTION("""COMPUTED_VALUE"""),"")</f>
        <v/>
      </c>
      <c r="F1566" s="30" t="str">
        <f ca="1">IFERROR(__xludf.DUMMYFUNCTION("""COMPUTED_VALUE"""),"10700352177014")</f>
        <v>10700352177014</v>
      </c>
      <c r="G1566" s="29"/>
      <c r="H1566" s="30" t="str">
        <f ca="1">IFERROR(__xludf.DUMMYFUNCTION("""COMPUTED_VALUE"""),"activo")</f>
        <v>activo</v>
      </c>
      <c r="I1566" s="29"/>
      <c r="J1566" s="29"/>
      <c r="K1566" s="29"/>
      <c r="L1566" s="30" t="str">
        <f ca="1">IFERROR(__xludf.DUMMYFUNCTION("""COMPUTED_VALUE"""),"No")</f>
        <v>No</v>
      </c>
      <c r="M1566" s="30" t="str">
        <f ca="1">IFERROR(__xludf.DUMMYFUNCTION("""COMPUTED_VALUE"""),"70014010000")</f>
        <v>70014010000</v>
      </c>
      <c r="N1566" s="30" t="str">
        <f ca="1">IFERROR(__xludf.DUMMYFUNCTION("""COMPUTED_VALUE"""),"LAS TAPIAS")</f>
        <v>LAS TAPIAS</v>
      </c>
      <c r="O1566" s="30" t="str">
        <f ca="1">IFERROR(__xludf.DUMMYFUNCTION("""COMPUTED_VALUE"""),"7014")</f>
        <v>7014</v>
      </c>
      <c r="P1566" s="30" t="str">
        <f ca="1">IFERROR(__xludf.DUMMYFUNCTION("""COMPUTED_VALUE"""),"ANGACO")</f>
        <v>ANGACO</v>
      </c>
      <c r="Q1566" s="30" t="str">
        <f ca="1">IFERROR(__xludf.DUMMYFUNCTION("""COMPUTED_VALUE"""),"-31.4075")</f>
        <v>-31.4075</v>
      </c>
      <c r="R1566" s="30" t="str">
        <f ca="1">IFERROR(__xludf.DUMMYFUNCTION("""COMPUTED_VALUE"""),"-68.3836")</f>
        <v>-68.3836</v>
      </c>
      <c r="S1566" s="30" t="str">
        <f ca="1">IFERROR(__xludf.DUMMYFUNCTION("""COMPUTED_VALUE"""),"Municipal")</f>
        <v>Municipal</v>
      </c>
      <c r="T1566" s="29"/>
    </row>
    <row r="1567" spans="1:20" ht="15.75" customHeight="1" x14ac:dyDescent="0.25">
      <c r="A1567" s="30" t="str">
        <f ca="1">IFERROR(__xludf.DUMMYFUNCTION("""COMPUTED_VALUE"""),"10700352177014")</f>
        <v>10700352177014</v>
      </c>
      <c r="B1567" s="30" t="str">
        <f ca="1">IFERROR(__xludf.DUMMYFUNCTION("""COMPUTED_VALUE"""),"HOSPITAL DR. CESAR AGUILAR")</f>
        <v>HOSPITAL DR. CESAR AGUILAR</v>
      </c>
      <c r="C1567" s="30" t="str">
        <f ca="1">IFERROR(__xludf.DUMMYFUNCTION("""COMPUTED_VALUE"""),"San Juan")</f>
        <v>San Juan</v>
      </c>
      <c r="D1567" s="30" t="str">
        <f ca="1">IFERROR(__xludf.DUMMYFUNCTION("""COMPUTED_VALUE"""),"70")</f>
        <v>70</v>
      </c>
      <c r="E1567" s="30" t="str">
        <f ca="1">IFERROR(__xludf.DUMMYFUNCTION("""COMPUTED_VALUE"""),"")</f>
        <v/>
      </c>
      <c r="F1567" s="29"/>
      <c r="G1567" s="30" t="str">
        <f ca="1">IFERROR(__xludf.DUMMYFUNCTION("""COMPUTED_VALUE"""),"50700142277249")</f>
        <v>50700142277249</v>
      </c>
      <c r="H1567" s="30" t="str">
        <f ca="1">IFERROR(__xludf.DUMMYFUNCTION("""COMPUTED_VALUE"""),"inactivo")</f>
        <v>inactivo</v>
      </c>
      <c r="I1567" s="29"/>
      <c r="J1567" s="29"/>
      <c r="K1567" s="29"/>
      <c r="L1567" s="30" t="str">
        <f ca="1">IFERROR(__xludf.DUMMYFUNCTION("""COMPUTED_VALUE"""),"No")</f>
        <v>No</v>
      </c>
      <c r="M1567" s="30" t="str">
        <f ca="1">IFERROR(__xludf.DUMMYFUNCTION("""COMPUTED_VALUE"""),"70035020000")</f>
        <v>70035020000</v>
      </c>
      <c r="N1567" s="30" t="str">
        <f ca="1">IFERROR(__xludf.DUMMYFUNCTION("""COMPUTED_VALUE"""),"CAUCETE")</f>
        <v>CAUCETE</v>
      </c>
      <c r="O1567" s="30" t="str">
        <f ca="1">IFERROR(__xludf.DUMMYFUNCTION("""COMPUTED_VALUE"""),"7035")</f>
        <v>7035</v>
      </c>
      <c r="P1567" s="30" t="str">
        <f ca="1">IFERROR(__xludf.DUMMYFUNCTION("""COMPUTED_VALUE"""),"CAUCETE")</f>
        <v>CAUCETE</v>
      </c>
      <c r="Q1567" s="30" t="str">
        <f ca="1">IFERROR(__xludf.DUMMYFUNCTION("""COMPUTED_VALUE"""),"-31.650537")</f>
        <v>-31.650537</v>
      </c>
      <c r="R1567" s="30" t="str">
        <f ca="1">IFERROR(__xludf.DUMMYFUNCTION("""COMPUTED_VALUE"""),"-68.273837")</f>
        <v>-68.273837</v>
      </c>
      <c r="S1567" s="30" t="str">
        <f ca="1">IFERROR(__xludf.DUMMYFUNCTION("""COMPUTED_VALUE"""),"Provincial")</f>
        <v>Provincial</v>
      </c>
      <c r="T1567" s="30" t="str">
        <f ca="1">IFERROR(__xludf.DUMMYFUNCTION("""COMPUTED_VALUE"""),"-")</f>
        <v>-</v>
      </c>
    </row>
    <row r="1568" spans="1:20" ht="15.75" customHeight="1" x14ac:dyDescent="0.25">
      <c r="A1568" s="30" t="str">
        <f ca="1">IFERROR(__xludf.DUMMYFUNCTION("""COMPUTED_VALUE"""),"50700422177137")</f>
        <v>50700422177137</v>
      </c>
      <c r="B1568" s="30" t="str">
        <f ca="1">IFERROR(__xludf.DUMMYFUNCTION("""COMPUTED_VALUE"""),"CAPS JOSE RUIZ")</f>
        <v>CAPS JOSE RUIZ</v>
      </c>
      <c r="C1568" s="30" t="str">
        <f ca="1">IFERROR(__xludf.DUMMYFUNCTION("""COMPUTED_VALUE"""),"San Juan")</f>
        <v>San Juan</v>
      </c>
      <c r="D1568" s="30" t="str">
        <f ca="1">IFERROR(__xludf.DUMMYFUNCTION("""COMPUTED_VALUE"""),"70")</f>
        <v>70</v>
      </c>
      <c r="E1568" s="30" t="str">
        <f ca="1">IFERROR(__xludf.DUMMYFUNCTION("""COMPUTED_VALUE"""),"")</f>
        <v/>
      </c>
      <c r="F1568" s="29"/>
      <c r="G1568" s="29"/>
      <c r="H1568" s="30" t="str">
        <f ca="1">IFERROR(__xludf.DUMMYFUNCTION("""COMPUTED_VALUE"""),"activo")</f>
        <v>activo</v>
      </c>
      <c r="I1568" s="29"/>
      <c r="J1568" s="29"/>
      <c r="K1568" s="29"/>
      <c r="L1568" s="30" t="str">
        <f ca="1">IFERROR(__xludf.DUMMYFUNCTION("""COMPUTED_VALUE"""),"No")</f>
        <v>No</v>
      </c>
      <c r="M1568" s="30" t="str">
        <f ca="1">IFERROR(__xludf.DUMMYFUNCTION("""COMPUTED_VALUE"""),"70042010001")</f>
        <v>70042010001</v>
      </c>
      <c r="N1568" s="30" t="str">
        <f ca="1">IFERROR(__xludf.DUMMYFUNCTION("""COMPUTED_VALUE"""),"CHIMBAS")</f>
        <v>CHIMBAS</v>
      </c>
      <c r="O1568" s="30" t="str">
        <f ca="1">IFERROR(__xludf.DUMMYFUNCTION("""COMPUTED_VALUE"""),"7042")</f>
        <v>7042</v>
      </c>
      <c r="P1568" s="30" t="str">
        <f ca="1">IFERROR(__xludf.DUMMYFUNCTION("""COMPUTED_VALUE"""),"CHIMBAS")</f>
        <v>CHIMBAS</v>
      </c>
      <c r="Q1568" s="30" t="str">
        <f ca="1">IFERROR(__xludf.DUMMYFUNCTION("""COMPUTED_VALUE"""),"-31.501618")</f>
        <v>-31.501618</v>
      </c>
      <c r="R1568" s="30" t="str">
        <f ca="1">IFERROR(__xludf.DUMMYFUNCTION("""COMPUTED_VALUE"""),"-68.559758")</f>
        <v>-68.559758</v>
      </c>
      <c r="S1568" s="30" t="str">
        <f ca="1">IFERROR(__xludf.DUMMYFUNCTION("""COMPUTED_VALUE"""),"Provincial")</f>
        <v>Provincial</v>
      </c>
      <c r="T1568" s="30" t="str">
        <f ca="1">IFERROR(__xludf.DUMMYFUNCTION("""COMPUTED_VALUE"""),"-")</f>
        <v>-</v>
      </c>
    </row>
    <row r="1569" spans="1:20" ht="15.75" customHeight="1" x14ac:dyDescent="0.25">
      <c r="A1569" s="30" t="str">
        <f ca="1">IFERROR(__xludf.DUMMYFUNCTION("""COMPUTED_VALUE"""),"50700142177124")</f>
        <v>50700142177124</v>
      </c>
      <c r="B1569" s="30" t="str">
        <f ca="1">IFERROR(__xludf.DUMMYFUNCTION("""COMPUTED_VALUE"""),"CAPS EL BOSQUE")</f>
        <v>CAPS EL BOSQUE</v>
      </c>
      <c r="C1569" s="30" t="str">
        <f ca="1">IFERROR(__xludf.DUMMYFUNCTION("""COMPUTED_VALUE"""),"San Juan")</f>
        <v>San Juan</v>
      </c>
      <c r="D1569" s="30" t="str">
        <f ca="1">IFERROR(__xludf.DUMMYFUNCTION("""COMPUTED_VALUE"""),"70")</f>
        <v>70</v>
      </c>
      <c r="E1569" s="30" t="str">
        <f ca="1">IFERROR(__xludf.DUMMYFUNCTION("""COMPUTED_VALUE"""),"")</f>
        <v/>
      </c>
      <c r="F1569" s="30" t="str">
        <f ca="1">IFERROR(__xludf.DUMMYFUNCTION("""COMPUTED_VALUE"""),"50700422177164")</f>
        <v>50700422177164</v>
      </c>
      <c r="G1569" s="29"/>
      <c r="H1569" s="30" t="str">
        <f ca="1">IFERROR(__xludf.DUMMYFUNCTION("""COMPUTED_VALUE"""),"activo")</f>
        <v>activo</v>
      </c>
      <c r="I1569" s="29"/>
      <c r="J1569" s="29"/>
      <c r="K1569" s="29"/>
      <c r="L1569" s="30" t="str">
        <f ca="1">IFERROR(__xludf.DUMMYFUNCTION("""COMPUTED_VALUE"""),"No")</f>
        <v>No</v>
      </c>
      <c r="M1569" s="30" t="str">
        <f ca="1">IFERROR(__xludf.DUMMYFUNCTION("""COMPUTED_VALUE"""),"70014010000")</f>
        <v>70014010000</v>
      </c>
      <c r="N1569" s="30" t="str">
        <f ca="1">IFERROR(__xludf.DUMMYFUNCTION("""COMPUTED_VALUE"""),"LAS TAPIAS")</f>
        <v>LAS TAPIAS</v>
      </c>
      <c r="O1569" s="30" t="str">
        <f ca="1">IFERROR(__xludf.DUMMYFUNCTION("""COMPUTED_VALUE"""),"7014")</f>
        <v>7014</v>
      </c>
      <c r="P1569" s="30" t="str">
        <f ca="1">IFERROR(__xludf.DUMMYFUNCTION("""COMPUTED_VALUE"""),"ANGACO")</f>
        <v>ANGACO</v>
      </c>
      <c r="Q1569" s="30" t="str">
        <f ca="1">IFERROR(__xludf.DUMMYFUNCTION("""COMPUTED_VALUE"""),"-31.443089")</f>
        <v>-31.443089</v>
      </c>
      <c r="R1569" s="30" t="str">
        <f ca="1">IFERROR(__xludf.DUMMYFUNCTION("""COMPUTED_VALUE"""),"-68.283014")</f>
        <v>-68.283014</v>
      </c>
      <c r="S1569" s="30" t="str">
        <f ca="1">IFERROR(__xludf.DUMMYFUNCTION("""COMPUTED_VALUE"""),"Provincial")</f>
        <v>Provincial</v>
      </c>
      <c r="T1569" s="30" t="str">
        <f ca="1">IFERROR(__xludf.DUMMYFUNCTION("""COMPUTED_VALUE"""),"-")</f>
        <v>-</v>
      </c>
    </row>
    <row r="1570" spans="1:20" ht="15.75" customHeight="1" x14ac:dyDescent="0.25">
      <c r="A1570" s="30" t="str">
        <f ca="1">IFERROR(__xludf.DUMMYFUNCTION("""COMPUTED_VALUE"""),"50700422177164")</f>
        <v>50700422177164</v>
      </c>
      <c r="B1570" s="30" t="str">
        <f ca="1">IFERROR(__xludf.DUMMYFUNCTION("""COMPUTED_VALUE"""),"CAPS MONSEÑOR RICARDO BAEZ LASPIUR")</f>
        <v>CAPS MONSEÑOR RICARDO BAEZ LASPIUR</v>
      </c>
      <c r="C1570" s="30" t="str">
        <f ca="1">IFERROR(__xludf.DUMMYFUNCTION("""COMPUTED_VALUE"""),"San Juan")</f>
        <v>San Juan</v>
      </c>
      <c r="D1570" s="30" t="str">
        <f ca="1">IFERROR(__xludf.DUMMYFUNCTION("""COMPUTED_VALUE"""),"70")</f>
        <v>70</v>
      </c>
      <c r="E1570" s="30" t="str">
        <f ca="1">IFERROR(__xludf.DUMMYFUNCTION("""COMPUTED_VALUE"""),"")</f>
        <v/>
      </c>
      <c r="F1570" s="29"/>
      <c r="G1570" s="30" t="str">
        <f ca="1">IFERROR(__xludf.DUMMYFUNCTION("""COMPUTED_VALUE"""),"50700142177124")</f>
        <v>50700142177124</v>
      </c>
      <c r="H1570" s="30" t="str">
        <f ca="1">IFERROR(__xludf.DUMMYFUNCTION("""COMPUTED_VALUE"""),"inactivo")</f>
        <v>inactivo</v>
      </c>
      <c r="I1570" s="29"/>
      <c r="J1570" s="29"/>
      <c r="K1570" s="29"/>
      <c r="L1570" s="30" t="str">
        <f ca="1">IFERROR(__xludf.DUMMYFUNCTION("""COMPUTED_VALUE"""),"No")</f>
        <v>No</v>
      </c>
      <c r="M1570" s="30" t="str">
        <f ca="1">IFERROR(__xludf.DUMMYFUNCTION("""COMPUTED_VALUE"""),"70042010001")</f>
        <v>70042010001</v>
      </c>
      <c r="N1570" s="30" t="str">
        <f ca="1">IFERROR(__xludf.DUMMYFUNCTION("""COMPUTED_VALUE"""),"CHIMBAS")</f>
        <v>CHIMBAS</v>
      </c>
      <c r="O1570" s="30" t="str">
        <f ca="1">IFERROR(__xludf.DUMMYFUNCTION("""COMPUTED_VALUE"""),"7042")</f>
        <v>7042</v>
      </c>
      <c r="P1570" s="30" t="str">
        <f ca="1">IFERROR(__xludf.DUMMYFUNCTION("""COMPUTED_VALUE"""),"CHIMBAS")</f>
        <v>CHIMBAS</v>
      </c>
      <c r="Q1570" s="30" t="str">
        <f ca="1">IFERROR(__xludf.DUMMYFUNCTION("""COMPUTED_VALUE"""),"-31.508818")</f>
        <v>-31.508818</v>
      </c>
      <c r="R1570" s="30" t="str">
        <f ca="1">IFERROR(__xludf.DUMMYFUNCTION("""COMPUTED_VALUE"""),"-68.534402")</f>
        <v>-68.534402</v>
      </c>
      <c r="S1570" s="30" t="str">
        <f ca="1">IFERROR(__xludf.DUMMYFUNCTION("""COMPUTED_VALUE"""),"Provincial")</f>
        <v>Provincial</v>
      </c>
      <c r="T1570" s="30" t="str">
        <f ca="1">IFERROR(__xludf.DUMMYFUNCTION("""COMPUTED_VALUE"""),"-")</f>
        <v>-</v>
      </c>
    </row>
    <row r="1571" spans="1:20" ht="15.75" customHeight="1" x14ac:dyDescent="0.25">
      <c r="A1571" s="30" t="str">
        <f ca="1">IFERROR(__xludf.DUMMYFUNCTION("""COMPUTED_VALUE"""),"50700422177176")</f>
        <v>50700422177176</v>
      </c>
      <c r="B1571" s="30" t="str">
        <f ca="1">IFERROR(__xludf.DUMMYFUNCTION("""COMPUTED_VALUE"""),"CAPS DR. RAMON CARRILLO")</f>
        <v>CAPS DR. RAMON CARRILLO</v>
      </c>
      <c r="C1571" s="30" t="str">
        <f ca="1">IFERROR(__xludf.DUMMYFUNCTION("""COMPUTED_VALUE"""),"San Juan")</f>
        <v>San Juan</v>
      </c>
      <c r="D1571" s="30" t="str">
        <f ca="1">IFERROR(__xludf.DUMMYFUNCTION("""COMPUTED_VALUE"""),"70")</f>
        <v>70</v>
      </c>
      <c r="E1571" s="30" t="str">
        <f ca="1">IFERROR(__xludf.DUMMYFUNCTION("""COMPUTED_VALUE"""),"")</f>
        <v/>
      </c>
      <c r="F1571" s="29"/>
      <c r="G1571" s="29"/>
      <c r="H1571" s="30" t="str">
        <f ca="1">IFERROR(__xludf.DUMMYFUNCTION("""COMPUTED_VALUE"""),"activo")</f>
        <v>activo</v>
      </c>
      <c r="I1571" s="29"/>
      <c r="J1571" s="29"/>
      <c r="K1571" s="29"/>
      <c r="L1571" s="30" t="str">
        <f ca="1">IFERROR(__xludf.DUMMYFUNCTION("""COMPUTED_VALUE"""),"No")</f>
        <v>No</v>
      </c>
      <c r="M1571" s="30" t="str">
        <f ca="1">IFERROR(__xludf.DUMMYFUNCTION("""COMPUTED_VALUE"""),"70042010003")</f>
        <v>70042010003</v>
      </c>
      <c r="N1571" s="30" t="str">
        <f ca="1">IFERROR(__xludf.DUMMYFUNCTION("""COMPUTED_VALUE"""),"VILLA PAULA ALBARRACIN")</f>
        <v>VILLA PAULA ALBARRACIN</v>
      </c>
      <c r="O1571" s="30" t="str">
        <f ca="1">IFERROR(__xludf.DUMMYFUNCTION("""COMPUTED_VALUE"""),"7042")</f>
        <v>7042</v>
      </c>
      <c r="P1571" s="30" t="str">
        <f ca="1">IFERROR(__xludf.DUMMYFUNCTION("""COMPUTED_VALUE"""),"CHIMBAS")</f>
        <v>CHIMBAS</v>
      </c>
      <c r="Q1571" s="30" t="str">
        <f ca="1">IFERROR(__xludf.DUMMYFUNCTION("""COMPUTED_VALUE"""),"-31.49412002")</f>
        <v>-31.49412002</v>
      </c>
      <c r="R1571" s="30" t="str">
        <f ca="1">IFERROR(__xludf.DUMMYFUNCTION("""COMPUTED_VALUE"""),"-68.54374409")</f>
        <v>-68.54374409</v>
      </c>
      <c r="S1571" s="30" t="str">
        <f ca="1">IFERROR(__xludf.DUMMYFUNCTION("""COMPUTED_VALUE"""),"Provincial")</f>
        <v>Provincial</v>
      </c>
      <c r="T1571" s="30" t="str">
        <f ca="1">IFERROR(__xludf.DUMMYFUNCTION("""COMPUTED_VALUE"""),"-")</f>
        <v>-</v>
      </c>
    </row>
    <row r="1572" spans="1:20" ht="15.75" customHeight="1" x14ac:dyDescent="0.25">
      <c r="A1572" s="30" t="str">
        <f ca="1">IFERROR(__xludf.DUMMYFUNCTION("""COMPUTED_VALUE"""),"50700632177081")</f>
        <v>50700632177081</v>
      </c>
      <c r="B1572" s="30" t="str">
        <f ca="1">IFERROR(__xludf.DUMMYFUNCTION("""COMPUTED_VALUE"""),"CAPS ARTURO CABRAL DE LA COLINA")</f>
        <v>CAPS ARTURO CABRAL DE LA COLINA</v>
      </c>
      <c r="C1572" s="30" t="str">
        <f ca="1">IFERROR(__xludf.DUMMYFUNCTION("""COMPUTED_VALUE"""),"San Juan")</f>
        <v>San Juan</v>
      </c>
      <c r="D1572" s="30" t="str">
        <f ca="1">IFERROR(__xludf.DUMMYFUNCTION("""COMPUTED_VALUE"""),"70")</f>
        <v>70</v>
      </c>
      <c r="E1572" s="30" t="str">
        <f ca="1">IFERROR(__xludf.DUMMYFUNCTION("""COMPUTED_VALUE"""),"")</f>
        <v/>
      </c>
      <c r="F1572" s="29"/>
      <c r="G1572" s="29"/>
      <c r="H1572" s="30" t="str">
        <f ca="1">IFERROR(__xludf.DUMMYFUNCTION("""COMPUTED_VALUE"""),"activo")</f>
        <v>activo</v>
      </c>
      <c r="I1572" s="29"/>
      <c r="J1572" s="29"/>
      <c r="K1572" s="29"/>
      <c r="L1572" s="30" t="str">
        <f ca="1">IFERROR(__xludf.DUMMYFUNCTION("""COMPUTED_VALUE"""),"No")</f>
        <v>No</v>
      </c>
      <c r="M1572" s="30" t="str">
        <f ca="1">IFERROR(__xludf.DUMMYFUNCTION("""COMPUTED_VALUE"""),"70063040000")</f>
        <v>70063040000</v>
      </c>
      <c r="N1572" s="30" t="str">
        <f ca="1">IFERROR(__xludf.DUMMYFUNCTION("""COMPUTED_VALUE"""),"9 DE JULIO")</f>
        <v>9 DE JULIO</v>
      </c>
      <c r="O1572" s="30" t="str">
        <f ca="1">IFERROR(__xludf.DUMMYFUNCTION("""COMPUTED_VALUE"""),"7063")</f>
        <v>7063</v>
      </c>
      <c r="P1572" s="30" t="str">
        <f ca="1">IFERROR(__xludf.DUMMYFUNCTION("""COMPUTED_VALUE"""),"9 DE JULIO")</f>
        <v>9 DE JULIO</v>
      </c>
      <c r="Q1572" s="30" t="str">
        <f ca="1">IFERROR(__xludf.DUMMYFUNCTION("""COMPUTED_VALUE"""),"-31.697006")</f>
        <v>-31.697006</v>
      </c>
      <c r="R1572" s="30" t="str">
        <f ca="1">IFERROR(__xludf.DUMMYFUNCTION("""COMPUTED_VALUE"""),"-68.38917")</f>
        <v>-68.38917</v>
      </c>
      <c r="S1572" s="30" t="str">
        <f ca="1">IFERROR(__xludf.DUMMYFUNCTION("""COMPUTED_VALUE"""),"Provincial")</f>
        <v>Provincial</v>
      </c>
      <c r="T1572" s="30" t="str">
        <f ca="1">IFERROR(__xludf.DUMMYFUNCTION("""COMPUTED_VALUE"""),"-")</f>
        <v>-</v>
      </c>
    </row>
    <row r="1573" spans="1:20" ht="15.75" customHeight="1" x14ac:dyDescent="0.25">
      <c r="A1573" s="30" t="str">
        <f ca="1">IFERROR(__xludf.DUMMYFUNCTION("""COMPUTED_VALUE"""),"50700702177074")</f>
        <v>50700702177074</v>
      </c>
      <c r="B1573" s="30" t="str">
        <f ca="1">IFERROR(__xludf.DUMMYFUNCTION("""COMPUTED_VALUE"""),"CAPS ALDO HERMOSILLA")</f>
        <v>CAPS ALDO HERMOSILLA</v>
      </c>
      <c r="C1573" s="30" t="str">
        <f ca="1">IFERROR(__xludf.DUMMYFUNCTION("""COMPUTED_VALUE"""),"San Juan")</f>
        <v>San Juan</v>
      </c>
      <c r="D1573" s="30" t="str">
        <f ca="1">IFERROR(__xludf.DUMMYFUNCTION("""COMPUTED_VALUE"""),"70")</f>
        <v>70</v>
      </c>
      <c r="E1573" s="30" t="str">
        <f ca="1">IFERROR(__xludf.DUMMYFUNCTION("""COMPUTED_VALUE"""),"")</f>
        <v/>
      </c>
      <c r="F1573" s="29"/>
      <c r="G1573" s="29"/>
      <c r="H1573" s="30" t="str">
        <f ca="1">IFERROR(__xludf.DUMMYFUNCTION("""COMPUTED_VALUE"""),"activo")</f>
        <v>activo</v>
      </c>
      <c r="I1573" s="29"/>
      <c r="J1573" s="29"/>
      <c r="K1573" s="29"/>
      <c r="L1573" s="30" t="str">
        <f ca="1">IFERROR(__xludf.DUMMYFUNCTION("""COMPUTED_VALUE"""),"No")</f>
        <v>No</v>
      </c>
      <c r="M1573" s="30" t="str">
        <f ca="1">IFERROR(__xludf.DUMMYFUNCTION("""COMPUTED_VALUE"""),"70070040001")</f>
        <v>70070040001</v>
      </c>
      <c r="N1573" s="30" t="str">
        <f ca="1">IFERROR(__xludf.DUMMYFUNCTION("""COMPUTED_VALUE"""),"LA RINCONADA")</f>
        <v>LA RINCONADA</v>
      </c>
      <c r="O1573" s="30" t="str">
        <f ca="1">IFERROR(__xludf.DUMMYFUNCTION("""COMPUTED_VALUE"""),"7070")</f>
        <v>7070</v>
      </c>
      <c r="P1573" s="30" t="str">
        <f ca="1">IFERROR(__xludf.DUMMYFUNCTION("""COMPUTED_VALUE"""),"POCITO")</f>
        <v>POCITO</v>
      </c>
      <c r="Q1573" s="30" t="str">
        <f ca="1">IFERROR(__xludf.DUMMYFUNCTION("""COMPUTED_VALUE"""),"-31.701222")</f>
        <v>-31.701222</v>
      </c>
      <c r="R1573" s="30" t="str">
        <f ca="1">IFERROR(__xludf.DUMMYFUNCTION("""COMPUTED_VALUE"""),"-68.59")</f>
        <v>-68.59</v>
      </c>
      <c r="S1573" s="30" t="str">
        <f ca="1">IFERROR(__xludf.DUMMYFUNCTION("""COMPUTED_VALUE"""),"Provincial")</f>
        <v>Provincial</v>
      </c>
      <c r="T1573" s="30" t="str">
        <f ca="1">IFERROR(__xludf.DUMMYFUNCTION("""COMPUTED_VALUE"""),"-")</f>
        <v>-</v>
      </c>
    </row>
    <row r="1574" spans="1:20" ht="15.75" customHeight="1" x14ac:dyDescent="0.25">
      <c r="A1574" s="30" t="str">
        <f ca="1">IFERROR(__xludf.DUMMYFUNCTION("""COMPUTED_VALUE"""),"50700702177200")</f>
        <v>50700702177200</v>
      </c>
      <c r="B1574" s="30" t="str">
        <f ca="1">IFERROR(__xludf.DUMMYFUNCTION("""COMPUTED_VALUE"""),"CAPS VILLA HUARPES")</f>
        <v>CAPS VILLA HUARPES</v>
      </c>
      <c r="C1574" s="30" t="str">
        <f ca="1">IFERROR(__xludf.DUMMYFUNCTION("""COMPUTED_VALUE"""),"San Juan")</f>
        <v>San Juan</v>
      </c>
      <c r="D1574" s="30" t="str">
        <f ca="1">IFERROR(__xludf.DUMMYFUNCTION("""COMPUTED_VALUE"""),"70")</f>
        <v>70</v>
      </c>
      <c r="E1574" s="30" t="str">
        <f ca="1">IFERROR(__xludf.DUMMYFUNCTION("""COMPUTED_VALUE"""),"")</f>
        <v/>
      </c>
      <c r="F1574" s="29"/>
      <c r="G1574" s="29"/>
      <c r="H1574" s="30" t="str">
        <f ca="1">IFERROR(__xludf.DUMMYFUNCTION("""COMPUTED_VALUE"""),"activo")</f>
        <v>activo</v>
      </c>
      <c r="I1574" s="29"/>
      <c r="J1574" s="29"/>
      <c r="K1574" s="29"/>
      <c r="L1574" s="30" t="str">
        <f ca="1">IFERROR(__xludf.DUMMYFUNCTION("""COMPUTED_VALUE"""),"No")</f>
        <v>No</v>
      </c>
      <c r="M1574" s="30" t="str">
        <f ca="1">IFERROR(__xludf.DUMMYFUNCTION("""COMPUTED_VALUE"""),"70070040001")</f>
        <v>70070040001</v>
      </c>
      <c r="N1574" s="30" t="str">
        <f ca="1">IFERROR(__xludf.DUMMYFUNCTION("""COMPUTED_VALUE"""),"LA RINCONADA")</f>
        <v>LA RINCONADA</v>
      </c>
      <c r="O1574" s="30" t="str">
        <f ca="1">IFERROR(__xludf.DUMMYFUNCTION("""COMPUTED_VALUE"""),"7070")</f>
        <v>7070</v>
      </c>
      <c r="P1574" s="30" t="str">
        <f ca="1">IFERROR(__xludf.DUMMYFUNCTION("""COMPUTED_VALUE"""),"POCITO")</f>
        <v>POCITO</v>
      </c>
      <c r="Q1574" s="30" t="str">
        <f ca="1">IFERROR(__xludf.DUMMYFUNCTION("""COMPUTED_VALUE"""),"-31.59375")</f>
        <v>-31.59375</v>
      </c>
      <c r="R1574" s="30" t="str">
        <f ca="1">IFERROR(__xludf.DUMMYFUNCTION("""COMPUTED_VALUE"""),"-68.5286")</f>
        <v>-68.5286</v>
      </c>
      <c r="S1574" s="30" t="str">
        <f ca="1">IFERROR(__xludf.DUMMYFUNCTION("""COMPUTED_VALUE"""),"Provincial")</f>
        <v>Provincial</v>
      </c>
      <c r="T1574" s="30" t="str">
        <f ca="1">IFERROR(__xludf.DUMMYFUNCTION("""COMPUTED_VALUE"""),"-")</f>
        <v>-</v>
      </c>
    </row>
    <row r="1575" spans="1:20" ht="15.75" customHeight="1" x14ac:dyDescent="0.25">
      <c r="A1575" s="30" t="str">
        <f ca="1">IFERROR(__xludf.DUMMYFUNCTION("""COMPUTED_VALUE"""),"50700772177098")</f>
        <v>50700772177098</v>
      </c>
      <c r="B1575" s="30" t="str">
        <f ca="1">IFERROR(__xludf.DUMMYFUNCTION("""COMPUTED_VALUE"""),"CAPS CAPITAN LAZO")</f>
        <v>CAPS CAPITAN LAZO</v>
      </c>
      <c r="C1575" s="30" t="str">
        <f ca="1">IFERROR(__xludf.DUMMYFUNCTION("""COMPUTED_VALUE"""),"San Juan")</f>
        <v>San Juan</v>
      </c>
      <c r="D1575" s="30" t="str">
        <f ca="1">IFERROR(__xludf.DUMMYFUNCTION("""COMPUTED_VALUE"""),"70")</f>
        <v>70</v>
      </c>
      <c r="E1575" s="30" t="str">
        <f ca="1">IFERROR(__xludf.DUMMYFUNCTION("""COMPUTED_VALUE"""),"")</f>
        <v/>
      </c>
      <c r="F1575" s="29"/>
      <c r="G1575" s="29"/>
      <c r="H1575" s="30" t="str">
        <f ca="1">IFERROR(__xludf.DUMMYFUNCTION("""COMPUTED_VALUE"""),"activo")</f>
        <v>activo</v>
      </c>
      <c r="I1575" s="29"/>
      <c r="J1575" s="29"/>
      <c r="K1575" s="29"/>
      <c r="L1575" s="30" t="str">
        <f ca="1">IFERROR(__xludf.DUMMYFUNCTION("""COMPUTED_VALUE"""),"No")</f>
        <v>No</v>
      </c>
      <c r="M1575" s="30" t="str">
        <f ca="1">IFERROR(__xludf.DUMMYFUNCTION("""COMPUTED_VALUE"""),"70077010002")</f>
        <v>70077010002</v>
      </c>
      <c r="N1575" s="30" t="str">
        <f ca="1">IFERROR(__xludf.DUMMYFUNCTION("""COMPUTED_VALUE"""),"RAWSON")</f>
        <v>RAWSON</v>
      </c>
      <c r="O1575" s="30" t="str">
        <f ca="1">IFERROR(__xludf.DUMMYFUNCTION("""COMPUTED_VALUE"""),"7077")</f>
        <v>7077</v>
      </c>
      <c r="P1575" s="30" t="str">
        <f ca="1">IFERROR(__xludf.DUMMYFUNCTION("""COMPUTED_VALUE"""),"RAWSON")</f>
        <v>RAWSON</v>
      </c>
      <c r="Q1575" s="30" t="str">
        <f ca="1">IFERROR(__xludf.DUMMYFUNCTION("""COMPUTED_VALUE"""),"-31.567361")</f>
        <v>-31.567361</v>
      </c>
      <c r="R1575" s="30" t="str">
        <f ca="1">IFERROR(__xludf.DUMMYFUNCTION("""COMPUTED_VALUE"""),"-68.5388")</f>
        <v>-68.5388</v>
      </c>
      <c r="S1575" s="30" t="str">
        <f ca="1">IFERROR(__xludf.DUMMYFUNCTION("""COMPUTED_VALUE"""),"Provincial")</f>
        <v>Provincial</v>
      </c>
      <c r="T1575" s="30" t="str">
        <f ca="1">IFERROR(__xludf.DUMMYFUNCTION("""COMPUTED_VALUE"""),"-")</f>
        <v>-</v>
      </c>
    </row>
    <row r="1576" spans="1:20" ht="15.75" customHeight="1" x14ac:dyDescent="0.25">
      <c r="A1576" s="30" t="str">
        <f ca="1">IFERROR(__xludf.DUMMYFUNCTION("""COMPUTED_VALUE"""),"50700772177099")</f>
        <v>50700772177099</v>
      </c>
      <c r="B1576" s="30" t="str">
        <f ca="1">IFERROR(__xludf.DUMMYFUNCTION("""COMPUTED_VALUE"""),"CAPS CENTRO DE ADIESTRAMIENTO DR. RENE FAVALORO")</f>
        <v>CAPS CENTRO DE ADIESTRAMIENTO DR. RENE FAVALORO</v>
      </c>
      <c r="C1576" s="30" t="str">
        <f ca="1">IFERROR(__xludf.DUMMYFUNCTION("""COMPUTED_VALUE"""),"San Juan")</f>
        <v>San Juan</v>
      </c>
      <c r="D1576" s="30" t="str">
        <f ca="1">IFERROR(__xludf.DUMMYFUNCTION("""COMPUTED_VALUE"""),"70")</f>
        <v>70</v>
      </c>
      <c r="E1576" s="30" t="str">
        <f ca="1">IFERROR(__xludf.DUMMYFUNCTION("""COMPUTED_VALUE"""),"")</f>
        <v/>
      </c>
      <c r="F1576" s="29"/>
      <c r="G1576" s="29"/>
      <c r="H1576" s="30" t="str">
        <f ca="1">IFERROR(__xludf.DUMMYFUNCTION("""COMPUTED_VALUE"""),"activo")</f>
        <v>activo</v>
      </c>
      <c r="I1576" s="29"/>
      <c r="J1576" s="29"/>
      <c r="K1576" s="29"/>
      <c r="L1576" s="30" t="str">
        <f ca="1">IFERROR(__xludf.DUMMYFUNCTION("""COMPUTED_VALUE"""),"No")</f>
        <v>No</v>
      </c>
      <c r="M1576" s="30" t="str">
        <f ca="1">IFERROR(__xludf.DUMMYFUNCTION("""COMPUTED_VALUE"""),"70077010002")</f>
        <v>70077010002</v>
      </c>
      <c r="N1576" s="30" t="str">
        <f ca="1">IFERROR(__xludf.DUMMYFUNCTION("""COMPUTED_VALUE"""),"RAWSON")</f>
        <v>RAWSON</v>
      </c>
      <c r="O1576" s="30" t="str">
        <f ca="1">IFERROR(__xludf.DUMMYFUNCTION("""COMPUTED_VALUE"""),"7077")</f>
        <v>7077</v>
      </c>
      <c r="P1576" s="30" t="str">
        <f ca="1">IFERROR(__xludf.DUMMYFUNCTION("""COMPUTED_VALUE"""),"RAWSON")</f>
        <v>RAWSON</v>
      </c>
      <c r="Q1576" s="30" t="str">
        <f ca="1">IFERROR(__xludf.DUMMYFUNCTION("""COMPUTED_VALUE"""),"-31.573028")</f>
        <v>-31.573028</v>
      </c>
      <c r="R1576" s="30" t="str">
        <f ca="1">IFERROR(__xludf.DUMMYFUNCTION("""COMPUTED_VALUE"""),"-68.5281")</f>
        <v>-68.5281</v>
      </c>
      <c r="S1576" s="30" t="str">
        <f ca="1">IFERROR(__xludf.DUMMYFUNCTION("""COMPUTED_VALUE"""),"Provincial")</f>
        <v>Provincial</v>
      </c>
      <c r="T1576" s="30" t="str">
        <f ca="1">IFERROR(__xludf.DUMMYFUNCTION("""COMPUTED_VALUE"""),"-")</f>
        <v>-</v>
      </c>
    </row>
    <row r="1577" spans="1:20" ht="15.75" customHeight="1" x14ac:dyDescent="0.25">
      <c r="A1577" s="30" t="str">
        <f ca="1">IFERROR(__xludf.DUMMYFUNCTION("""COMPUTED_VALUE"""),"50700772177116")</f>
        <v>50700772177116</v>
      </c>
      <c r="B1577" s="30" t="str">
        <f ca="1">IFERROR(__xludf.DUMMYFUNCTION("""COMPUTED_VALUE"""),"CAPS DR. ELIO CANTONI")</f>
        <v>CAPS DR. ELIO CANTONI</v>
      </c>
      <c r="C1577" s="30" t="str">
        <f ca="1">IFERROR(__xludf.DUMMYFUNCTION("""COMPUTED_VALUE"""),"San Juan")</f>
        <v>San Juan</v>
      </c>
      <c r="D1577" s="30" t="str">
        <f ca="1">IFERROR(__xludf.DUMMYFUNCTION("""COMPUTED_VALUE"""),"70")</f>
        <v>70</v>
      </c>
      <c r="E1577" s="30" t="str">
        <f ca="1">IFERROR(__xludf.DUMMYFUNCTION("""COMPUTED_VALUE"""),"")</f>
        <v/>
      </c>
      <c r="F1577" s="29"/>
      <c r="G1577" s="29"/>
      <c r="H1577" s="30" t="str">
        <f ca="1">IFERROR(__xludf.DUMMYFUNCTION("""COMPUTED_VALUE"""),"activo")</f>
        <v>activo</v>
      </c>
      <c r="I1577" s="29"/>
      <c r="J1577" s="29"/>
      <c r="K1577" s="29"/>
      <c r="L1577" s="30" t="str">
        <f ca="1">IFERROR(__xludf.DUMMYFUNCTION("""COMPUTED_VALUE"""),"No")</f>
        <v>No</v>
      </c>
      <c r="M1577" s="30" t="str">
        <f ca="1">IFERROR(__xludf.DUMMYFUNCTION("""COMPUTED_VALUE"""),"70077010002")</f>
        <v>70077010002</v>
      </c>
      <c r="N1577" s="30" t="str">
        <f ca="1">IFERROR(__xludf.DUMMYFUNCTION("""COMPUTED_VALUE"""),"RAWSON")</f>
        <v>RAWSON</v>
      </c>
      <c r="O1577" s="30" t="str">
        <f ca="1">IFERROR(__xludf.DUMMYFUNCTION("""COMPUTED_VALUE"""),"7077")</f>
        <v>7077</v>
      </c>
      <c r="P1577" s="30" t="str">
        <f ca="1">IFERROR(__xludf.DUMMYFUNCTION("""COMPUTED_VALUE"""),"RAWSON")</f>
        <v>RAWSON</v>
      </c>
      <c r="Q1577" s="30" t="str">
        <f ca="1">IFERROR(__xludf.DUMMYFUNCTION("""COMPUTED_VALUE"""),"-31.561389")</f>
        <v>-31.561389</v>
      </c>
      <c r="R1577" s="30" t="str">
        <f ca="1">IFERROR(__xludf.DUMMYFUNCTION("""COMPUTED_VALUE"""),"-68.5496")</f>
        <v>-68.5496</v>
      </c>
      <c r="S1577" s="30" t="str">
        <f ca="1">IFERROR(__xludf.DUMMYFUNCTION("""COMPUTED_VALUE"""),"Provincial")</f>
        <v>Provincial</v>
      </c>
      <c r="T1577" s="30" t="str">
        <f ca="1">IFERROR(__xludf.DUMMYFUNCTION("""COMPUTED_VALUE"""),"-")</f>
        <v>-</v>
      </c>
    </row>
    <row r="1578" spans="1:20" ht="15.75" customHeight="1" x14ac:dyDescent="0.25">
      <c r="A1578" s="30" t="str">
        <f ca="1">IFERROR(__xludf.DUMMYFUNCTION("""COMPUTED_VALUE"""),"50700772177161")</f>
        <v>50700772177161</v>
      </c>
      <c r="B1578" s="30" t="str">
        <f ca="1">IFERROR(__xludf.DUMMYFUNCTION("""COMPUTED_VALUE"""),"CAPS MAURIN NAVARRO")</f>
        <v>CAPS MAURIN NAVARRO</v>
      </c>
      <c r="C1578" s="30" t="str">
        <f ca="1">IFERROR(__xludf.DUMMYFUNCTION("""COMPUTED_VALUE"""),"San Juan")</f>
        <v>San Juan</v>
      </c>
      <c r="D1578" s="30" t="str">
        <f ca="1">IFERROR(__xludf.DUMMYFUNCTION("""COMPUTED_VALUE"""),"70")</f>
        <v>70</v>
      </c>
      <c r="E1578" s="30" t="str">
        <f ca="1">IFERROR(__xludf.DUMMYFUNCTION("""COMPUTED_VALUE"""),"")</f>
        <v/>
      </c>
      <c r="F1578" s="29"/>
      <c r="G1578" s="29"/>
      <c r="H1578" s="30" t="str">
        <f ca="1">IFERROR(__xludf.DUMMYFUNCTION("""COMPUTED_VALUE"""),"activo")</f>
        <v>activo</v>
      </c>
      <c r="I1578" s="29"/>
      <c r="J1578" s="29"/>
      <c r="K1578" s="29"/>
      <c r="L1578" s="30" t="str">
        <f ca="1">IFERROR(__xludf.DUMMYFUNCTION("""COMPUTED_VALUE"""),"No")</f>
        <v>No</v>
      </c>
      <c r="M1578" s="30" t="str">
        <f ca="1">IFERROR(__xludf.DUMMYFUNCTION("""COMPUTED_VALUE"""),"70077010003")</f>
        <v>70077010003</v>
      </c>
      <c r="N1578" s="30" t="str">
        <f ca="1">IFERROR(__xludf.DUMMYFUNCTION("""COMPUTED_VALUE"""),"VILLA KRAUSE")</f>
        <v>VILLA KRAUSE</v>
      </c>
      <c r="O1578" s="30" t="str">
        <f ca="1">IFERROR(__xludf.DUMMYFUNCTION("""COMPUTED_VALUE"""),"7077")</f>
        <v>7077</v>
      </c>
      <c r="P1578" s="30" t="str">
        <f ca="1">IFERROR(__xludf.DUMMYFUNCTION("""COMPUTED_VALUE"""),"RAWSON")</f>
        <v>RAWSON</v>
      </c>
      <c r="Q1578" s="30" t="str">
        <f ca="1">IFERROR(__xludf.DUMMYFUNCTION("""COMPUTED_VALUE"""),"-31.582306")</f>
        <v>-31.582306</v>
      </c>
      <c r="R1578" s="30" t="str">
        <f ca="1">IFERROR(__xludf.DUMMYFUNCTION("""COMPUTED_VALUE"""),"-68.5592")</f>
        <v>-68.5592</v>
      </c>
      <c r="S1578" s="30" t="str">
        <f ca="1">IFERROR(__xludf.DUMMYFUNCTION("""COMPUTED_VALUE"""),"Provincial")</f>
        <v>Provincial</v>
      </c>
      <c r="T1578" s="30" t="str">
        <f ca="1">IFERROR(__xludf.DUMMYFUNCTION("""COMPUTED_VALUE"""),"-")</f>
        <v>-</v>
      </c>
    </row>
    <row r="1579" spans="1:20" ht="15.75" customHeight="1" x14ac:dyDescent="0.25">
      <c r="A1579" s="30" t="str">
        <f ca="1">IFERROR(__xludf.DUMMYFUNCTION("""COMPUTED_VALUE"""),"50700772177165")</f>
        <v>50700772177165</v>
      </c>
      <c r="B1579" s="30" t="str">
        <f ca="1">IFERROR(__xludf.DUMMYFUNCTION("""COMPUTED_VALUE"""),"CAPS MONSEÑOR DI STEFANO")</f>
        <v>CAPS MONSEÑOR DI STEFANO</v>
      </c>
      <c r="C1579" s="30" t="str">
        <f ca="1">IFERROR(__xludf.DUMMYFUNCTION("""COMPUTED_VALUE"""),"San Juan")</f>
        <v>San Juan</v>
      </c>
      <c r="D1579" s="30" t="str">
        <f ca="1">IFERROR(__xludf.DUMMYFUNCTION("""COMPUTED_VALUE"""),"70")</f>
        <v>70</v>
      </c>
      <c r="E1579" s="30" t="str">
        <f ca="1">IFERROR(__xludf.DUMMYFUNCTION("""COMPUTED_VALUE"""),"")</f>
        <v/>
      </c>
      <c r="F1579" s="29"/>
      <c r="G1579" s="29"/>
      <c r="H1579" s="30" t="str">
        <f ca="1">IFERROR(__xludf.DUMMYFUNCTION("""COMPUTED_VALUE"""),"activo")</f>
        <v>activo</v>
      </c>
      <c r="I1579" s="29"/>
      <c r="J1579" s="29"/>
      <c r="K1579" s="29"/>
      <c r="L1579" s="30" t="str">
        <f ca="1">IFERROR(__xludf.DUMMYFUNCTION("""COMPUTED_VALUE"""),"No")</f>
        <v>No</v>
      </c>
      <c r="M1579" s="30" t="str">
        <f ca="1">IFERROR(__xludf.DUMMYFUNCTION("""COMPUTED_VALUE"""),"70077010003")</f>
        <v>70077010003</v>
      </c>
      <c r="N1579" s="30" t="str">
        <f ca="1">IFERROR(__xludf.DUMMYFUNCTION("""COMPUTED_VALUE"""),"VILLA KRAUSE")</f>
        <v>VILLA KRAUSE</v>
      </c>
      <c r="O1579" s="30" t="str">
        <f ca="1">IFERROR(__xludf.DUMMYFUNCTION("""COMPUTED_VALUE"""),"7077")</f>
        <v>7077</v>
      </c>
      <c r="P1579" s="30" t="str">
        <f ca="1">IFERROR(__xludf.DUMMYFUNCTION("""COMPUTED_VALUE"""),"RAWSON")</f>
        <v>RAWSON</v>
      </c>
      <c r="Q1579" s="30" t="str">
        <f ca="1">IFERROR(__xludf.DUMMYFUNCTION("""COMPUTED_VALUE"""),"-31.581389")</f>
        <v>-31.581389</v>
      </c>
      <c r="R1579" s="30" t="str">
        <f ca="1">IFERROR(__xludf.DUMMYFUNCTION("""COMPUTED_VALUE"""),"-68.553")</f>
        <v>-68.553</v>
      </c>
      <c r="S1579" s="30" t="str">
        <f ca="1">IFERROR(__xludf.DUMMYFUNCTION("""COMPUTED_VALUE"""),"Provincial")</f>
        <v>Provincial</v>
      </c>
      <c r="T1579" s="30" t="str">
        <f ca="1">IFERROR(__xludf.DUMMYFUNCTION("""COMPUTED_VALUE"""),"-")</f>
        <v>-</v>
      </c>
    </row>
    <row r="1580" spans="1:20" ht="15.75" customHeight="1" x14ac:dyDescent="0.25">
      <c r="A1580" s="30" t="str">
        <f ca="1">IFERROR(__xludf.DUMMYFUNCTION("""COMPUTED_VALUE"""),"50700772277251")</f>
        <v>50700772277251</v>
      </c>
      <c r="B1580" s="30" t="str">
        <f ca="1">IFERROR(__xludf.DUMMYFUNCTION("""COMPUTED_VALUE"""),"CIC MEDANO DE ORO")</f>
        <v>CIC MEDANO DE ORO</v>
      </c>
      <c r="C1580" s="30" t="str">
        <f ca="1">IFERROR(__xludf.DUMMYFUNCTION("""COMPUTED_VALUE"""),"San Juan")</f>
        <v>San Juan</v>
      </c>
      <c r="D1580" s="30" t="str">
        <f ca="1">IFERROR(__xludf.DUMMYFUNCTION("""COMPUTED_VALUE"""),"70")</f>
        <v>70</v>
      </c>
      <c r="E1580" s="30" t="str">
        <f ca="1">IFERROR(__xludf.DUMMYFUNCTION("""COMPUTED_VALUE"""),"")</f>
        <v/>
      </c>
      <c r="F1580" s="29"/>
      <c r="G1580" s="29"/>
      <c r="H1580" s="30" t="str">
        <f ca="1">IFERROR(__xludf.DUMMYFUNCTION("""COMPUTED_VALUE"""),"activo")</f>
        <v>activo</v>
      </c>
      <c r="I1580" s="29"/>
      <c r="J1580" s="29"/>
      <c r="K1580" s="29"/>
      <c r="L1580" s="30" t="str">
        <f ca="1">IFERROR(__xludf.DUMMYFUNCTION("""COMPUTED_VALUE"""),"No")</f>
        <v>No</v>
      </c>
      <c r="M1580" s="30" t="str">
        <f ca="1">IFERROR(__xludf.DUMMYFUNCTION("""COMPUTED_VALUE"""),"70077010002")</f>
        <v>70077010002</v>
      </c>
      <c r="N1580" s="30" t="str">
        <f ca="1">IFERROR(__xludf.DUMMYFUNCTION("""COMPUTED_VALUE"""),"RAWSON")</f>
        <v>RAWSON</v>
      </c>
      <c r="O1580" s="30" t="str">
        <f ca="1">IFERROR(__xludf.DUMMYFUNCTION("""COMPUTED_VALUE"""),"7077")</f>
        <v>7077</v>
      </c>
      <c r="P1580" s="30" t="str">
        <f ca="1">IFERROR(__xludf.DUMMYFUNCTION("""COMPUTED_VALUE"""),"RAWSON")</f>
        <v>RAWSON</v>
      </c>
      <c r="Q1580" s="30" t="str">
        <f ca="1">IFERROR(__xludf.DUMMYFUNCTION("""COMPUTED_VALUE"""),"-31.629333")</f>
        <v>-31.629333</v>
      </c>
      <c r="R1580" s="30" t="str">
        <f ca="1">IFERROR(__xludf.DUMMYFUNCTION("""COMPUTED_VALUE"""),"-68.4797")</f>
        <v>-68.4797</v>
      </c>
      <c r="S1580" s="30" t="str">
        <f ca="1">IFERROR(__xludf.DUMMYFUNCTION("""COMPUTED_VALUE"""),"Municipal")</f>
        <v>Municipal</v>
      </c>
      <c r="T1580" s="29"/>
    </row>
    <row r="1581" spans="1:20" ht="15.75" customHeight="1" x14ac:dyDescent="0.25">
      <c r="A1581" s="30" t="str">
        <f ca="1">IFERROR(__xludf.DUMMYFUNCTION("""COMPUTED_VALUE"""),"50700772277256")</f>
        <v>50700772277256</v>
      </c>
      <c r="B1581" s="30" t="str">
        <f ca="1">IFERROR(__xludf.DUMMYFUNCTION("""COMPUTED_VALUE"""),"CIC VILLA ANGELICA")</f>
        <v>CIC VILLA ANGELICA</v>
      </c>
      <c r="C1581" s="30" t="str">
        <f ca="1">IFERROR(__xludf.DUMMYFUNCTION("""COMPUTED_VALUE"""),"San Juan")</f>
        <v>San Juan</v>
      </c>
      <c r="D1581" s="30" t="str">
        <f ca="1">IFERROR(__xludf.DUMMYFUNCTION("""COMPUTED_VALUE"""),"70")</f>
        <v>70</v>
      </c>
      <c r="E1581" s="30" t="str">
        <f ca="1">IFERROR(__xludf.DUMMYFUNCTION("""COMPUTED_VALUE"""),"")</f>
        <v/>
      </c>
      <c r="F1581" s="29"/>
      <c r="G1581" s="29"/>
      <c r="H1581" s="30" t="str">
        <f ca="1">IFERROR(__xludf.DUMMYFUNCTION("""COMPUTED_VALUE"""),"activo")</f>
        <v>activo</v>
      </c>
      <c r="I1581" s="29"/>
      <c r="J1581" s="29"/>
      <c r="K1581" s="29"/>
      <c r="L1581" s="30" t="str">
        <f ca="1">IFERROR(__xludf.DUMMYFUNCTION("""COMPUTED_VALUE"""),"No")</f>
        <v>No</v>
      </c>
      <c r="M1581" s="30" t="str">
        <f ca="1">IFERROR(__xludf.DUMMYFUNCTION("""COMPUTED_VALUE"""),"70077010002")</f>
        <v>70077010002</v>
      </c>
      <c r="N1581" s="30" t="str">
        <f ca="1">IFERROR(__xludf.DUMMYFUNCTION("""COMPUTED_VALUE"""),"RAWSON")</f>
        <v>RAWSON</v>
      </c>
      <c r="O1581" s="30" t="str">
        <f ca="1">IFERROR(__xludf.DUMMYFUNCTION("""COMPUTED_VALUE"""),"7077")</f>
        <v>7077</v>
      </c>
      <c r="P1581" s="30" t="str">
        <f ca="1">IFERROR(__xludf.DUMMYFUNCTION("""COMPUTED_VALUE"""),"RAWSON")</f>
        <v>RAWSON</v>
      </c>
      <c r="Q1581" s="30" t="str">
        <f ca="1">IFERROR(__xludf.DUMMYFUNCTION("""COMPUTED_VALUE"""),"-31.562167")</f>
        <v>-31.562167</v>
      </c>
      <c r="R1581" s="30" t="str">
        <f ca="1">IFERROR(__xludf.DUMMYFUNCTION("""COMPUTED_VALUE"""),"-68.5632")</f>
        <v>-68.5632</v>
      </c>
      <c r="S1581" s="30" t="str">
        <f ca="1">IFERROR(__xludf.DUMMYFUNCTION("""COMPUTED_VALUE"""),"Municipal")</f>
        <v>Municipal</v>
      </c>
      <c r="T1581" s="29"/>
    </row>
    <row r="1582" spans="1:20" ht="15.75" customHeight="1" x14ac:dyDescent="0.25">
      <c r="A1582" s="30" t="str">
        <f ca="1">IFERROR(__xludf.DUMMYFUNCTION("""COMPUTED_VALUE"""),"50700842177139")</f>
        <v>50700842177139</v>
      </c>
      <c r="B1582" s="30" t="str">
        <f ca="1">IFERROR(__xludf.DUMMYFUNCTION("""COMPUTED_VALUE"""),"CAPS LA BEBIDA")</f>
        <v>CAPS LA BEBIDA</v>
      </c>
      <c r="C1582" s="30" t="str">
        <f ca="1">IFERROR(__xludf.DUMMYFUNCTION("""COMPUTED_VALUE"""),"San Juan")</f>
        <v>San Juan</v>
      </c>
      <c r="D1582" s="30" t="str">
        <f ca="1">IFERROR(__xludf.DUMMYFUNCTION("""COMPUTED_VALUE"""),"70")</f>
        <v>70</v>
      </c>
      <c r="E1582" s="30" t="str">
        <f ca="1">IFERROR(__xludf.DUMMYFUNCTION("""COMPUTED_VALUE"""),"")</f>
        <v/>
      </c>
      <c r="F1582" s="29"/>
      <c r="G1582" s="29"/>
      <c r="H1582" s="30" t="str">
        <f ca="1">IFERROR(__xludf.DUMMYFUNCTION("""COMPUTED_VALUE"""),"activo")</f>
        <v>activo</v>
      </c>
      <c r="I1582" s="29"/>
      <c r="J1582" s="29"/>
      <c r="K1582" s="29"/>
      <c r="L1582" s="30" t="str">
        <f ca="1">IFERROR(__xludf.DUMMYFUNCTION("""COMPUTED_VALUE"""),"No")</f>
        <v>No</v>
      </c>
      <c r="M1582" s="30" t="str">
        <f ca="1">IFERROR(__xludf.DUMMYFUNCTION("""COMPUTED_VALUE"""),"70084010000")</f>
        <v>70084010000</v>
      </c>
      <c r="N1582" s="30" t="str">
        <f ca="1">IFERROR(__xludf.DUMMYFUNCTION("""COMPUTED_VALUE"""),"RIVADAVIA")</f>
        <v>RIVADAVIA</v>
      </c>
      <c r="O1582" s="30" t="str">
        <f ca="1">IFERROR(__xludf.DUMMYFUNCTION("""COMPUTED_VALUE"""),"7084")</f>
        <v>7084</v>
      </c>
      <c r="P1582" s="30" t="str">
        <f ca="1">IFERROR(__xludf.DUMMYFUNCTION("""COMPUTED_VALUE"""),"RIVADAVIA")</f>
        <v>RIVADAVIA</v>
      </c>
      <c r="Q1582" s="30" t="str">
        <f ca="1">IFERROR(__xludf.DUMMYFUNCTION("""COMPUTED_VALUE"""),"-31.539889")</f>
        <v>-31.539889</v>
      </c>
      <c r="R1582" s="30" t="str">
        <f ca="1">IFERROR(__xludf.DUMMYFUNCTION("""COMPUTED_VALUE"""),"-68.618482")</f>
        <v>-68.618482</v>
      </c>
      <c r="S1582" s="30" t="str">
        <f ca="1">IFERROR(__xludf.DUMMYFUNCTION("""COMPUTED_VALUE"""),"Provincial")</f>
        <v>Provincial</v>
      </c>
      <c r="T1582" s="30" t="str">
        <f ca="1">IFERROR(__xludf.DUMMYFUNCTION("""COMPUTED_VALUE"""),"-")</f>
        <v>-</v>
      </c>
    </row>
    <row r="1583" spans="1:20" ht="15.75" customHeight="1" x14ac:dyDescent="0.25">
      <c r="A1583" s="30" t="str">
        <f ca="1">IFERROR(__xludf.DUMMYFUNCTION("""COMPUTED_VALUE"""),"50700982177118")</f>
        <v>50700982177118</v>
      </c>
      <c r="B1583" s="30" t="str">
        <f ca="1">IFERROR(__xludf.DUMMYFUNCTION("""COMPUTED_VALUE"""),"CAPS DR. HORACIO GRILLO")</f>
        <v>CAPS DR. HORACIO GRILLO</v>
      </c>
      <c r="C1583" s="30" t="str">
        <f ca="1">IFERROR(__xludf.DUMMYFUNCTION("""COMPUTED_VALUE"""),"San Juan")</f>
        <v>San Juan</v>
      </c>
      <c r="D1583" s="30" t="str">
        <f ca="1">IFERROR(__xludf.DUMMYFUNCTION("""COMPUTED_VALUE"""),"70")</f>
        <v>70</v>
      </c>
      <c r="E1583" s="30" t="str">
        <f ca="1">IFERROR(__xludf.DUMMYFUNCTION("""COMPUTED_VALUE"""),"")</f>
        <v/>
      </c>
      <c r="F1583" s="29"/>
      <c r="G1583" s="29"/>
      <c r="H1583" s="30" t="str">
        <f ca="1">IFERROR(__xludf.DUMMYFUNCTION("""COMPUTED_VALUE"""),"activo")</f>
        <v>activo</v>
      </c>
      <c r="I1583" s="29"/>
      <c r="J1583" s="29"/>
      <c r="K1583" s="29"/>
      <c r="L1583" s="30" t="str">
        <f ca="1">IFERROR(__xludf.DUMMYFUNCTION("""COMPUTED_VALUE"""),"No")</f>
        <v>No</v>
      </c>
      <c r="M1583" s="30" t="str">
        <f ca="1">IFERROR(__xludf.DUMMYFUNCTION("""COMPUTED_VALUE"""),"70098010001")</f>
        <v>70098010001</v>
      </c>
      <c r="N1583" s="30" t="str">
        <f ca="1">IFERROR(__xludf.DUMMYFUNCTION("""COMPUTED_VALUE"""),"ALTO DE SIERRA")</f>
        <v>ALTO DE SIERRA</v>
      </c>
      <c r="O1583" s="30" t="str">
        <f ca="1">IFERROR(__xludf.DUMMYFUNCTION("""COMPUTED_VALUE"""),"7098")</f>
        <v>7098</v>
      </c>
      <c r="P1583" s="30" t="str">
        <f ca="1">IFERROR(__xludf.DUMMYFUNCTION("""COMPUTED_VALUE"""),"SANTA LUCÍA")</f>
        <v>SANTA LUCÍA</v>
      </c>
      <c r="Q1583" s="30" t="str">
        <f ca="1">IFERROR(__xludf.DUMMYFUNCTION("""COMPUTED_VALUE"""),"-31.5367644")</f>
        <v>-31.5367644</v>
      </c>
      <c r="R1583" s="30" t="str">
        <f ca="1">IFERROR(__xludf.DUMMYFUNCTION("""COMPUTED_VALUE"""),"-68.449399")</f>
        <v>-68.449399</v>
      </c>
      <c r="S1583" s="30" t="str">
        <f ca="1">IFERROR(__xludf.DUMMYFUNCTION("""COMPUTED_VALUE"""),"Provincial")</f>
        <v>Provincial</v>
      </c>
      <c r="T1583" s="30" t="str">
        <f ca="1">IFERROR(__xludf.DUMMYFUNCTION("""COMPUTED_VALUE"""),"-")</f>
        <v>-</v>
      </c>
    </row>
    <row r="1584" spans="1:20" ht="15.75" customHeight="1" x14ac:dyDescent="0.25">
      <c r="A1584" s="30" t="str">
        <f ca="1">IFERROR(__xludf.DUMMYFUNCTION("""COMPUTED_VALUE"""),"50700982177202")</f>
        <v>50700982177202</v>
      </c>
      <c r="B1584" s="30" t="str">
        <f ca="1">IFERROR(__xludf.DUMMYFUNCTION("""COMPUTED_VALUE"""),"CAPS VILLA MARIA")</f>
        <v>CAPS VILLA MARIA</v>
      </c>
      <c r="C1584" s="30" t="str">
        <f ca="1">IFERROR(__xludf.DUMMYFUNCTION("""COMPUTED_VALUE"""),"San Juan")</f>
        <v>San Juan</v>
      </c>
      <c r="D1584" s="30" t="str">
        <f ca="1">IFERROR(__xludf.DUMMYFUNCTION("""COMPUTED_VALUE"""),"70")</f>
        <v>70</v>
      </c>
      <c r="E1584" s="30" t="str">
        <f ca="1">IFERROR(__xludf.DUMMYFUNCTION("""COMPUTED_VALUE"""),"")</f>
        <v/>
      </c>
      <c r="F1584" s="29"/>
      <c r="G1584" s="29"/>
      <c r="H1584" s="30" t="str">
        <f ca="1">IFERROR(__xludf.DUMMYFUNCTION("""COMPUTED_VALUE"""),"activo")</f>
        <v>activo</v>
      </c>
      <c r="I1584" s="29"/>
      <c r="J1584" s="29"/>
      <c r="K1584" s="29"/>
      <c r="L1584" s="30" t="str">
        <f ca="1">IFERROR(__xludf.DUMMYFUNCTION("""COMPUTED_VALUE"""),"No")</f>
        <v>No</v>
      </c>
      <c r="M1584" s="30" t="str">
        <f ca="1">IFERROR(__xludf.DUMMYFUNCTION("""COMPUTED_VALUE"""),"70098010003")</f>
        <v>70098010003</v>
      </c>
      <c r="N1584" s="30" t="str">
        <f ca="1">IFERROR(__xludf.DUMMYFUNCTION("""COMPUTED_VALUE"""),"SANTA LUCIA")</f>
        <v>SANTA LUCIA</v>
      </c>
      <c r="O1584" s="30" t="str">
        <f ca="1">IFERROR(__xludf.DUMMYFUNCTION("""COMPUTED_VALUE"""),"7098")</f>
        <v>7098</v>
      </c>
      <c r="P1584" s="30" t="str">
        <f ca="1">IFERROR(__xludf.DUMMYFUNCTION("""COMPUTED_VALUE"""),"SANTA LUCÍA")</f>
        <v>SANTA LUCÍA</v>
      </c>
      <c r="Q1584" s="30" t="str">
        <f ca="1">IFERROR(__xludf.DUMMYFUNCTION("""COMPUTED_VALUE"""),"-31.5444398")</f>
        <v>-31.5444398</v>
      </c>
      <c r="R1584" s="30" t="str">
        <f ca="1">IFERROR(__xludf.DUMMYFUNCTION("""COMPUTED_VALUE"""),"-68.4937822")</f>
        <v>-68.4937822</v>
      </c>
      <c r="S1584" s="30" t="str">
        <f ca="1">IFERROR(__xludf.DUMMYFUNCTION("""COMPUTED_VALUE"""),"Provincial")</f>
        <v>Provincial</v>
      </c>
      <c r="T1584" s="30" t="str">
        <f ca="1">IFERROR(__xludf.DUMMYFUNCTION("""COMPUTED_VALUE"""),"-")</f>
        <v>-</v>
      </c>
    </row>
    <row r="1585" spans="1:20" ht="15.75" customHeight="1" x14ac:dyDescent="0.25">
      <c r="A1585" s="30" t="str">
        <f ca="1">IFERROR(__xludf.DUMMYFUNCTION("""COMPUTED_VALUE"""),"50700982177203")</f>
        <v>50700982177203</v>
      </c>
      <c r="B1585" s="30" t="str">
        <f ca="1">IFERROR(__xludf.DUMMYFUNCTION("""COMPUTED_VALUE"""),"CAPS VILLA MARINI")</f>
        <v>CAPS VILLA MARINI</v>
      </c>
      <c r="C1585" s="30" t="str">
        <f ca="1">IFERROR(__xludf.DUMMYFUNCTION("""COMPUTED_VALUE"""),"San Juan")</f>
        <v>San Juan</v>
      </c>
      <c r="D1585" s="30" t="str">
        <f ca="1">IFERROR(__xludf.DUMMYFUNCTION("""COMPUTED_VALUE"""),"70")</f>
        <v>70</v>
      </c>
      <c r="E1585" s="30" t="str">
        <f ca="1">IFERROR(__xludf.DUMMYFUNCTION("""COMPUTED_VALUE"""),"")</f>
        <v/>
      </c>
      <c r="F1585" s="29"/>
      <c r="G1585" s="29"/>
      <c r="H1585" s="30" t="str">
        <f ca="1">IFERROR(__xludf.DUMMYFUNCTION("""COMPUTED_VALUE"""),"activo")</f>
        <v>activo</v>
      </c>
      <c r="I1585" s="29"/>
      <c r="J1585" s="29"/>
      <c r="K1585" s="29"/>
      <c r="L1585" s="30" t="str">
        <f ca="1">IFERROR(__xludf.DUMMYFUNCTION("""COMPUTED_VALUE"""),"No")</f>
        <v>No</v>
      </c>
      <c r="M1585" s="30" t="str">
        <f ca="1">IFERROR(__xludf.DUMMYFUNCTION("""COMPUTED_VALUE"""),"70098010003")</f>
        <v>70098010003</v>
      </c>
      <c r="N1585" s="30" t="str">
        <f ca="1">IFERROR(__xludf.DUMMYFUNCTION("""COMPUTED_VALUE"""),"SANTA LUCIA")</f>
        <v>SANTA LUCIA</v>
      </c>
      <c r="O1585" s="30" t="str">
        <f ca="1">IFERROR(__xludf.DUMMYFUNCTION("""COMPUTED_VALUE"""),"7098")</f>
        <v>7098</v>
      </c>
      <c r="P1585" s="30" t="str">
        <f ca="1">IFERROR(__xludf.DUMMYFUNCTION("""COMPUTED_VALUE"""),"SANTA LUCÍA")</f>
        <v>SANTA LUCÍA</v>
      </c>
      <c r="Q1585" s="30" t="str">
        <f ca="1">IFERROR(__xludf.DUMMYFUNCTION("""COMPUTED_VALUE"""),"-31.5191627")</f>
        <v>-31.5191627</v>
      </c>
      <c r="R1585" s="30" t="str">
        <f ca="1">IFERROR(__xludf.DUMMYFUNCTION("""COMPUTED_VALUE"""),"-68.5127908")</f>
        <v>-68.5127908</v>
      </c>
      <c r="S1585" s="30" t="str">
        <f ca="1">IFERROR(__xludf.DUMMYFUNCTION("""COMPUTED_VALUE"""),"Provincial")</f>
        <v>Provincial</v>
      </c>
      <c r="T1585" s="30" t="str">
        <f ca="1">IFERROR(__xludf.DUMMYFUNCTION("""COMPUTED_VALUE"""),"-")</f>
        <v>-</v>
      </c>
    </row>
    <row r="1586" spans="1:20" ht="15.75" customHeight="1" x14ac:dyDescent="0.25">
      <c r="A1586" s="30" t="str">
        <f ca="1">IFERROR(__xludf.DUMMYFUNCTION("""COMPUTED_VALUE"""),"50701262177114")</f>
        <v>50701262177114</v>
      </c>
      <c r="B1586" s="30" t="str">
        <f ca="1">IFERROR(__xludf.DUMMYFUNCTION("""COMPUTED_VALUE"""),"CAPS DOMINGO RAMON CEJAS")</f>
        <v>CAPS DOMINGO RAMON CEJAS</v>
      </c>
      <c r="C1586" s="30" t="str">
        <f ca="1">IFERROR(__xludf.DUMMYFUNCTION("""COMPUTED_VALUE"""),"San Juan")</f>
        <v>San Juan</v>
      </c>
      <c r="D1586" s="30" t="str">
        <f ca="1">IFERROR(__xludf.DUMMYFUNCTION("""COMPUTED_VALUE"""),"70")</f>
        <v>70</v>
      </c>
      <c r="E1586" s="30" t="str">
        <f ca="1">IFERROR(__xludf.DUMMYFUNCTION("""COMPUTED_VALUE"""),"")</f>
        <v/>
      </c>
      <c r="F1586" s="29"/>
      <c r="G1586" s="29"/>
      <c r="H1586" s="30" t="str">
        <f ca="1">IFERROR(__xludf.DUMMYFUNCTION("""COMPUTED_VALUE"""),"activo")</f>
        <v>activo</v>
      </c>
      <c r="I1586" s="29"/>
      <c r="J1586" s="29"/>
      <c r="K1586" s="29"/>
      <c r="L1586" s="30" t="str">
        <f ca="1">IFERROR(__xludf.DUMMYFUNCTION("""COMPUTED_VALUE"""),"No")</f>
        <v>No</v>
      </c>
      <c r="M1586" s="30" t="str">
        <f ca="1">IFERROR(__xludf.DUMMYFUNCTION("""COMPUTED_VALUE"""),"70126050000")</f>
        <v>70126050000</v>
      </c>
      <c r="N1586" s="30" t="str">
        <f ca="1">IFERROR(__xludf.DUMMYFUNCTION("""COMPUTED_VALUE"""),"VILLA SANTA ROSA")</f>
        <v>VILLA SANTA ROSA</v>
      </c>
      <c r="O1586" s="30" t="str">
        <f ca="1">IFERROR(__xludf.DUMMYFUNCTION("""COMPUTED_VALUE"""),"70126")</f>
        <v>70126</v>
      </c>
      <c r="P1586" s="30" t="str">
        <f ca="1">IFERROR(__xludf.DUMMYFUNCTION("""COMPUTED_VALUE"""),"25 DE MAYO")</f>
        <v>25 DE MAYO</v>
      </c>
      <c r="Q1586" s="30" t="str">
        <f ca="1">IFERROR(__xludf.DUMMYFUNCTION("""COMPUTED_VALUE"""),"-31.81467474")</f>
        <v>-31.81467474</v>
      </c>
      <c r="R1586" s="30" t="str">
        <f ca="1">IFERROR(__xludf.DUMMYFUNCTION("""COMPUTED_VALUE"""),"-68.32920492")</f>
        <v>-68.32920492</v>
      </c>
      <c r="S1586" s="30" t="str">
        <f ca="1">IFERROR(__xludf.DUMMYFUNCTION("""COMPUTED_VALUE"""),"Provincial")</f>
        <v>Provincial</v>
      </c>
      <c r="T1586" s="30" t="str">
        <f ca="1">IFERROR(__xludf.DUMMYFUNCTION("""COMPUTED_VALUE"""),"-")</f>
        <v>-</v>
      </c>
    </row>
    <row r="1587" spans="1:20" ht="15.75" customHeight="1" x14ac:dyDescent="0.25">
      <c r="A1587" s="30" t="str">
        <f ca="1">IFERROR(__xludf.DUMMYFUNCTION("""COMPUTED_VALUE"""),"50701262177186")</f>
        <v>50701262177186</v>
      </c>
      <c r="B1587" s="30" t="str">
        <f ca="1">IFERROR(__xludf.DUMMYFUNCTION("""COMPUTED_VALUE"""),"CAPS SANTA ROSA")</f>
        <v>CAPS SANTA ROSA</v>
      </c>
      <c r="C1587" s="30" t="str">
        <f ca="1">IFERROR(__xludf.DUMMYFUNCTION("""COMPUTED_VALUE"""),"San Juan")</f>
        <v>San Juan</v>
      </c>
      <c r="D1587" s="30" t="str">
        <f ca="1">IFERROR(__xludf.DUMMYFUNCTION("""COMPUTED_VALUE"""),"70")</f>
        <v>70</v>
      </c>
      <c r="E1587" s="30" t="str">
        <f ca="1">IFERROR(__xludf.DUMMYFUNCTION("""COMPUTED_VALUE"""),"")</f>
        <v/>
      </c>
      <c r="F1587" s="29"/>
      <c r="G1587" s="29"/>
      <c r="H1587" s="30" t="str">
        <f ca="1">IFERROR(__xludf.DUMMYFUNCTION("""COMPUTED_VALUE"""),"activo")</f>
        <v>activo</v>
      </c>
      <c r="I1587" s="29"/>
      <c r="J1587" s="29"/>
      <c r="K1587" s="29"/>
      <c r="L1587" s="30" t="str">
        <f ca="1">IFERROR(__xludf.DUMMYFUNCTION("""COMPUTED_VALUE"""),"No")</f>
        <v>No</v>
      </c>
      <c r="M1587" s="30" t="str">
        <f ca="1">IFERROR(__xludf.DUMMYFUNCTION("""COMPUTED_VALUE"""),"70126050000")</f>
        <v>70126050000</v>
      </c>
      <c r="N1587" s="30" t="str">
        <f ca="1">IFERROR(__xludf.DUMMYFUNCTION("""COMPUTED_VALUE"""),"VILLA SANTA ROSA")</f>
        <v>VILLA SANTA ROSA</v>
      </c>
      <c r="O1587" s="30" t="str">
        <f ca="1">IFERROR(__xludf.DUMMYFUNCTION("""COMPUTED_VALUE"""),"70126")</f>
        <v>70126</v>
      </c>
      <c r="P1587" s="30" t="str">
        <f ca="1">IFERROR(__xludf.DUMMYFUNCTION("""COMPUTED_VALUE"""),"25 DE MAYO")</f>
        <v>25 DE MAYO</v>
      </c>
      <c r="Q1587" s="30" t="str">
        <f ca="1">IFERROR(__xludf.DUMMYFUNCTION("""COMPUTED_VALUE"""),"-31.74636149")</f>
        <v>-31.74636149</v>
      </c>
      <c r="R1587" s="30" t="str">
        <f ca="1">IFERROR(__xludf.DUMMYFUNCTION("""COMPUTED_VALUE"""),"-68.31438303")</f>
        <v>-68.31438303</v>
      </c>
      <c r="S1587" s="30" t="str">
        <f ca="1">IFERROR(__xludf.DUMMYFUNCTION("""COMPUTED_VALUE"""),"Provincial")</f>
        <v>Provincial</v>
      </c>
      <c r="T1587" s="30" t="str">
        <f ca="1">IFERROR(__xludf.DUMMYFUNCTION("""COMPUTED_VALUE"""),"-")</f>
        <v>-</v>
      </c>
    </row>
    <row r="1588" spans="1:20" ht="15.75" customHeight="1" x14ac:dyDescent="0.25">
      <c r="A1588" s="30" t="str">
        <f ca="1">IFERROR(__xludf.DUMMYFUNCTION("""COMPUTED_VALUE"""),"50701332177211")</f>
        <v>50701332177211</v>
      </c>
      <c r="B1588" s="30" t="str">
        <f ca="1">IFERROR(__xludf.DUMMYFUNCTION("""COMPUTED_VALUE"""),"CAPS ZONDA")</f>
        <v>CAPS ZONDA</v>
      </c>
      <c r="C1588" s="30" t="str">
        <f ca="1">IFERROR(__xludf.DUMMYFUNCTION("""COMPUTED_VALUE"""),"San Juan")</f>
        <v>San Juan</v>
      </c>
      <c r="D1588" s="30" t="str">
        <f ca="1">IFERROR(__xludf.DUMMYFUNCTION("""COMPUTED_VALUE"""),"70")</f>
        <v>70</v>
      </c>
      <c r="E1588" s="30" t="str">
        <f ca="1">IFERROR(__xludf.DUMMYFUNCTION("""COMPUTED_VALUE"""),"")</f>
        <v/>
      </c>
      <c r="F1588" s="29"/>
      <c r="G1588" s="29"/>
      <c r="H1588" s="30" t="str">
        <f ca="1">IFERROR(__xludf.DUMMYFUNCTION("""COMPUTED_VALUE"""),"activo")</f>
        <v>activo</v>
      </c>
      <c r="I1588" s="29"/>
      <c r="J1588" s="29"/>
      <c r="K1588" s="29"/>
      <c r="L1588" s="30" t="str">
        <f ca="1">IFERROR(__xludf.DUMMYFUNCTION("""COMPUTED_VALUE"""),"No")</f>
        <v>No</v>
      </c>
      <c r="M1588" s="30" t="str">
        <f ca="1">IFERROR(__xludf.DUMMYFUNCTION("""COMPUTED_VALUE"""),"70133010001")</f>
        <v>70133010001</v>
      </c>
      <c r="N1588" s="30" t="str">
        <f ca="1">IFERROR(__xludf.DUMMYFUNCTION("""COMPUTED_VALUE"""),"VILLA BASILIO NIEVAS")</f>
        <v>VILLA BASILIO NIEVAS</v>
      </c>
      <c r="O1588" s="30" t="str">
        <f ca="1">IFERROR(__xludf.DUMMYFUNCTION("""COMPUTED_VALUE"""),"70133")</f>
        <v>70133</v>
      </c>
      <c r="P1588" s="30" t="str">
        <f ca="1">IFERROR(__xludf.DUMMYFUNCTION("""COMPUTED_VALUE"""),"ZONDA")</f>
        <v>ZONDA</v>
      </c>
      <c r="Q1588" s="30" t="str">
        <f ca="1">IFERROR(__xludf.DUMMYFUNCTION("""COMPUTED_VALUE"""),"-31.5533")</f>
        <v>-31.5533</v>
      </c>
      <c r="R1588" s="30" t="str">
        <f ca="1">IFERROR(__xludf.DUMMYFUNCTION("""COMPUTED_VALUE"""),"-68.7294")</f>
        <v>-68.7294</v>
      </c>
      <c r="S1588" s="30" t="str">
        <f ca="1">IFERROR(__xludf.DUMMYFUNCTION("""COMPUTED_VALUE"""),"Provincial")</f>
        <v>Provincial</v>
      </c>
      <c r="T1588" s="30" t="str">
        <f ca="1">IFERROR(__xludf.DUMMYFUNCTION("""COMPUTED_VALUE"""),"-")</f>
        <v>-</v>
      </c>
    </row>
    <row r="1589" spans="1:20" ht="15.75" customHeight="1" x14ac:dyDescent="0.25">
      <c r="A1589" s="30" t="str">
        <f ca="1">IFERROR(__xludf.DUMMYFUNCTION("""COMPUTED_VALUE"""),"50700072177146")</f>
        <v>50700072177146</v>
      </c>
      <c r="B1589" s="30" t="str">
        <f ca="1">IFERROR(__xludf.DUMMYFUNCTION("""COMPUTED_VALUE"""),"CAPS LAS LOMITAS")</f>
        <v>CAPS LAS LOMITAS</v>
      </c>
      <c r="C1589" s="30" t="str">
        <f ca="1">IFERROR(__xludf.DUMMYFUNCTION("""COMPUTED_VALUE"""),"San Juan")</f>
        <v>San Juan</v>
      </c>
      <c r="D1589" s="30" t="str">
        <f ca="1">IFERROR(__xludf.DUMMYFUNCTION("""COMPUTED_VALUE"""),"70")</f>
        <v>70</v>
      </c>
      <c r="E1589" s="30" t="str">
        <f ca="1">IFERROR(__xludf.DUMMYFUNCTION("""COMPUTED_VALUE"""),"")</f>
        <v/>
      </c>
      <c r="F1589" s="29"/>
      <c r="G1589" s="29"/>
      <c r="H1589" s="30" t="str">
        <f ca="1">IFERROR(__xludf.DUMMYFUNCTION("""COMPUTED_VALUE"""),"activo")</f>
        <v>activo</v>
      </c>
      <c r="I1589" s="29"/>
      <c r="J1589" s="29"/>
      <c r="K1589" s="29"/>
      <c r="L1589" s="30" t="str">
        <f ca="1">IFERROR(__xludf.DUMMYFUNCTION("""COMPUTED_VALUE"""),"No")</f>
        <v>No</v>
      </c>
      <c r="M1589" s="30" t="str">
        <f ca="1">IFERROR(__xludf.DUMMYFUNCTION("""COMPUTED_VALUE"""),"70007020004")</f>
        <v>70007020004</v>
      </c>
      <c r="N1589" s="30" t="str">
        <f ca="1">IFERROR(__xludf.DUMMYFUNCTION("""COMPUTED_VALUE"""),"VILLA GENERAL SAN MARTIN")</f>
        <v>VILLA GENERAL SAN MARTIN</v>
      </c>
      <c r="O1589" s="30" t="str">
        <f ca="1">IFERROR(__xludf.DUMMYFUNCTION("""COMPUTED_VALUE"""),"707")</f>
        <v>707</v>
      </c>
      <c r="P1589" s="30" t="str">
        <f ca="1">IFERROR(__xludf.DUMMYFUNCTION("""COMPUTED_VALUE"""),"ALBARDÓN")</f>
        <v>ALBARDÓN</v>
      </c>
      <c r="Q1589" s="30" t="str">
        <f ca="1">IFERROR(__xludf.DUMMYFUNCTION("""COMPUTED_VALUE"""),"-31.40580993")</f>
        <v>-31.40580993</v>
      </c>
      <c r="R1589" s="30" t="str">
        <f ca="1">IFERROR(__xludf.DUMMYFUNCTION("""COMPUTED_VALUE"""),"-68.49254608")</f>
        <v>-68.49254608</v>
      </c>
      <c r="S1589" s="30" t="str">
        <f ca="1">IFERROR(__xludf.DUMMYFUNCTION("""COMPUTED_VALUE"""),"Provincial")</f>
        <v>Provincial</v>
      </c>
      <c r="T1589" s="30" t="str">
        <f ca="1">IFERROR(__xludf.DUMMYFUNCTION("""COMPUTED_VALUE"""),"-")</f>
        <v>-</v>
      </c>
    </row>
    <row r="1590" spans="1:20" ht="15.75" customHeight="1" x14ac:dyDescent="0.25">
      <c r="A1590" s="30" t="str">
        <f ca="1">IFERROR(__xludf.DUMMYFUNCTION("""COMPUTED_VALUE"""),"50700072277541")</f>
        <v>50700072277541</v>
      </c>
      <c r="B1590" s="30" t="str">
        <f ca="1">IFERROR(__xludf.DUMMYFUNCTION("""COMPUTED_VALUE"""),"CIC CAMPO AFUERA (EX FRANCISCO GIULANO)")</f>
        <v>CIC CAMPO AFUERA (EX FRANCISCO GIULANO)</v>
      </c>
      <c r="C1590" s="30" t="str">
        <f ca="1">IFERROR(__xludf.DUMMYFUNCTION("""COMPUTED_VALUE"""),"San Juan")</f>
        <v>San Juan</v>
      </c>
      <c r="D1590" s="30" t="str">
        <f ca="1">IFERROR(__xludf.DUMMYFUNCTION("""COMPUTED_VALUE"""),"70")</f>
        <v>70</v>
      </c>
      <c r="E1590" s="30" t="str">
        <f ca="1">IFERROR(__xludf.DUMMYFUNCTION("""COMPUTED_VALUE"""),"")</f>
        <v/>
      </c>
      <c r="F1590" s="29"/>
      <c r="G1590" s="29"/>
      <c r="H1590" s="30" t="str">
        <f ca="1">IFERROR(__xludf.DUMMYFUNCTION("""COMPUTED_VALUE"""),"activo")</f>
        <v>activo</v>
      </c>
      <c r="I1590" s="29"/>
      <c r="J1590" s="29"/>
      <c r="K1590" s="29"/>
      <c r="L1590" s="30" t="str">
        <f ca="1">IFERROR(__xludf.DUMMYFUNCTION("""COMPUTED_VALUE"""),"No")</f>
        <v>No</v>
      </c>
      <c r="M1590" s="30" t="str">
        <f ca="1">IFERROR(__xludf.DUMMYFUNCTION("""COMPUTED_VALUE"""),"70007020001")</f>
        <v>70007020001</v>
      </c>
      <c r="N1590" s="30" t="str">
        <f ca="1">IFERROR(__xludf.DUMMYFUNCTION("""COMPUTED_VALUE"""),"CAMPO AFUERA")</f>
        <v>CAMPO AFUERA</v>
      </c>
      <c r="O1590" s="30" t="str">
        <f ca="1">IFERROR(__xludf.DUMMYFUNCTION("""COMPUTED_VALUE"""),"707")</f>
        <v>707</v>
      </c>
      <c r="P1590" s="30" t="str">
        <f ca="1">IFERROR(__xludf.DUMMYFUNCTION("""COMPUTED_VALUE"""),"ALBARDÓN")</f>
        <v>ALBARDÓN</v>
      </c>
      <c r="Q1590" s="30" t="str">
        <f ca="1">IFERROR(__xludf.DUMMYFUNCTION("""COMPUTED_VALUE"""),"-31.5707972")</f>
        <v>-31.5707972</v>
      </c>
      <c r="R1590" s="30" t="str">
        <f ca="1">IFERROR(__xludf.DUMMYFUNCTION("""COMPUTED_VALUE"""),"-68.5074464")</f>
        <v>-68.5074464</v>
      </c>
      <c r="S1590" s="30" t="str">
        <f ca="1">IFERROR(__xludf.DUMMYFUNCTION("""COMPUTED_VALUE"""),"Municipal")</f>
        <v>Municipal</v>
      </c>
      <c r="T1590" s="29"/>
    </row>
    <row r="1591" spans="1:20" ht="15.75" customHeight="1" x14ac:dyDescent="0.25">
      <c r="A1591" s="30" t="str">
        <f ca="1">IFERROR(__xludf.DUMMYFUNCTION("""COMPUTED_VALUE"""),"50701052177106")</f>
        <v>50701052177106</v>
      </c>
      <c r="B1591" s="30" t="str">
        <f ca="1">IFERROR(__xludf.DUMMYFUNCTION("""COMPUTED_VALUE"""),"CAPS COCHAGUAL NORTE")</f>
        <v>CAPS COCHAGUAL NORTE</v>
      </c>
      <c r="C1591" s="30" t="str">
        <f ca="1">IFERROR(__xludf.DUMMYFUNCTION("""COMPUTED_VALUE"""),"San Juan")</f>
        <v>San Juan</v>
      </c>
      <c r="D1591" s="30" t="str">
        <f ca="1">IFERROR(__xludf.DUMMYFUNCTION("""COMPUTED_VALUE"""),"70")</f>
        <v>70</v>
      </c>
      <c r="E1591" s="30" t="str">
        <f ca="1">IFERROR(__xludf.DUMMYFUNCTION("""COMPUTED_VALUE"""),"si")</f>
        <v>si</v>
      </c>
      <c r="F1591" s="30" t="str">
        <f ca="1">IFERROR(__xludf.DUMMYFUNCTION("""COMPUTED_VALUE"""),"50701192177196")</f>
        <v>50701192177196</v>
      </c>
      <c r="G1591" s="29"/>
      <c r="H1591" s="30" t="str">
        <f ca="1">IFERROR(__xludf.DUMMYFUNCTION("""COMPUTED_VALUE"""),"activo")</f>
        <v>activo</v>
      </c>
      <c r="I1591" s="29"/>
      <c r="J1591" s="29"/>
      <c r="K1591" s="29"/>
      <c r="L1591" s="30" t="str">
        <f ca="1">IFERROR(__xludf.DUMMYFUNCTION("""COMPUTED_VALUE"""),"No")</f>
        <v>No</v>
      </c>
      <c r="M1591" s="30" t="str">
        <f ca="1">IFERROR(__xludf.DUMMYFUNCTION("""COMPUTED_VALUE"""),"70105100000")</f>
        <v>70105100000</v>
      </c>
      <c r="N1591" s="30" t="str">
        <f ca="1">IFERROR(__xludf.DUMMYFUNCTION("""COMPUTED_VALUE"""),"VILLA MEDIA AGUA")</f>
        <v>VILLA MEDIA AGUA</v>
      </c>
      <c r="O1591" s="30" t="str">
        <f ca="1">IFERROR(__xludf.DUMMYFUNCTION("""COMPUTED_VALUE"""),"70105")</f>
        <v>70105</v>
      </c>
      <c r="P1591" s="30" t="str">
        <f ca="1">IFERROR(__xludf.DUMMYFUNCTION("""COMPUTED_VALUE"""),"SARMIENTO")</f>
        <v>SARMIENTO</v>
      </c>
      <c r="Q1591" s="30" t="str">
        <f ca="1">IFERROR(__xludf.DUMMYFUNCTION("""COMPUTED_VALUE"""),"-31.878")</f>
        <v>-31.878</v>
      </c>
      <c r="R1591" s="30" t="str">
        <f ca="1">IFERROR(__xludf.DUMMYFUNCTION("""COMPUTED_VALUE"""),"-68.3842")</f>
        <v>-68.3842</v>
      </c>
      <c r="S1591" s="30" t="str">
        <f ca="1">IFERROR(__xludf.DUMMYFUNCTION("""COMPUTED_VALUE"""),"Provincial")</f>
        <v>Provincial</v>
      </c>
      <c r="T1591" s="30" t="str">
        <f ca="1">IFERROR(__xludf.DUMMYFUNCTION("""COMPUTED_VALUE"""),"-")</f>
        <v>-</v>
      </c>
    </row>
    <row r="1592" spans="1:20" ht="15.75" customHeight="1" x14ac:dyDescent="0.25">
      <c r="A1592" s="30" t="str">
        <f ca="1">IFERROR(__xludf.DUMMYFUNCTION("""COMPUTED_VALUE"""),"50701192177196")</f>
        <v>50701192177196</v>
      </c>
      <c r="B1592" s="30" t="str">
        <f ca="1">IFERROR(__xludf.DUMMYFUNCTION("""COMPUTED_VALUE"""),"CAPS USNO")</f>
        <v>CAPS USNO</v>
      </c>
      <c r="C1592" s="30" t="str">
        <f ca="1">IFERROR(__xludf.DUMMYFUNCTION("""COMPUTED_VALUE"""),"San Juan")</f>
        <v>San Juan</v>
      </c>
      <c r="D1592" s="30" t="str">
        <f ca="1">IFERROR(__xludf.DUMMYFUNCTION("""COMPUTED_VALUE"""),"70")</f>
        <v>70</v>
      </c>
      <c r="E1592" s="30" t="str">
        <f ca="1">IFERROR(__xludf.DUMMYFUNCTION("""COMPUTED_VALUE"""),"si")</f>
        <v>si</v>
      </c>
      <c r="F1592" s="29"/>
      <c r="G1592" s="30" t="str">
        <f ca="1">IFERROR(__xludf.DUMMYFUNCTION("""COMPUTED_VALUE"""),"50701052177106")</f>
        <v>50701052177106</v>
      </c>
      <c r="H1592" s="30" t="str">
        <f ca="1">IFERROR(__xludf.DUMMYFUNCTION("""COMPUTED_VALUE"""),"inactivo")</f>
        <v>inactivo</v>
      </c>
      <c r="I1592" s="30" t="str">
        <f ca="1">IFERROR(__xludf.DUMMYFUNCTION("""COMPUTED_VALUE"""),"circular 2: se pasan de los 32")</f>
        <v>circular 2: se pasan de los 32</v>
      </c>
      <c r="J1592" s="29"/>
      <c r="K1592" s="29"/>
      <c r="L1592" s="30" t="str">
        <f ca="1">IFERROR(__xludf.DUMMYFUNCTION("""COMPUTED_VALUE"""),"No")</f>
        <v>No</v>
      </c>
      <c r="M1592" s="30" t="str">
        <f ca="1">IFERROR(__xludf.DUMMYFUNCTION("""COMPUTED_VALUE"""),"70119050000")</f>
        <v>70119050000</v>
      </c>
      <c r="N1592" s="30" t="str">
        <f ca="1">IFERROR(__xludf.DUMMYFUNCTION("""COMPUTED_VALUE"""),"USNO")</f>
        <v>USNO</v>
      </c>
      <c r="O1592" s="30" t="str">
        <f ca="1">IFERROR(__xludf.DUMMYFUNCTION("""COMPUTED_VALUE"""),"70119")</f>
        <v>70119</v>
      </c>
      <c r="P1592" s="30" t="str">
        <f ca="1">IFERROR(__xludf.DUMMYFUNCTION("""COMPUTED_VALUE"""),"VALLE FÉRTIL")</f>
        <v>VALLE FÉRTIL</v>
      </c>
      <c r="Q1592" s="30" t="str">
        <f ca="1">IFERROR(__xludf.DUMMYFUNCTION("""COMPUTED_VALUE"""),"-30.566689")</f>
        <v>-30.566689</v>
      </c>
      <c r="R1592" s="30" t="str">
        <f ca="1">IFERROR(__xludf.DUMMYFUNCTION("""COMPUTED_VALUE"""),"-67.541336")</f>
        <v>-67.541336</v>
      </c>
      <c r="S1592" s="30" t="str">
        <f ca="1">IFERROR(__xludf.DUMMYFUNCTION("""COMPUTED_VALUE"""),"Provincial")</f>
        <v>Provincial</v>
      </c>
      <c r="T1592" s="30" t="str">
        <f ca="1">IFERROR(__xludf.DUMMYFUNCTION("""COMPUTED_VALUE"""),"-")</f>
        <v>-</v>
      </c>
    </row>
    <row r="1593" spans="1:20" ht="15.75" customHeight="1" x14ac:dyDescent="0.25">
      <c r="A1593" s="30" t="str">
        <f ca="1">IFERROR(__xludf.DUMMYFUNCTION("""COMPUTED_VALUE"""),"50701262177125")</f>
        <v>50701262177125</v>
      </c>
      <c r="B1593" s="30" t="str">
        <f ca="1">IFERROR(__xludf.DUMMYFUNCTION("""COMPUTED_VALUE"""),"CAPS EL ENCON")</f>
        <v>CAPS EL ENCON</v>
      </c>
      <c r="C1593" s="30" t="str">
        <f ca="1">IFERROR(__xludf.DUMMYFUNCTION("""COMPUTED_VALUE"""),"San Juan")</f>
        <v>San Juan</v>
      </c>
      <c r="D1593" s="30" t="str">
        <f ca="1">IFERROR(__xludf.DUMMYFUNCTION("""COMPUTED_VALUE"""),"70")</f>
        <v>70</v>
      </c>
      <c r="E1593" s="30" t="str">
        <f ca="1">IFERROR(__xludf.DUMMYFUNCTION("""COMPUTED_VALUE"""),"si")</f>
        <v>si</v>
      </c>
      <c r="F1593" s="29"/>
      <c r="G1593" s="29"/>
      <c r="H1593" s="30" t="str">
        <f ca="1">IFERROR(__xludf.DUMMYFUNCTION("""COMPUTED_VALUE"""),"activo")</f>
        <v>activo</v>
      </c>
      <c r="I1593" s="30" t="str">
        <f ca="1">IFERROR(__xludf.DUMMYFUNCTION("""COMPUTED_VALUE"""),"circular 2: se pasan de los 32")</f>
        <v>circular 2: se pasan de los 32</v>
      </c>
      <c r="J1593" s="29"/>
      <c r="K1593" s="29"/>
      <c r="L1593" s="30" t="str">
        <f ca="1">IFERROR(__xludf.DUMMYFUNCTION("""COMPUTED_VALUE"""),"No")</f>
        <v>No</v>
      </c>
      <c r="M1593" s="30" t="str">
        <f ca="1">IFERROR(__xludf.DUMMYFUNCTION("""COMPUTED_VALUE"""),"70126010000")</f>
        <v>70126010000</v>
      </c>
      <c r="N1593" s="30" t="str">
        <f ca="1">IFERROR(__xludf.DUMMYFUNCTION("""COMPUTED_VALUE"""),"EL ENCON")</f>
        <v>EL ENCON</v>
      </c>
      <c r="O1593" s="30" t="str">
        <f ca="1">IFERROR(__xludf.DUMMYFUNCTION("""COMPUTED_VALUE"""),"70126")</f>
        <v>70126</v>
      </c>
      <c r="P1593" s="30" t="str">
        <f ca="1">IFERROR(__xludf.DUMMYFUNCTION("""COMPUTED_VALUE"""),"25 DE MAYO")</f>
        <v>25 DE MAYO</v>
      </c>
      <c r="Q1593" s="30" t="str">
        <f ca="1">IFERROR(__xludf.DUMMYFUNCTION("""COMPUTED_VALUE"""),"-32.00137976")</f>
        <v>-32.00137976</v>
      </c>
      <c r="R1593" s="30" t="str">
        <f ca="1">IFERROR(__xludf.DUMMYFUNCTION("""COMPUTED_VALUE"""),"-68.04485321")</f>
        <v>-68.04485321</v>
      </c>
      <c r="S1593" s="30" t="str">
        <f ca="1">IFERROR(__xludf.DUMMYFUNCTION("""COMPUTED_VALUE"""),"Provincial")</f>
        <v>Provincial</v>
      </c>
      <c r="T1593" s="30" t="str">
        <f ca="1">IFERROR(__xludf.DUMMYFUNCTION("""COMPUTED_VALUE"""),"-")</f>
        <v>-</v>
      </c>
    </row>
    <row r="1594" spans="1:20" ht="15.75" customHeight="1" x14ac:dyDescent="0.25">
      <c r="A1594" s="30" t="str">
        <f ca="1">IFERROR(__xludf.DUMMYFUNCTION("""COMPUTED_VALUE"""),"50740282180137")</f>
        <v>50740282180137</v>
      </c>
      <c r="B1594" s="30" t="str">
        <f ca="1">IFERROR(__xludf.DUMMYFUNCTION("""COMPUTED_VALUE"""),"CAPS PAPAGAYOS")</f>
        <v>CAPS PAPAGAYOS</v>
      </c>
      <c r="C1594" s="30" t="str">
        <f ca="1">IFERROR(__xludf.DUMMYFUNCTION("""COMPUTED_VALUE"""),"San Luis")</f>
        <v>San Luis</v>
      </c>
      <c r="D1594" s="30" t="str">
        <f ca="1">IFERROR(__xludf.DUMMYFUNCTION("""COMPUTED_VALUE"""),"74")</f>
        <v>74</v>
      </c>
      <c r="E1594" s="30" t="str">
        <f ca="1">IFERROR(__xludf.DUMMYFUNCTION("""COMPUTED_VALUE"""),"")</f>
        <v/>
      </c>
      <c r="F1594" s="29"/>
      <c r="G1594" s="29"/>
      <c r="H1594" s="30" t="str">
        <f ca="1">IFERROR(__xludf.DUMMYFUNCTION("""COMPUTED_VALUE"""),"activo")</f>
        <v>activo</v>
      </c>
      <c r="I1594" s="29"/>
      <c r="J1594" s="29"/>
      <c r="K1594" s="29"/>
      <c r="L1594" s="30" t="str">
        <f ca="1">IFERROR(__xludf.DUMMYFUNCTION("""COMPUTED_VALUE"""),"No")</f>
        <v>No</v>
      </c>
      <c r="M1594" s="30" t="str">
        <f ca="1">IFERROR(__xludf.DUMMYFUNCTION("""COMPUTED_VALUE"""),"74028040000")</f>
        <v>74028040000</v>
      </c>
      <c r="N1594" s="30" t="str">
        <f ca="1">IFERROR(__xludf.DUMMYFUNCTION("""COMPUTED_VALUE"""),"PAPAGAYOS")</f>
        <v>PAPAGAYOS</v>
      </c>
      <c r="O1594" s="30" t="str">
        <f ca="1">IFERROR(__xludf.DUMMYFUNCTION("""COMPUTED_VALUE"""),"7428")</f>
        <v>7428</v>
      </c>
      <c r="P1594" s="30" t="str">
        <f ca="1">IFERROR(__xludf.DUMMYFUNCTION("""COMPUTED_VALUE"""),"CHACABUCO")</f>
        <v>CHACABUCO</v>
      </c>
      <c r="Q1594" s="30" t="str">
        <f ca="1">IFERROR(__xludf.DUMMYFUNCTION("""COMPUTED_VALUE"""),"-32.6758966")</f>
        <v>-32.6758966</v>
      </c>
      <c r="R1594" s="30" t="str">
        <f ca="1">IFERROR(__xludf.DUMMYFUNCTION("""COMPUTED_VALUE"""),"-64.9936463")</f>
        <v>-64.9936463</v>
      </c>
      <c r="S1594" s="30" t="str">
        <f ca="1">IFERROR(__xludf.DUMMYFUNCTION("""COMPUTED_VALUE"""),"Provincial")</f>
        <v>Provincial</v>
      </c>
      <c r="T1594" s="30" t="str">
        <f ca="1">IFERROR(__xludf.DUMMYFUNCTION("""COMPUTED_VALUE"""),"-")</f>
        <v>-</v>
      </c>
    </row>
    <row r="1595" spans="1:20" ht="15.75" customHeight="1" x14ac:dyDescent="0.25">
      <c r="A1595" s="30" t="str">
        <f ca="1">IFERROR(__xludf.DUMMYFUNCTION("""COMPUTED_VALUE"""),"10740072180021")</f>
        <v>10740072180021</v>
      </c>
      <c r="B1595" s="30" t="str">
        <f ca="1">IFERROR(__xludf.DUMMYFUNCTION("""COMPUTED_VALUE"""),"HOSPITAL SAN FRANCISCO")</f>
        <v>HOSPITAL SAN FRANCISCO</v>
      </c>
      <c r="C1595" s="30" t="str">
        <f ca="1">IFERROR(__xludf.DUMMYFUNCTION("""COMPUTED_VALUE"""),"San Luis")</f>
        <v>San Luis</v>
      </c>
      <c r="D1595" s="30" t="str">
        <f ca="1">IFERROR(__xludf.DUMMYFUNCTION("""COMPUTED_VALUE"""),"74")</f>
        <v>74</v>
      </c>
      <c r="E1595" s="30" t="str">
        <f ca="1">IFERROR(__xludf.DUMMYFUNCTION("""COMPUTED_VALUE"""),"")</f>
        <v/>
      </c>
      <c r="F1595" s="29"/>
      <c r="G1595" s="29"/>
      <c r="H1595" s="30" t="str">
        <f ca="1">IFERROR(__xludf.DUMMYFUNCTION("""COMPUTED_VALUE"""),"activo")</f>
        <v>activo</v>
      </c>
      <c r="I1595" s="29"/>
      <c r="J1595" s="29"/>
      <c r="K1595" s="29"/>
      <c r="L1595" s="30" t="str">
        <f ca="1">IFERROR(__xludf.DUMMYFUNCTION("""COMPUTED_VALUE"""),"No")</f>
        <v>No</v>
      </c>
      <c r="M1595" s="30" t="str">
        <f ca="1">IFERROR(__xludf.DUMMYFUNCTION("""COMPUTED_VALUE"""),"74007070000")</f>
        <v>74007070000</v>
      </c>
      <c r="N1595" s="30" t="str">
        <f ca="1">IFERROR(__xludf.DUMMYFUNCTION("""COMPUTED_VALUE"""),"SAN FRANCISCO DEL MONTE DE ORO")</f>
        <v>SAN FRANCISCO DEL MONTE DE ORO</v>
      </c>
      <c r="O1595" s="30" t="str">
        <f ca="1">IFERROR(__xludf.DUMMYFUNCTION("""COMPUTED_VALUE"""),"747")</f>
        <v>747</v>
      </c>
      <c r="P1595" s="30" t="str">
        <f ca="1">IFERROR(__xludf.DUMMYFUNCTION("""COMPUTED_VALUE"""),"AYACUCHO")</f>
        <v>AYACUCHO</v>
      </c>
      <c r="Q1595" s="30" t="str">
        <f ca="1">IFERROR(__xludf.DUMMYFUNCTION("""COMPUTED_VALUE"""),"-32.61855683")</f>
        <v>-32.61855683</v>
      </c>
      <c r="R1595" s="30" t="str">
        <f ca="1">IFERROR(__xludf.DUMMYFUNCTION("""COMPUTED_VALUE"""),"-66.13220215")</f>
        <v>-66.13220215</v>
      </c>
      <c r="S1595" s="30" t="str">
        <f ca="1">IFERROR(__xludf.DUMMYFUNCTION("""COMPUTED_VALUE"""),"Provincial")</f>
        <v>Provincial</v>
      </c>
      <c r="T1595" s="30" t="str">
        <f ca="1">IFERROR(__xludf.DUMMYFUNCTION("""COMPUTED_VALUE"""),"-")</f>
        <v>-</v>
      </c>
    </row>
    <row r="1596" spans="1:20" ht="15.75" customHeight="1" x14ac:dyDescent="0.25">
      <c r="A1596" s="30" t="str">
        <f ca="1">IFERROR(__xludf.DUMMYFUNCTION("""COMPUTED_VALUE"""),"50740562180130")</f>
        <v>50740562180130</v>
      </c>
      <c r="B1596" s="30" t="str">
        <f ca="1">IFERROR(__xludf.DUMMYFUNCTION("""COMPUTED_VALUE"""),"CAPS Nº 80 - POTRERO DE LOS FUNES")</f>
        <v>CAPS Nº 80 - POTRERO DE LOS FUNES</v>
      </c>
      <c r="C1596" s="30" t="str">
        <f ca="1">IFERROR(__xludf.DUMMYFUNCTION("""COMPUTED_VALUE"""),"San Luis")</f>
        <v>San Luis</v>
      </c>
      <c r="D1596" s="30" t="str">
        <f ca="1">IFERROR(__xludf.DUMMYFUNCTION("""COMPUTED_VALUE"""),"74")</f>
        <v>74</v>
      </c>
      <c r="E1596" s="30" t="str">
        <f ca="1">IFERROR(__xludf.DUMMYFUNCTION("""COMPUTED_VALUE"""),"")</f>
        <v/>
      </c>
      <c r="F1596" s="29"/>
      <c r="G1596" s="29"/>
      <c r="H1596" s="30" t="str">
        <f ca="1">IFERROR(__xludf.DUMMYFUNCTION("""COMPUTED_VALUE"""),"activo")</f>
        <v>activo</v>
      </c>
      <c r="I1596" s="29"/>
      <c r="J1596" s="29"/>
      <c r="K1596" s="29"/>
      <c r="L1596" s="30" t="str">
        <f ca="1">IFERROR(__xludf.DUMMYFUNCTION("""COMPUTED_VALUE"""),"No")</f>
        <v>No</v>
      </c>
      <c r="M1596" s="30" t="str">
        <f ca="1">IFERROR(__xludf.DUMMYFUNCTION("""COMPUTED_VALUE"""),"74056120000")</f>
        <v>74056120000</v>
      </c>
      <c r="N1596" s="30" t="str">
        <f ca="1">IFERROR(__xludf.DUMMYFUNCTION("""COMPUTED_VALUE"""),"POTRERO DE LOS FUNES")</f>
        <v>POTRERO DE LOS FUNES</v>
      </c>
      <c r="O1596" s="30" t="str">
        <f ca="1">IFERROR(__xludf.DUMMYFUNCTION("""COMPUTED_VALUE"""),"7456")</f>
        <v>7456</v>
      </c>
      <c r="P1596" s="30" t="str">
        <f ca="1">IFERROR(__xludf.DUMMYFUNCTION("""COMPUTED_VALUE"""),"LA CAPITAL")</f>
        <v>LA CAPITAL</v>
      </c>
      <c r="Q1596" s="30" t="str">
        <f ca="1">IFERROR(__xludf.DUMMYFUNCTION("""COMPUTED_VALUE"""),"-33.21283992")</f>
        <v>-33.21283992</v>
      </c>
      <c r="R1596" s="30" t="str">
        <f ca="1">IFERROR(__xludf.DUMMYFUNCTION("""COMPUTED_VALUE"""),"-66.22489929")</f>
        <v>-66.22489929</v>
      </c>
      <c r="S1596" s="30" t="str">
        <f ca="1">IFERROR(__xludf.DUMMYFUNCTION("""COMPUTED_VALUE"""),"Provincial")</f>
        <v>Provincial</v>
      </c>
      <c r="T1596" s="30" t="str">
        <f ca="1">IFERROR(__xludf.DUMMYFUNCTION("""COMPUTED_VALUE"""),"-")</f>
        <v>-</v>
      </c>
    </row>
    <row r="1597" spans="1:20" ht="15.75" customHeight="1" x14ac:dyDescent="0.25">
      <c r="A1597" s="30" t="str">
        <f ca="1">IFERROR(__xludf.DUMMYFUNCTION("""COMPUTED_VALUE"""),"50740352180548")</f>
        <v>50740352180548</v>
      </c>
      <c r="B1597" s="30" t="str">
        <f ca="1">IFERROR(__xludf.DUMMYFUNCTION("""COMPUTED_VALUE"""),"CAPS SAN JOSE")</f>
        <v>CAPS SAN JOSE</v>
      </c>
      <c r="C1597" s="30" t="str">
        <f ca="1">IFERROR(__xludf.DUMMYFUNCTION("""COMPUTED_VALUE"""),"San Luis")</f>
        <v>San Luis</v>
      </c>
      <c r="D1597" s="30" t="str">
        <f ca="1">IFERROR(__xludf.DUMMYFUNCTION("""COMPUTED_VALUE"""),"74")</f>
        <v>74</v>
      </c>
      <c r="E1597" s="30" t="str">
        <f ca="1">IFERROR(__xludf.DUMMYFUNCTION("""COMPUTED_VALUE"""),"")</f>
        <v/>
      </c>
      <c r="F1597" s="29"/>
      <c r="G1597" s="29"/>
      <c r="H1597" s="30" t="str">
        <f ca="1">IFERROR(__xludf.DUMMYFUNCTION("""COMPUTED_VALUE"""),"activo")</f>
        <v>activo</v>
      </c>
      <c r="I1597" s="29"/>
      <c r="J1597" s="29"/>
      <c r="K1597" s="29"/>
      <c r="L1597" s="30" t="str">
        <f ca="1">IFERROR(__xludf.DUMMYFUNCTION("""COMPUTED_VALUE"""),"No")</f>
        <v>No</v>
      </c>
      <c r="M1597" s="30" t="str">
        <f ca="1">IFERROR(__xludf.DUMMYFUNCTION("""COMPUTED_VALUE"""),"74035070000")</f>
        <v>74035070000</v>
      </c>
      <c r="N1597" s="30" t="str">
        <f ca="1">IFERROR(__xludf.DUMMYFUNCTION("""COMPUTED_VALUE"""),"VILLA MERCEDES")</f>
        <v>VILLA MERCEDES</v>
      </c>
      <c r="O1597" s="30" t="str">
        <f ca="1">IFERROR(__xludf.DUMMYFUNCTION("""COMPUTED_VALUE"""),"7435")</f>
        <v>7435</v>
      </c>
      <c r="P1597" s="30" t="str">
        <f ca="1">IFERROR(__xludf.DUMMYFUNCTION("""COMPUTED_VALUE"""),"GENERAL PEDERNERA")</f>
        <v>GENERAL PEDERNERA</v>
      </c>
      <c r="Q1597" s="30" t="str">
        <f ca="1">IFERROR(__xludf.DUMMYFUNCTION("""COMPUTED_VALUE"""),"-33.6962264")</f>
        <v>-33.6962264</v>
      </c>
      <c r="R1597" s="30" t="str">
        <f ca="1">IFERROR(__xludf.DUMMYFUNCTION("""COMPUTED_VALUE"""),"-65.4511767")</f>
        <v>-65.4511767</v>
      </c>
      <c r="S1597" s="30" t="str">
        <f ca="1">IFERROR(__xludf.DUMMYFUNCTION("""COMPUTED_VALUE"""),"Provincial")</f>
        <v>Provincial</v>
      </c>
      <c r="T1597" s="30" t="str">
        <f ca="1">IFERROR(__xludf.DUMMYFUNCTION("""COMPUTED_VALUE"""),"-")</f>
        <v>-</v>
      </c>
    </row>
    <row r="1598" spans="1:20" ht="15.75" customHeight="1" x14ac:dyDescent="0.25">
      <c r="A1598" s="30" t="str">
        <f ca="1">IFERROR(__xludf.DUMMYFUNCTION("""COMPUTED_VALUE"""),"10740632180023")</f>
        <v>10740632180023</v>
      </c>
      <c r="B1598" s="30" t="str">
        <f ca="1">IFERROR(__xludf.DUMMYFUNCTION("""COMPUTED_VALUE"""),"HOSPITAL SAN MARTIN (EX SANTO TOMAS)")</f>
        <v>HOSPITAL SAN MARTIN (EX SANTO TOMAS)</v>
      </c>
      <c r="C1598" s="30" t="str">
        <f ca="1">IFERROR(__xludf.DUMMYFUNCTION("""COMPUTED_VALUE"""),"San Luis")</f>
        <v>San Luis</v>
      </c>
      <c r="D1598" s="30" t="str">
        <f ca="1">IFERROR(__xludf.DUMMYFUNCTION("""COMPUTED_VALUE"""),"74")</f>
        <v>74</v>
      </c>
      <c r="E1598" s="30" t="str">
        <f ca="1">IFERROR(__xludf.DUMMYFUNCTION("""COMPUTED_VALUE"""),"")</f>
        <v/>
      </c>
      <c r="F1598" s="29"/>
      <c r="G1598" s="29"/>
      <c r="H1598" s="30" t="str">
        <f ca="1">IFERROR(__xludf.DUMMYFUNCTION("""COMPUTED_VALUE"""),"activo")</f>
        <v>activo</v>
      </c>
      <c r="I1598" s="29"/>
      <c r="J1598" s="29"/>
      <c r="K1598" s="29"/>
      <c r="L1598" s="30" t="str">
        <f ca="1">IFERROR(__xludf.DUMMYFUNCTION("""COMPUTED_VALUE"""),"No")</f>
        <v>No</v>
      </c>
      <c r="M1598" s="30" t="str">
        <f ca="1">IFERROR(__xludf.DUMMYFUNCTION("""COMPUTED_VALUE"""),"74063070000")</f>
        <v>74063070000</v>
      </c>
      <c r="N1598" s="30" t="str">
        <f ca="1">IFERROR(__xludf.DUMMYFUNCTION("""COMPUTED_VALUE"""),"SAN MARTIN")</f>
        <v>SAN MARTIN</v>
      </c>
      <c r="O1598" s="30" t="str">
        <f ca="1">IFERROR(__xludf.DUMMYFUNCTION("""COMPUTED_VALUE"""),"7463")</f>
        <v>7463</v>
      </c>
      <c r="P1598" s="30" t="str">
        <f ca="1">IFERROR(__xludf.DUMMYFUNCTION("""COMPUTED_VALUE"""),"LIBERTADOR GENERAL SAN MARTÍN")</f>
        <v>LIBERTADOR GENERAL SAN MARTÍN</v>
      </c>
      <c r="Q1598" s="30" t="str">
        <f ca="1">IFERROR(__xludf.DUMMYFUNCTION("""COMPUTED_VALUE"""),"-32.45067944")</f>
        <v>-32.45067944</v>
      </c>
      <c r="R1598" s="30" t="str">
        <f ca="1">IFERROR(__xludf.DUMMYFUNCTION("""COMPUTED_VALUE"""),"-65.65979004")</f>
        <v>-65.65979004</v>
      </c>
      <c r="S1598" s="30" t="str">
        <f ca="1">IFERROR(__xludf.DUMMYFUNCTION("""COMPUTED_VALUE"""),"Provincial")</f>
        <v>Provincial</v>
      </c>
      <c r="T1598" s="30" t="str">
        <f ca="1">IFERROR(__xludf.DUMMYFUNCTION("""COMPUTED_VALUE"""),"-")</f>
        <v>-</v>
      </c>
    </row>
    <row r="1599" spans="1:20" ht="15.75" customHeight="1" x14ac:dyDescent="0.25">
      <c r="A1599" s="30" t="str">
        <f ca="1">IFERROR(__xludf.DUMMYFUNCTION("""COMPUTED_VALUE"""),"50740562180639")</f>
        <v>50740562180639</v>
      </c>
      <c r="B1599" s="30" t="str">
        <f ca="1">IFERROR(__xludf.DUMMYFUNCTION("""COMPUTED_VALUE"""),"CAPS HOSPITAL DEL NORTE")</f>
        <v>CAPS HOSPITAL DEL NORTE</v>
      </c>
      <c r="C1599" s="30" t="str">
        <f ca="1">IFERROR(__xludf.DUMMYFUNCTION("""COMPUTED_VALUE"""),"San Luis")</f>
        <v>San Luis</v>
      </c>
      <c r="D1599" s="30" t="str">
        <f ca="1">IFERROR(__xludf.DUMMYFUNCTION("""COMPUTED_VALUE"""),"74")</f>
        <v>74</v>
      </c>
      <c r="E1599" s="30" t="str">
        <f ca="1">IFERROR(__xludf.DUMMYFUNCTION("""COMPUTED_VALUE"""),"")</f>
        <v/>
      </c>
      <c r="F1599" s="29"/>
      <c r="G1599" s="29"/>
      <c r="H1599" s="30" t="str">
        <f ca="1">IFERROR(__xludf.DUMMYFUNCTION("""COMPUTED_VALUE"""),"activo")</f>
        <v>activo</v>
      </c>
      <c r="I1599" s="29"/>
      <c r="J1599" s="29"/>
      <c r="K1599" s="29"/>
      <c r="L1599" s="30" t="str">
        <f ca="1">IFERROR(__xludf.DUMMYFUNCTION("""COMPUTED_VALUE"""),"No")</f>
        <v>No</v>
      </c>
      <c r="M1599" s="30" t="str">
        <f ca="1">IFERROR(__xludf.DUMMYFUNCTION("""COMPUTED_VALUE"""),"74056150000")</f>
        <v>74056150000</v>
      </c>
      <c r="N1599" s="30" t="str">
        <f ca="1">IFERROR(__xludf.DUMMYFUNCTION("""COMPUTED_VALUE"""),"SAN LUIS")</f>
        <v>SAN LUIS</v>
      </c>
      <c r="O1599" s="30" t="str">
        <f ca="1">IFERROR(__xludf.DUMMYFUNCTION("""COMPUTED_VALUE"""),"7456")</f>
        <v>7456</v>
      </c>
      <c r="P1599" s="30" t="str">
        <f ca="1">IFERROR(__xludf.DUMMYFUNCTION("""COMPUTED_VALUE"""),"LA CAPITAL")</f>
        <v>LA CAPITAL</v>
      </c>
      <c r="Q1599" s="30" t="str">
        <f ca="1">IFERROR(__xludf.DUMMYFUNCTION("""COMPUTED_VALUE"""),"-33.2820121")</f>
        <v>-33.2820121</v>
      </c>
      <c r="R1599" s="30" t="str">
        <f ca="1">IFERROR(__xludf.DUMMYFUNCTION("""COMPUTED_VALUE"""),"-66.3439215")</f>
        <v>-66.3439215</v>
      </c>
      <c r="S1599" s="30" t="str">
        <f ca="1">IFERROR(__xludf.DUMMYFUNCTION("""COMPUTED_VALUE"""),"Provincial")</f>
        <v>Provincial</v>
      </c>
      <c r="T1599" s="30" t="str">
        <f ca="1">IFERROR(__xludf.DUMMYFUNCTION("""COMPUTED_VALUE"""),"-")</f>
        <v>-</v>
      </c>
    </row>
    <row r="1600" spans="1:20" ht="15.75" customHeight="1" x14ac:dyDescent="0.25">
      <c r="A1600" s="30" t="str">
        <f ca="1">IFERROR(__xludf.DUMMYFUNCTION("""COMPUTED_VALUE"""),"50740562180058")</f>
        <v>50740562180058</v>
      </c>
      <c r="B1600" s="30" t="str">
        <f ca="1">IFERROR(__xludf.DUMMYFUNCTION("""COMPUTED_VALUE"""),"CAPS BARRIO EVA PERON")</f>
        <v>CAPS BARRIO EVA PERON</v>
      </c>
      <c r="C1600" s="30" t="str">
        <f ca="1">IFERROR(__xludf.DUMMYFUNCTION("""COMPUTED_VALUE"""),"San Luis")</f>
        <v>San Luis</v>
      </c>
      <c r="D1600" s="30" t="str">
        <f ca="1">IFERROR(__xludf.DUMMYFUNCTION("""COMPUTED_VALUE"""),"74")</f>
        <v>74</v>
      </c>
      <c r="E1600" s="30" t="str">
        <f ca="1">IFERROR(__xludf.DUMMYFUNCTION("""COMPUTED_VALUE"""),"")</f>
        <v/>
      </c>
      <c r="F1600" s="29"/>
      <c r="G1600" s="29"/>
      <c r="H1600" s="30" t="str">
        <f ca="1">IFERROR(__xludf.DUMMYFUNCTION("""COMPUTED_VALUE"""),"activo")</f>
        <v>activo</v>
      </c>
      <c r="I1600" s="29"/>
      <c r="J1600" s="29"/>
      <c r="K1600" s="29"/>
      <c r="L1600" s="30" t="str">
        <f ca="1">IFERROR(__xludf.DUMMYFUNCTION("""COMPUTED_VALUE"""),"No")</f>
        <v>No</v>
      </c>
      <c r="M1600" s="30" t="str">
        <f ca="1">IFERROR(__xludf.DUMMYFUNCTION("""COMPUTED_VALUE"""),"74056150000")</f>
        <v>74056150000</v>
      </c>
      <c r="N1600" s="30" t="str">
        <f ca="1">IFERROR(__xludf.DUMMYFUNCTION("""COMPUTED_VALUE"""),"SAN LUIS")</f>
        <v>SAN LUIS</v>
      </c>
      <c r="O1600" s="30" t="str">
        <f ca="1">IFERROR(__xludf.DUMMYFUNCTION("""COMPUTED_VALUE"""),"7456")</f>
        <v>7456</v>
      </c>
      <c r="P1600" s="30" t="str">
        <f ca="1">IFERROR(__xludf.DUMMYFUNCTION("""COMPUTED_VALUE"""),"LA CAPITAL")</f>
        <v>LA CAPITAL</v>
      </c>
      <c r="Q1600" s="30" t="str">
        <f ca="1">IFERROR(__xludf.DUMMYFUNCTION("""COMPUTED_VALUE"""),"-33.27148863")</f>
        <v>-33.27148863</v>
      </c>
      <c r="R1600" s="30" t="str">
        <f ca="1">IFERROR(__xludf.DUMMYFUNCTION("""COMPUTED_VALUE"""),"-66.3172102")</f>
        <v>-66.3172102</v>
      </c>
      <c r="S1600" s="30" t="str">
        <f ca="1">IFERROR(__xludf.DUMMYFUNCTION("""COMPUTED_VALUE"""),"Provincial")</f>
        <v>Provincial</v>
      </c>
      <c r="T1600" s="30" t="str">
        <f ca="1">IFERROR(__xludf.DUMMYFUNCTION("""COMPUTED_VALUE"""),"-")</f>
        <v>-</v>
      </c>
    </row>
    <row r="1601" spans="1:20" ht="15.75" customHeight="1" x14ac:dyDescent="0.25">
      <c r="A1601" s="30" t="str">
        <f ca="1">IFERROR(__xludf.DUMMYFUNCTION("""COMPUTED_VALUE"""),"50740562180121")</f>
        <v>50740562180121</v>
      </c>
      <c r="B1601" s="30" t="str">
        <f ca="1">IFERROR(__xludf.DUMMYFUNCTION("""COMPUTED_VALUE"""),"CAPS BARRIO AMPYA MAESTROS PUNTANOS")</f>
        <v>CAPS BARRIO AMPYA MAESTROS PUNTANOS</v>
      </c>
      <c r="C1601" s="30" t="str">
        <f ca="1">IFERROR(__xludf.DUMMYFUNCTION("""COMPUTED_VALUE"""),"San Luis")</f>
        <v>San Luis</v>
      </c>
      <c r="D1601" s="30" t="str">
        <f ca="1">IFERROR(__xludf.DUMMYFUNCTION("""COMPUTED_VALUE"""),"74")</f>
        <v>74</v>
      </c>
      <c r="E1601" s="30" t="str">
        <f ca="1">IFERROR(__xludf.DUMMYFUNCTION("""COMPUTED_VALUE"""),"")</f>
        <v/>
      </c>
      <c r="F1601" s="29"/>
      <c r="G1601" s="29"/>
      <c r="H1601" s="30" t="str">
        <f ca="1">IFERROR(__xludf.DUMMYFUNCTION("""COMPUTED_VALUE"""),"activo")</f>
        <v>activo</v>
      </c>
      <c r="I1601" s="29"/>
      <c r="J1601" s="29"/>
      <c r="K1601" s="29"/>
      <c r="L1601" s="30" t="str">
        <f ca="1">IFERROR(__xludf.DUMMYFUNCTION("""COMPUTED_VALUE"""),"No")</f>
        <v>No</v>
      </c>
      <c r="M1601" s="30" t="str">
        <f ca="1">IFERROR(__xludf.DUMMYFUNCTION("""COMPUTED_VALUE"""),"74056150000")</f>
        <v>74056150000</v>
      </c>
      <c r="N1601" s="30" t="str">
        <f ca="1">IFERROR(__xludf.DUMMYFUNCTION("""COMPUTED_VALUE"""),"SAN LUIS")</f>
        <v>SAN LUIS</v>
      </c>
      <c r="O1601" s="30" t="str">
        <f ca="1">IFERROR(__xludf.DUMMYFUNCTION("""COMPUTED_VALUE"""),"7456")</f>
        <v>7456</v>
      </c>
      <c r="P1601" s="30" t="str">
        <f ca="1">IFERROR(__xludf.DUMMYFUNCTION("""COMPUTED_VALUE"""),"LA CAPITAL")</f>
        <v>LA CAPITAL</v>
      </c>
      <c r="Q1601" s="30" t="str">
        <f ca="1">IFERROR(__xludf.DUMMYFUNCTION("""COMPUTED_VALUE"""),"-33.28451234")</f>
        <v>-33.28451234</v>
      </c>
      <c r="R1601" s="30" t="str">
        <f ca="1">IFERROR(__xludf.DUMMYFUNCTION("""COMPUTED_VALUE"""),"-66.31304741")</f>
        <v>-66.31304741</v>
      </c>
      <c r="S1601" s="30" t="str">
        <f ca="1">IFERROR(__xludf.DUMMYFUNCTION("""COMPUTED_VALUE"""),"Provincial")</f>
        <v>Provincial</v>
      </c>
      <c r="T1601" s="30" t="str">
        <f ca="1">IFERROR(__xludf.DUMMYFUNCTION("""COMPUTED_VALUE"""),"-")</f>
        <v>-</v>
      </c>
    </row>
    <row r="1602" spans="1:20" ht="15.75" customHeight="1" x14ac:dyDescent="0.25">
      <c r="A1602" s="30" t="str">
        <f ca="1">IFERROR(__xludf.DUMMYFUNCTION("""COMPUTED_VALUE"""),"50740352180044")</f>
        <v>50740352180044</v>
      </c>
      <c r="B1602" s="30" t="str">
        <f ca="1">IFERROR(__xludf.DUMMYFUNCTION("""COMPUTED_VALUE"""),"CAPS ALBERT SABIN")</f>
        <v>CAPS ALBERT SABIN</v>
      </c>
      <c r="C1602" s="30" t="str">
        <f ca="1">IFERROR(__xludf.DUMMYFUNCTION("""COMPUTED_VALUE"""),"San Luis")</f>
        <v>San Luis</v>
      </c>
      <c r="D1602" s="30" t="str">
        <f ca="1">IFERROR(__xludf.DUMMYFUNCTION("""COMPUTED_VALUE"""),"74")</f>
        <v>74</v>
      </c>
      <c r="E1602" s="30" t="str">
        <f ca="1">IFERROR(__xludf.DUMMYFUNCTION("""COMPUTED_VALUE"""),"")</f>
        <v/>
      </c>
      <c r="F1602" s="29"/>
      <c r="G1602" s="29"/>
      <c r="H1602" s="30" t="str">
        <f ca="1">IFERROR(__xludf.DUMMYFUNCTION("""COMPUTED_VALUE"""),"activo")</f>
        <v>activo</v>
      </c>
      <c r="I1602" s="29"/>
      <c r="J1602" s="29"/>
      <c r="K1602" s="29"/>
      <c r="L1602" s="30" t="str">
        <f ca="1">IFERROR(__xludf.DUMMYFUNCTION("""COMPUTED_VALUE"""),"No")</f>
        <v>No</v>
      </c>
      <c r="M1602" s="30" t="str">
        <f ca="1">IFERROR(__xludf.DUMMYFUNCTION("""COMPUTED_VALUE"""),"74035070000")</f>
        <v>74035070000</v>
      </c>
      <c r="N1602" s="30" t="str">
        <f ca="1">IFERROR(__xludf.DUMMYFUNCTION("""COMPUTED_VALUE"""),"VILLA MERCEDES")</f>
        <v>VILLA MERCEDES</v>
      </c>
      <c r="O1602" s="30" t="str">
        <f ca="1">IFERROR(__xludf.DUMMYFUNCTION("""COMPUTED_VALUE"""),"7435")</f>
        <v>7435</v>
      </c>
      <c r="P1602" s="30" t="str">
        <f ca="1">IFERROR(__xludf.DUMMYFUNCTION("""COMPUTED_VALUE"""),"GENERAL PEDERNERA")</f>
        <v>GENERAL PEDERNERA</v>
      </c>
      <c r="Q1602" s="30" t="str">
        <f ca="1">IFERROR(__xludf.DUMMYFUNCTION("""COMPUTED_VALUE"""),"-33.68506786")</f>
        <v>-33.68506786</v>
      </c>
      <c r="R1602" s="30" t="str">
        <f ca="1">IFERROR(__xludf.DUMMYFUNCTION("""COMPUTED_VALUE"""),"-65.4862833")</f>
        <v>-65.4862833</v>
      </c>
      <c r="S1602" s="30" t="str">
        <f ca="1">IFERROR(__xludf.DUMMYFUNCTION("""COMPUTED_VALUE"""),"Provincial")</f>
        <v>Provincial</v>
      </c>
      <c r="T1602" s="30" t="str">
        <f ca="1">IFERROR(__xludf.DUMMYFUNCTION("""COMPUTED_VALUE"""),"-")</f>
        <v>-</v>
      </c>
    </row>
    <row r="1603" spans="1:20" ht="15.75" customHeight="1" x14ac:dyDescent="0.25">
      <c r="A1603" s="30" t="str">
        <f ca="1">IFERROR(__xludf.DUMMYFUNCTION("""COMPUTED_VALUE"""),"50740352180280")</f>
        <v>50740352180280</v>
      </c>
      <c r="B1603" s="30" t="str">
        <f ca="1">IFERROR(__xludf.DUMMYFUNCTION("""COMPUTED_VALUE"""),"CAPS Nº 1 JUAN DOMINGO PERON")</f>
        <v>CAPS Nº 1 JUAN DOMINGO PERON</v>
      </c>
      <c r="C1603" s="30" t="str">
        <f ca="1">IFERROR(__xludf.DUMMYFUNCTION("""COMPUTED_VALUE"""),"San Luis")</f>
        <v>San Luis</v>
      </c>
      <c r="D1603" s="30" t="str">
        <f ca="1">IFERROR(__xludf.DUMMYFUNCTION("""COMPUTED_VALUE"""),"74")</f>
        <v>74</v>
      </c>
      <c r="E1603" s="30" t="str">
        <f ca="1">IFERROR(__xludf.DUMMYFUNCTION("""COMPUTED_VALUE"""),"")</f>
        <v/>
      </c>
      <c r="F1603" s="29"/>
      <c r="G1603" s="29"/>
      <c r="H1603" s="30" t="str">
        <f ca="1">IFERROR(__xludf.DUMMYFUNCTION("""COMPUTED_VALUE"""),"activo")</f>
        <v>activo</v>
      </c>
      <c r="I1603" s="29"/>
      <c r="J1603" s="29"/>
      <c r="K1603" s="29"/>
      <c r="L1603" s="30" t="str">
        <f ca="1">IFERROR(__xludf.DUMMYFUNCTION("""COMPUTED_VALUE"""),"No")</f>
        <v>No</v>
      </c>
      <c r="M1603" s="30" t="str">
        <f ca="1">IFERROR(__xludf.DUMMYFUNCTION("""COMPUTED_VALUE"""),"74035070000")</f>
        <v>74035070000</v>
      </c>
      <c r="N1603" s="30" t="str">
        <f ca="1">IFERROR(__xludf.DUMMYFUNCTION("""COMPUTED_VALUE"""),"VILLA MERCEDES")</f>
        <v>VILLA MERCEDES</v>
      </c>
      <c r="O1603" s="30" t="str">
        <f ca="1">IFERROR(__xludf.DUMMYFUNCTION("""COMPUTED_VALUE"""),"7435")</f>
        <v>7435</v>
      </c>
      <c r="P1603" s="30" t="str">
        <f ca="1">IFERROR(__xludf.DUMMYFUNCTION("""COMPUTED_VALUE"""),"GENERAL PEDERNERA")</f>
        <v>GENERAL PEDERNERA</v>
      </c>
      <c r="Q1603" s="30" t="str">
        <f ca="1">IFERROR(__xludf.DUMMYFUNCTION("""COMPUTED_VALUE"""),"-33.676876")</f>
        <v>-33.676876</v>
      </c>
      <c r="R1603" s="30" t="str">
        <f ca="1">IFERROR(__xludf.DUMMYFUNCTION("""COMPUTED_VALUE"""),"-65.453467")</f>
        <v>-65.453467</v>
      </c>
      <c r="S1603" s="30" t="str">
        <f ca="1">IFERROR(__xludf.DUMMYFUNCTION("""COMPUTED_VALUE"""),"Provincial")</f>
        <v>Provincial</v>
      </c>
      <c r="T1603" s="30" t="str">
        <f ca="1">IFERROR(__xludf.DUMMYFUNCTION("""COMPUTED_VALUE"""),"-")</f>
        <v>-</v>
      </c>
    </row>
    <row r="1604" spans="1:20" ht="15.75" customHeight="1" x14ac:dyDescent="0.25">
      <c r="A1604" s="30" t="str">
        <f ca="1">IFERROR(__xludf.DUMMYFUNCTION("""COMPUTED_VALUE"""),"50740562180057")</f>
        <v>50740562180057</v>
      </c>
      <c r="B1604" s="30" t="str">
        <f ca="1">IFERROR(__xludf.DUMMYFUNCTION("""COMPUTED_VALUE"""),"CAPS  ESTRELLA DEL SUR")</f>
        <v>CAPS  ESTRELLA DEL SUR</v>
      </c>
      <c r="C1604" s="30" t="str">
        <f ca="1">IFERROR(__xludf.DUMMYFUNCTION("""COMPUTED_VALUE"""),"San Luis")</f>
        <v>San Luis</v>
      </c>
      <c r="D1604" s="30" t="str">
        <f ca="1">IFERROR(__xludf.DUMMYFUNCTION("""COMPUTED_VALUE"""),"74")</f>
        <v>74</v>
      </c>
      <c r="E1604" s="30" t="str">
        <f ca="1">IFERROR(__xludf.DUMMYFUNCTION("""COMPUTED_VALUE"""),"")</f>
        <v/>
      </c>
      <c r="F1604" s="29"/>
      <c r="G1604" s="29"/>
      <c r="H1604" s="30" t="str">
        <f ca="1">IFERROR(__xludf.DUMMYFUNCTION("""COMPUTED_VALUE"""),"activo")</f>
        <v>activo</v>
      </c>
      <c r="I1604" s="29"/>
      <c r="J1604" s="29"/>
      <c r="K1604" s="29"/>
      <c r="L1604" s="30" t="str">
        <f ca="1">IFERROR(__xludf.DUMMYFUNCTION("""COMPUTED_VALUE"""),"No")</f>
        <v>No</v>
      </c>
      <c r="M1604" s="30" t="str">
        <f ca="1">IFERROR(__xludf.DUMMYFUNCTION("""COMPUTED_VALUE"""),"74056150000")</f>
        <v>74056150000</v>
      </c>
      <c r="N1604" s="30" t="str">
        <f ca="1">IFERROR(__xludf.DUMMYFUNCTION("""COMPUTED_VALUE"""),"SAN LUIS")</f>
        <v>SAN LUIS</v>
      </c>
      <c r="O1604" s="30" t="str">
        <f ca="1">IFERROR(__xludf.DUMMYFUNCTION("""COMPUTED_VALUE"""),"7456")</f>
        <v>7456</v>
      </c>
      <c r="P1604" s="30" t="str">
        <f ca="1">IFERROR(__xludf.DUMMYFUNCTION("""COMPUTED_VALUE"""),"LA CAPITAL")</f>
        <v>LA CAPITAL</v>
      </c>
      <c r="Q1604" s="30" t="str">
        <f ca="1">IFERROR(__xludf.DUMMYFUNCTION("""COMPUTED_VALUE"""),"-33.32923741")</f>
        <v>-33.32923741</v>
      </c>
      <c r="R1604" s="30" t="str">
        <f ca="1">IFERROR(__xludf.DUMMYFUNCTION("""COMPUTED_VALUE"""),"-66.34454727")</f>
        <v>-66.34454727</v>
      </c>
      <c r="S1604" s="30" t="str">
        <f ca="1">IFERROR(__xludf.DUMMYFUNCTION("""COMPUTED_VALUE"""),"Provincial")</f>
        <v>Provincial</v>
      </c>
      <c r="T1604" s="30" t="str">
        <f ca="1">IFERROR(__xludf.DUMMYFUNCTION("""COMPUTED_VALUE"""),"-")</f>
        <v>-</v>
      </c>
    </row>
    <row r="1605" spans="1:20" ht="15.75" customHeight="1" x14ac:dyDescent="0.25">
      <c r="A1605" s="30" t="str">
        <f ca="1">IFERROR(__xludf.DUMMYFUNCTION("""COMPUTED_VALUE"""),"50740562180122")</f>
        <v>50740562180122</v>
      </c>
      <c r="B1605" s="30" t="str">
        <f ca="1">IFERROR(__xludf.DUMMYFUNCTION("""COMPUTED_VALUE"""),"CAPS MALVINAS ARGENTINAS")</f>
        <v>CAPS MALVINAS ARGENTINAS</v>
      </c>
      <c r="C1605" s="30" t="str">
        <f ca="1">IFERROR(__xludf.DUMMYFUNCTION("""COMPUTED_VALUE"""),"San Luis")</f>
        <v>San Luis</v>
      </c>
      <c r="D1605" s="30" t="str">
        <f ca="1">IFERROR(__xludf.DUMMYFUNCTION("""COMPUTED_VALUE"""),"74")</f>
        <v>74</v>
      </c>
      <c r="E1605" s="30" t="str">
        <f ca="1">IFERROR(__xludf.DUMMYFUNCTION("""COMPUTED_VALUE"""),"")</f>
        <v/>
      </c>
      <c r="F1605" s="29"/>
      <c r="G1605" s="29"/>
      <c r="H1605" s="30" t="str">
        <f ca="1">IFERROR(__xludf.DUMMYFUNCTION("""COMPUTED_VALUE"""),"activo")</f>
        <v>activo</v>
      </c>
      <c r="I1605" s="29"/>
      <c r="J1605" s="29"/>
      <c r="K1605" s="29"/>
      <c r="L1605" s="30" t="str">
        <f ca="1">IFERROR(__xludf.DUMMYFUNCTION("""COMPUTED_VALUE"""),"No")</f>
        <v>No</v>
      </c>
      <c r="M1605" s="30" t="str">
        <f ca="1">IFERROR(__xludf.DUMMYFUNCTION("""COMPUTED_VALUE"""),"74056150000")</f>
        <v>74056150000</v>
      </c>
      <c r="N1605" s="30" t="str">
        <f ca="1">IFERROR(__xludf.DUMMYFUNCTION("""COMPUTED_VALUE"""),"SAN LUIS")</f>
        <v>SAN LUIS</v>
      </c>
      <c r="O1605" s="30" t="str">
        <f ca="1">IFERROR(__xludf.DUMMYFUNCTION("""COMPUTED_VALUE"""),"7456")</f>
        <v>7456</v>
      </c>
      <c r="P1605" s="30" t="str">
        <f ca="1">IFERROR(__xludf.DUMMYFUNCTION("""COMPUTED_VALUE"""),"LA CAPITAL")</f>
        <v>LA CAPITAL</v>
      </c>
      <c r="Q1605" s="30" t="str">
        <f ca="1">IFERROR(__xludf.DUMMYFUNCTION("""COMPUTED_VALUE"""),"-33.30284271")</f>
        <v>-33.30284271</v>
      </c>
      <c r="R1605" s="30" t="str">
        <f ca="1">IFERROR(__xludf.DUMMYFUNCTION("""COMPUTED_VALUE"""),"-66.34480476")</f>
        <v>-66.34480476</v>
      </c>
      <c r="S1605" s="30" t="str">
        <f ca="1">IFERROR(__xludf.DUMMYFUNCTION("""COMPUTED_VALUE"""),"Provincial")</f>
        <v>Provincial</v>
      </c>
      <c r="T1605" s="30" t="str">
        <f ca="1">IFERROR(__xludf.DUMMYFUNCTION("""COMPUTED_VALUE"""),"-")</f>
        <v>-</v>
      </c>
    </row>
    <row r="1606" spans="1:20" ht="15.75" customHeight="1" x14ac:dyDescent="0.25">
      <c r="A1606" s="30" t="str">
        <f ca="1">IFERROR(__xludf.DUMMYFUNCTION("""COMPUTED_VALUE"""),"50740562180125")</f>
        <v>50740562180125</v>
      </c>
      <c r="B1606" s="30" t="str">
        <f ca="1">IFERROR(__xludf.DUMMYFUNCTION("""COMPUTED_VALUE"""),"CAPS MONSEÑOR TIBILETTI")</f>
        <v>CAPS MONSEÑOR TIBILETTI</v>
      </c>
      <c r="C1606" s="30" t="str">
        <f ca="1">IFERROR(__xludf.DUMMYFUNCTION("""COMPUTED_VALUE"""),"San Luis")</f>
        <v>San Luis</v>
      </c>
      <c r="D1606" s="30" t="str">
        <f ca="1">IFERROR(__xludf.DUMMYFUNCTION("""COMPUTED_VALUE"""),"74")</f>
        <v>74</v>
      </c>
      <c r="E1606" s="30" t="str">
        <f ca="1">IFERROR(__xludf.DUMMYFUNCTION("""COMPUTED_VALUE"""),"")</f>
        <v/>
      </c>
      <c r="F1606" s="29"/>
      <c r="G1606" s="29"/>
      <c r="H1606" s="30" t="str">
        <f ca="1">IFERROR(__xludf.DUMMYFUNCTION("""COMPUTED_VALUE"""),"activo")</f>
        <v>activo</v>
      </c>
      <c r="I1606" s="29"/>
      <c r="J1606" s="29"/>
      <c r="K1606" s="29"/>
      <c r="L1606" s="30" t="str">
        <f ca="1">IFERROR(__xludf.DUMMYFUNCTION("""COMPUTED_VALUE"""),"No")</f>
        <v>No</v>
      </c>
      <c r="M1606" s="30" t="str">
        <f ca="1">IFERROR(__xludf.DUMMYFUNCTION("""COMPUTED_VALUE"""),"74056150000")</f>
        <v>74056150000</v>
      </c>
      <c r="N1606" s="30" t="str">
        <f ca="1">IFERROR(__xludf.DUMMYFUNCTION("""COMPUTED_VALUE"""),"SAN LUIS")</f>
        <v>SAN LUIS</v>
      </c>
      <c r="O1606" s="30" t="str">
        <f ca="1">IFERROR(__xludf.DUMMYFUNCTION("""COMPUTED_VALUE"""),"7456")</f>
        <v>7456</v>
      </c>
      <c r="P1606" s="30" t="str">
        <f ca="1">IFERROR(__xludf.DUMMYFUNCTION("""COMPUTED_VALUE"""),"LA CAPITAL")</f>
        <v>LA CAPITAL</v>
      </c>
      <c r="Q1606" s="30" t="str">
        <f ca="1">IFERROR(__xludf.DUMMYFUNCTION("""COMPUTED_VALUE"""),"-33.30312965")</f>
        <v>-33.30312965</v>
      </c>
      <c r="R1606" s="30" t="str">
        <f ca="1">IFERROR(__xludf.DUMMYFUNCTION("""COMPUTED_VALUE"""),"-66.31364822")</f>
        <v>-66.31364822</v>
      </c>
      <c r="S1606" s="30" t="str">
        <f ca="1">IFERROR(__xludf.DUMMYFUNCTION("""COMPUTED_VALUE"""),"Provincial")</f>
        <v>Provincial</v>
      </c>
      <c r="T1606" s="30" t="str">
        <f ca="1">IFERROR(__xludf.DUMMYFUNCTION("""COMPUTED_VALUE"""),"-")</f>
        <v>-</v>
      </c>
    </row>
    <row r="1607" spans="1:20" ht="15.75" customHeight="1" x14ac:dyDescent="0.25">
      <c r="A1607" s="30" t="str">
        <f ca="1">IFERROR(__xludf.DUMMYFUNCTION("""COMPUTED_VALUE"""),"50740562180170")</f>
        <v>50740562180170</v>
      </c>
      <c r="B1607" s="30" t="str">
        <f ca="1">IFERROR(__xludf.DUMMYFUNCTION("""COMPUTED_VALUE"""),"CAPS BARRIO 1° DE MAYO")</f>
        <v>CAPS BARRIO 1° DE MAYO</v>
      </c>
      <c r="C1607" s="30" t="str">
        <f ca="1">IFERROR(__xludf.DUMMYFUNCTION("""COMPUTED_VALUE"""),"San Luis")</f>
        <v>San Luis</v>
      </c>
      <c r="D1607" s="30" t="str">
        <f ca="1">IFERROR(__xludf.DUMMYFUNCTION("""COMPUTED_VALUE"""),"74")</f>
        <v>74</v>
      </c>
      <c r="E1607" s="30" t="str">
        <f ca="1">IFERROR(__xludf.DUMMYFUNCTION("""COMPUTED_VALUE"""),"")</f>
        <v/>
      </c>
      <c r="F1607" s="29"/>
      <c r="G1607" s="29"/>
      <c r="H1607" s="30" t="str">
        <f ca="1">IFERROR(__xludf.DUMMYFUNCTION("""COMPUTED_VALUE"""),"activo")</f>
        <v>activo</v>
      </c>
      <c r="I1607" s="29"/>
      <c r="J1607" s="29"/>
      <c r="K1607" s="29"/>
      <c r="L1607" s="30" t="str">
        <f ca="1">IFERROR(__xludf.DUMMYFUNCTION("""COMPUTED_VALUE"""),"No")</f>
        <v>No</v>
      </c>
      <c r="M1607" s="30" t="str">
        <f ca="1">IFERROR(__xludf.DUMMYFUNCTION("""COMPUTED_VALUE"""),"74056150000")</f>
        <v>74056150000</v>
      </c>
      <c r="N1607" s="30" t="str">
        <f ca="1">IFERROR(__xludf.DUMMYFUNCTION("""COMPUTED_VALUE"""),"SAN LUIS")</f>
        <v>SAN LUIS</v>
      </c>
      <c r="O1607" s="30" t="str">
        <f ca="1">IFERROR(__xludf.DUMMYFUNCTION("""COMPUTED_VALUE"""),"7456")</f>
        <v>7456</v>
      </c>
      <c r="P1607" s="30" t="str">
        <f ca="1">IFERROR(__xludf.DUMMYFUNCTION("""COMPUTED_VALUE"""),"LA CAPITAL")</f>
        <v>LA CAPITAL</v>
      </c>
      <c r="Q1607" s="30" t="str">
        <f ca="1">IFERROR(__xludf.DUMMYFUNCTION("""COMPUTED_VALUE"""),"-33.30693154")</f>
        <v>-33.30693154</v>
      </c>
      <c r="R1607" s="30" t="str">
        <f ca="1">IFERROR(__xludf.DUMMYFUNCTION("""COMPUTED_VALUE"""),"-66.35585546")</f>
        <v>-66.35585546</v>
      </c>
      <c r="S1607" s="30" t="str">
        <f ca="1">IFERROR(__xludf.DUMMYFUNCTION("""COMPUTED_VALUE"""),"Provincial")</f>
        <v>Provincial</v>
      </c>
      <c r="T1607" s="30" t="str">
        <f ca="1">IFERROR(__xludf.DUMMYFUNCTION("""COMPUTED_VALUE"""),"-")</f>
        <v>-</v>
      </c>
    </row>
    <row r="1608" spans="1:20" ht="15.75" customHeight="1" x14ac:dyDescent="0.25">
      <c r="A1608" s="30" t="str">
        <f ca="1">IFERROR(__xludf.DUMMYFUNCTION("""COMPUTED_VALUE"""),"50740562180227")</f>
        <v>50740562180227</v>
      </c>
      <c r="B1608" s="30" t="str">
        <f ca="1">IFERROR(__xludf.DUMMYFUNCTION("""COMPUTED_VALUE"""),"HOSPITAL CERRO DE LA CRUZ")</f>
        <v>HOSPITAL CERRO DE LA CRUZ</v>
      </c>
      <c r="C1608" s="30" t="str">
        <f ca="1">IFERROR(__xludf.DUMMYFUNCTION("""COMPUTED_VALUE"""),"San Luis")</f>
        <v>San Luis</v>
      </c>
      <c r="D1608" s="30" t="str">
        <f ca="1">IFERROR(__xludf.DUMMYFUNCTION("""COMPUTED_VALUE"""),"74")</f>
        <v>74</v>
      </c>
      <c r="E1608" s="30" t="str">
        <f ca="1">IFERROR(__xludf.DUMMYFUNCTION("""COMPUTED_VALUE"""),"")</f>
        <v/>
      </c>
      <c r="F1608" s="29"/>
      <c r="G1608" s="29"/>
      <c r="H1608" s="30" t="str">
        <f ca="1">IFERROR(__xludf.DUMMYFUNCTION("""COMPUTED_VALUE"""),"activo")</f>
        <v>activo</v>
      </c>
      <c r="I1608" s="29"/>
      <c r="J1608" s="29"/>
      <c r="K1608" s="29"/>
      <c r="L1608" s="30" t="str">
        <f ca="1">IFERROR(__xludf.DUMMYFUNCTION("""COMPUTED_VALUE"""),"No")</f>
        <v>No</v>
      </c>
      <c r="M1608" s="30" t="str">
        <f ca="1">IFERROR(__xludf.DUMMYFUNCTION("""COMPUTED_VALUE"""),"74056150000")</f>
        <v>74056150000</v>
      </c>
      <c r="N1608" s="30" t="str">
        <f ca="1">IFERROR(__xludf.DUMMYFUNCTION("""COMPUTED_VALUE"""),"SAN LUIS")</f>
        <v>SAN LUIS</v>
      </c>
      <c r="O1608" s="30" t="str">
        <f ca="1">IFERROR(__xludf.DUMMYFUNCTION("""COMPUTED_VALUE"""),"7456")</f>
        <v>7456</v>
      </c>
      <c r="P1608" s="30" t="str">
        <f ca="1">IFERROR(__xludf.DUMMYFUNCTION("""COMPUTED_VALUE"""),"LA CAPITAL")</f>
        <v>LA CAPITAL</v>
      </c>
      <c r="Q1608" s="30" t="str">
        <f ca="1">IFERROR(__xludf.DUMMYFUNCTION("""COMPUTED_VALUE"""),"-33.27848508")</f>
        <v>-33.27848508</v>
      </c>
      <c r="R1608" s="30" t="str">
        <f ca="1">IFERROR(__xludf.DUMMYFUNCTION("""COMPUTED_VALUE"""),"-66.29935741")</f>
        <v>-66.29935741</v>
      </c>
      <c r="S1608" s="30" t="str">
        <f ca="1">IFERROR(__xludf.DUMMYFUNCTION("""COMPUTED_VALUE"""),"Provincial")</f>
        <v>Provincial</v>
      </c>
      <c r="T1608" s="30" t="str">
        <f ca="1">IFERROR(__xludf.DUMMYFUNCTION("""COMPUTED_VALUE"""),"-")</f>
        <v>-</v>
      </c>
    </row>
    <row r="1609" spans="1:20" ht="15.75" customHeight="1" x14ac:dyDescent="0.25">
      <c r="A1609" s="30" t="str">
        <f ca="1">IFERROR(__xludf.DUMMYFUNCTION("""COMPUTED_VALUE"""),"50740352180275")</f>
        <v>50740352180275</v>
      </c>
      <c r="B1609" s="30" t="str">
        <f ca="1">IFERROR(__xludf.DUMMYFUNCTION("""COMPUTED_VALUE"""),"HOSPITAL DE REFERENCIA EVA PERON")</f>
        <v>HOSPITAL DE REFERENCIA EVA PERON</v>
      </c>
      <c r="C1609" s="30" t="str">
        <f ca="1">IFERROR(__xludf.DUMMYFUNCTION("""COMPUTED_VALUE"""),"San Luis")</f>
        <v>San Luis</v>
      </c>
      <c r="D1609" s="30" t="str">
        <f ca="1">IFERROR(__xludf.DUMMYFUNCTION("""COMPUTED_VALUE"""),"74")</f>
        <v>74</v>
      </c>
      <c r="E1609" s="30" t="str">
        <f ca="1">IFERROR(__xludf.DUMMYFUNCTION("""COMPUTED_VALUE"""),"")</f>
        <v/>
      </c>
      <c r="F1609" s="29"/>
      <c r="G1609" s="29"/>
      <c r="H1609" s="30" t="str">
        <f ca="1">IFERROR(__xludf.DUMMYFUNCTION("""COMPUTED_VALUE"""),"activo")</f>
        <v>activo</v>
      </c>
      <c r="I1609" s="29"/>
      <c r="J1609" s="29"/>
      <c r="K1609" s="29"/>
      <c r="L1609" s="30" t="str">
        <f ca="1">IFERROR(__xludf.DUMMYFUNCTION("""COMPUTED_VALUE"""),"No")</f>
        <v>No</v>
      </c>
      <c r="M1609" s="30" t="str">
        <f ca="1">IFERROR(__xludf.DUMMYFUNCTION("""COMPUTED_VALUE"""),"74035070000")</f>
        <v>74035070000</v>
      </c>
      <c r="N1609" s="30" t="str">
        <f ca="1">IFERROR(__xludf.DUMMYFUNCTION("""COMPUTED_VALUE"""),"VILLA MERCEDES")</f>
        <v>VILLA MERCEDES</v>
      </c>
      <c r="O1609" s="30" t="str">
        <f ca="1">IFERROR(__xludf.DUMMYFUNCTION("""COMPUTED_VALUE"""),"7435")</f>
        <v>7435</v>
      </c>
      <c r="P1609" s="30" t="str">
        <f ca="1">IFERROR(__xludf.DUMMYFUNCTION("""COMPUTED_VALUE"""),"GENERAL PEDERNERA")</f>
        <v>GENERAL PEDERNERA</v>
      </c>
      <c r="Q1609" s="30" t="str">
        <f ca="1">IFERROR(__xludf.DUMMYFUNCTION("""COMPUTED_VALUE"""),"-33.659603")</f>
        <v>-33.659603</v>
      </c>
      <c r="R1609" s="30" t="str">
        <f ca="1">IFERROR(__xludf.DUMMYFUNCTION("""COMPUTED_VALUE"""),"-65.43684483")</f>
        <v>-65.43684483</v>
      </c>
      <c r="S1609" s="30" t="str">
        <f ca="1">IFERROR(__xludf.DUMMYFUNCTION("""COMPUTED_VALUE"""),"Provincial")</f>
        <v>Provincial</v>
      </c>
      <c r="T1609" s="30" t="str">
        <f ca="1">IFERROR(__xludf.DUMMYFUNCTION("""COMPUTED_VALUE"""),"-")</f>
        <v>-</v>
      </c>
    </row>
    <row r="1610" spans="1:20" ht="15.75" customHeight="1" x14ac:dyDescent="0.25">
      <c r="A1610" s="30" t="str">
        <f ca="1">IFERROR(__xludf.DUMMYFUNCTION("""COMPUTED_VALUE"""),"10740562180279")</f>
        <v>10740562180279</v>
      </c>
      <c r="B1610" s="30" t="str">
        <f ca="1">IFERROR(__xludf.DUMMYFUNCTION("""COMPUTED_VALUE"""),"HOSPITAL DR.JUAN GREGORIO VIVAS  JUANA KOSLAY")</f>
        <v>HOSPITAL DR.JUAN GREGORIO VIVAS  JUANA KOSLAY</v>
      </c>
      <c r="C1610" s="30" t="str">
        <f ca="1">IFERROR(__xludf.DUMMYFUNCTION("""COMPUTED_VALUE"""),"San Luis")</f>
        <v>San Luis</v>
      </c>
      <c r="D1610" s="30" t="str">
        <f ca="1">IFERROR(__xludf.DUMMYFUNCTION("""COMPUTED_VALUE"""),"74")</f>
        <v>74</v>
      </c>
      <c r="E1610" s="30" t="str">
        <f ca="1">IFERROR(__xludf.DUMMYFUNCTION("""COMPUTED_VALUE"""),"")</f>
        <v/>
      </c>
      <c r="F1610" s="29"/>
      <c r="G1610" s="29"/>
      <c r="H1610" s="30" t="str">
        <f ca="1">IFERROR(__xludf.DUMMYFUNCTION("""COMPUTED_VALUE"""),"activo")</f>
        <v>activo</v>
      </c>
      <c r="I1610" s="29"/>
      <c r="J1610" s="29"/>
      <c r="K1610" s="29"/>
      <c r="L1610" s="30" t="str">
        <f ca="1">IFERROR(__xludf.DUMMYFUNCTION("""COMPUTED_VALUE"""),"No")</f>
        <v>No</v>
      </c>
      <c r="M1610" s="30" t="str">
        <f ca="1">IFERROR(__xludf.DUMMYFUNCTION("""COMPUTED_VALUE"""),"74056100003")</f>
        <v>74056100003</v>
      </c>
      <c r="N1610" s="30" t="str">
        <f ca="1">IFERROR(__xludf.DUMMYFUNCTION("""COMPUTED_VALUE"""),"EL CHORRILLO")</f>
        <v>EL CHORRILLO</v>
      </c>
      <c r="O1610" s="30" t="str">
        <f ca="1">IFERROR(__xludf.DUMMYFUNCTION("""COMPUTED_VALUE"""),"7456")</f>
        <v>7456</v>
      </c>
      <c r="P1610" s="30" t="str">
        <f ca="1">IFERROR(__xludf.DUMMYFUNCTION("""COMPUTED_VALUE"""),"LA CAPITAL")</f>
        <v>LA CAPITAL</v>
      </c>
      <c r="Q1610" s="30" t="str">
        <f ca="1">IFERROR(__xludf.DUMMYFUNCTION("""COMPUTED_VALUE"""),"-33.26906665")</f>
        <v>-33.26906665</v>
      </c>
      <c r="R1610" s="30" t="str">
        <f ca="1">IFERROR(__xludf.DUMMYFUNCTION("""COMPUTED_VALUE"""),"-66.2320447")</f>
        <v>-66.2320447</v>
      </c>
      <c r="S1610" s="30" t="str">
        <f ca="1">IFERROR(__xludf.DUMMYFUNCTION("""COMPUTED_VALUE"""),"Provincial")</f>
        <v>Provincial</v>
      </c>
      <c r="T1610" s="30" t="str">
        <f ca="1">IFERROR(__xludf.DUMMYFUNCTION("""COMPUTED_VALUE"""),"-")</f>
        <v>-</v>
      </c>
    </row>
    <row r="1611" spans="1:20" ht="15.75" customHeight="1" x14ac:dyDescent="0.25">
      <c r="A1611" s="30" t="str">
        <f ca="1">IFERROR(__xludf.DUMMYFUNCTION("""COMPUTED_VALUE"""),"50740562180230")</f>
        <v>50740562180230</v>
      </c>
      <c r="B1611" s="30" t="str">
        <f ca="1">IFERROR(__xludf.DUMMYFUNCTION("""COMPUTED_VALUE"""),"HOSPITAL DEL OESTE DR. ATILIO LUCHINI")</f>
        <v>HOSPITAL DEL OESTE DR. ATILIO LUCHINI</v>
      </c>
      <c r="C1611" s="30" t="str">
        <f ca="1">IFERROR(__xludf.DUMMYFUNCTION("""COMPUTED_VALUE"""),"San Luis")</f>
        <v>San Luis</v>
      </c>
      <c r="D1611" s="30" t="str">
        <f ca="1">IFERROR(__xludf.DUMMYFUNCTION("""COMPUTED_VALUE"""),"74")</f>
        <v>74</v>
      </c>
      <c r="E1611" s="30" t="str">
        <f ca="1">IFERROR(__xludf.DUMMYFUNCTION("""COMPUTED_VALUE"""),"")</f>
        <v/>
      </c>
      <c r="F1611" s="29"/>
      <c r="G1611" s="29"/>
      <c r="H1611" s="30" t="str">
        <f ca="1">IFERROR(__xludf.DUMMYFUNCTION("""COMPUTED_VALUE"""),"activo")</f>
        <v>activo</v>
      </c>
      <c r="I1611" s="29"/>
      <c r="J1611" s="29"/>
      <c r="K1611" s="29"/>
      <c r="L1611" s="30" t="str">
        <f ca="1">IFERROR(__xludf.DUMMYFUNCTION("""COMPUTED_VALUE"""),"No")</f>
        <v>No</v>
      </c>
      <c r="M1611" s="30" t="str">
        <f ca="1">IFERROR(__xludf.DUMMYFUNCTION("""COMPUTED_VALUE"""),"74056150000")</f>
        <v>74056150000</v>
      </c>
      <c r="N1611" s="30" t="str">
        <f ca="1">IFERROR(__xludf.DUMMYFUNCTION("""COMPUTED_VALUE"""),"SAN LUIS")</f>
        <v>SAN LUIS</v>
      </c>
      <c r="O1611" s="30" t="str">
        <f ca="1">IFERROR(__xludf.DUMMYFUNCTION("""COMPUTED_VALUE"""),"7456")</f>
        <v>7456</v>
      </c>
      <c r="P1611" s="30" t="str">
        <f ca="1">IFERROR(__xludf.DUMMYFUNCTION("""COMPUTED_VALUE"""),"LA CAPITAL")</f>
        <v>LA CAPITAL</v>
      </c>
      <c r="Q1611" s="30" t="str">
        <f ca="1">IFERROR(__xludf.DUMMYFUNCTION("""COMPUTED_VALUE"""),"-33.30910142")</f>
        <v>-33.30910142</v>
      </c>
      <c r="R1611" s="30" t="str">
        <f ca="1">IFERROR(__xludf.DUMMYFUNCTION("""COMPUTED_VALUE"""),"-66.35890245")</f>
        <v>-66.35890245</v>
      </c>
      <c r="S1611" s="30" t="str">
        <f ca="1">IFERROR(__xludf.DUMMYFUNCTION("""COMPUTED_VALUE"""),"Provincial")</f>
        <v>Provincial</v>
      </c>
      <c r="T1611" s="30" t="str">
        <f ca="1">IFERROR(__xludf.DUMMYFUNCTION("""COMPUTED_VALUE"""),"-")</f>
        <v>-</v>
      </c>
    </row>
    <row r="1612" spans="1:20" ht="15.75" customHeight="1" x14ac:dyDescent="0.25">
      <c r="A1612" s="30" t="str">
        <f ca="1">IFERROR(__xludf.DUMMYFUNCTION("""COMPUTED_VALUE"""),"50740562180231")</f>
        <v>50740562180231</v>
      </c>
      <c r="B1612" s="30" t="str">
        <f ca="1">IFERROR(__xludf.DUMMYFUNCTION("""COMPUTED_VALUE"""),"HOSPITAL DEL SUR")</f>
        <v>HOSPITAL DEL SUR</v>
      </c>
      <c r="C1612" s="30" t="str">
        <f ca="1">IFERROR(__xludf.DUMMYFUNCTION("""COMPUTED_VALUE"""),"San Luis")</f>
        <v>San Luis</v>
      </c>
      <c r="D1612" s="30" t="str">
        <f ca="1">IFERROR(__xludf.DUMMYFUNCTION("""COMPUTED_VALUE"""),"74")</f>
        <v>74</v>
      </c>
      <c r="E1612" s="30" t="str">
        <f ca="1">IFERROR(__xludf.DUMMYFUNCTION("""COMPUTED_VALUE"""),"")</f>
        <v/>
      </c>
      <c r="F1612" s="29"/>
      <c r="G1612" s="29"/>
      <c r="H1612" s="30" t="str">
        <f ca="1">IFERROR(__xludf.DUMMYFUNCTION("""COMPUTED_VALUE"""),"activo")</f>
        <v>activo</v>
      </c>
      <c r="I1612" s="29"/>
      <c r="J1612" s="29"/>
      <c r="K1612" s="29"/>
      <c r="L1612" s="30" t="str">
        <f ca="1">IFERROR(__xludf.DUMMYFUNCTION("""COMPUTED_VALUE"""),"No")</f>
        <v>No</v>
      </c>
      <c r="M1612" s="30" t="str">
        <f ca="1">IFERROR(__xludf.DUMMYFUNCTION("""COMPUTED_VALUE"""),"74056150000")</f>
        <v>74056150000</v>
      </c>
      <c r="N1612" s="30" t="str">
        <f ca="1">IFERROR(__xludf.DUMMYFUNCTION("""COMPUTED_VALUE"""),"SAN LUIS")</f>
        <v>SAN LUIS</v>
      </c>
      <c r="O1612" s="30" t="str">
        <f ca="1">IFERROR(__xludf.DUMMYFUNCTION("""COMPUTED_VALUE"""),"7456")</f>
        <v>7456</v>
      </c>
      <c r="P1612" s="30" t="str">
        <f ca="1">IFERROR(__xludf.DUMMYFUNCTION("""COMPUTED_VALUE"""),"LA CAPITAL")</f>
        <v>LA CAPITAL</v>
      </c>
      <c r="Q1612" s="30" t="str">
        <f ca="1">IFERROR(__xludf.DUMMYFUNCTION("""COMPUTED_VALUE"""),"-33.31435551")</f>
        <v>-33.31435551</v>
      </c>
      <c r="R1612" s="30" t="str">
        <f ca="1">IFERROR(__xludf.DUMMYFUNCTION("""COMPUTED_VALUE"""),"-66.31532192")</f>
        <v>-66.31532192</v>
      </c>
      <c r="S1612" s="30" t="str">
        <f ca="1">IFERROR(__xludf.DUMMYFUNCTION("""COMPUTED_VALUE"""),"Provincial")</f>
        <v>Provincial</v>
      </c>
      <c r="T1612" s="30" t="str">
        <f ca="1">IFERROR(__xludf.DUMMYFUNCTION("""COMPUTED_VALUE"""),"-")</f>
        <v>-</v>
      </c>
    </row>
    <row r="1613" spans="1:20" ht="15.75" customHeight="1" x14ac:dyDescent="0.25">
      <c r="A1613" s="30" t="str">
        <f ca="1">IFERROR(__xludf.DUMMYFUNCTION("""COMPUTED_VALUE"""),"50740282180167")</f>
        <v>50740282180167</v>
      </c>
      <c r="B1613" s="30" t="str">
        <f ca="1">IFERROR(__xludf.DUMMYFUNCTION("""COMPUTED_VALUE"""),"CAPS VILLA DEL CARMEN")</f>
        <v>CAPS VILLA DEL CARMEN</v>
      </c>
      <c r="C1613" s="30" t="str">
        <f ca="1">IFERROR(__xludf.DUMMYFUNCTION("""COMPUTED_VALUE"""),"San Luis")</f>
        <v>San Luis</v>
      </c>
      <c r="D1613" s="30" t="str">
        <f ca="1">IFERROR(__xludf.DUMMYFUNCTION("""COMPUTED_VALUE"""),"74")</f>
        <v>74</v>
      </c>
      <c r="E1613" s="30" t="str">
        <f ca="1">IFERROR(__xludf.DUMMYFUNCTION("""COMPUTED_VALUE"""),"")</f>
        <v/>
      </c>
      <c r="F1613" s="29"/>
      <c r="G1613" s="29"/>
      <c r="H1613" s="30" t="str">
        <f ca="1">IFERROR(__xludf.DUMMYFUNCTION("""COMPUTED_VALUE"""),"activo")</f>
        <v>activo</v>
      </c>
      <c r="I1613" s="29"/>
      <c r="J1613" s="29"/>
      <c r="K1613" s="29"/>
      <c r="L1613" s="30" t="str">
        <f ca="1">IFERROR(__xludf.DUMMYFUNCTION("""COMPUTED_VALUE"""),"No")</f>
        <v>No</v>
      </c>
      <c r="M1613" s="30" t="str">
        <f ca="1">IFERROR(__xludf.DUMMYFUNCTION("""COMPUTED_VALUE"""),"74028080000")</f>
        <v>74028080000</v>
      </c>
      <c r="N1613" s="30" t="str">
        <f ca="1">IFERROR(__xludf.DUMMYFUNCTION("""COMPUTED_VALUE"""),"VILLA DEL CARMEN")</f>
        <v>VILLA DEL CARMEN</v>
      </c>
      <c r="O1613" s="30" t="str">
        <f ca="1">IFERROR(__xludf.DUMMYFUNCTION("""COMPUTED_VALUE"""),"7428")</f>
        <v>7428</v>
      </c>
      <c r="P1613" s="30" t="str">
        <f ca="1">IFERROR(__xludf.DUMMYFUNCTION("""COMPUTED_VALUE"""),"CHACABUCO")</f>
        <v>CHACABUCO</v>
      </c>
      <c r="Q1613" s="30" t="str">
        <f ca="1">IFERROR(__xludf.DUMMYFUNCTION("""COMPUTED_VALUE"""),"-32.94530135")</f>
        <v>-32.94530135</v>
      </c>
      <c r="R1613" s="30" t="str">
        <f ca="1">IFERROR(__xludf.DUMMYFUNCTION("""COMPUTED_VALUE"""),"-65.0390625")</f>
        <v>-65.0390625</v>
      </c>
      <c r="S1613" s="30" t="str">
        <f ca="1">IFERROR(__xludf.DUMMYFUNCTION("""COMPUTED_VALUE"""),"Provincial")</f>
        <v>Provincial</v>
      </c>
      <c r="T1613" s="30" t="str">
        <f ca="1">IFERROR(__xludf.DUMMYFUNCTION("""COMPUTED_VALUE"""),"-")</f>
        <v>-</v>
      </c>
    </row>
    <row r="1614" spans="1:20" ht="15.75" customHeight="1" x14ac:dyDescent="0.25">
      <c r="A1614" s="30" t="str">
        <f ca="1">IFERROR(__xludf.DUMMYFUNCTION("""COMPUTED_VALUE"""),"10740422180009")</f>
        <v>10740422180009</v>
      </c>
      <c r="B1614" s="30" t="str">
        <f ca="1">IFERROR(__xludf.DUMMYFUNCTION("""COMPUTED_VALUE"""),"HOSPITAL BUENA ESPERANZA")</f>
        <v>HOSPITAL BUENA ESPERANZA</v>
      </c>
      <c r="C1614" s="30" t="str">
        <f ca="1">IFERROR(__xludf.DUMMYFUNCTION("""COMPUTED_VALUE"""),"San Luis")</f>
        <v>San Luis</v>
      </c>
      <c r="D1614" s="30" t="str">
        <f ca="1">IFERROR(__xludf.DUMMYFUNCTION("""COMPUTED_VALUE"""),"74")</f>
        <v>74</v>
      </c>
      <c r="E1614" s="30" t="str">
        <f ca="1">IFERROR(__xludf.DUMMYFUNCTION("""COMPUTED_VALUE"""),"si")</f>
        <v>si</v>
      </c>
      <c r="F1614" s="30" t="str">
        <f ca="1">IFERROR(__xludf.DUMMYFUNCTION("""COMPUTED_VALUE"""),"50740142180092")</f>
        <v>50740142180092</v>
      </c>
      <c r="G1614" s="29"/>
      <c r="H1614" s="30" t="str">
        <f ca="1">IFERROR(__xludf.DUMMYFUNCTION("""COMPUTED_VALUE"""),"activo")</f>
        <v>activo</v>
      </c>
      <c r="I1614" s="29"/>
      <c r="J1614" s="29"/>
      <c r="K1614" s="29"/>
      <c r="L1614" s="30" t="str">
        <f ca="1">IFERROR(__xludf.DUMMYFUNCTION("""COMPUTED_VALUE"""),"No")</f>
        <v>No</v>
      </c>
      <c r="M1614" s="30" t="str">
        <f ca="1">IFERROR(__xludf.DUMMYFUNCTION("""COMPUTED_VALUE"""),"74042050000")</f>
        <v>74042050000</v>
      </c>
      <c r="N1614" s="30" t="str">
        <f ca="1">IFERROR(__xludf.DUMMYFUNCTION("""COMPUTED_VALUE"""),"BUENA ESPERANZA")</f>
        <v>BUENA ESPERANZA</v>
      </c>
      <c r="O1614" s="30" t="str">
        <f ca="1">IFERROR(__xludf.DUMMYFUNCTION("""COMPUTED_VALUE"""),"7442")</f>
        <v>7442</v>
      </c>
      <c r="P1614" s="30" t="str">
        <f ca="1">IFERROR(__xludf.DUMMYFUNCTION("""COMPUTED_VALUE"""),"GOBERNADOR DUPUY")</f>
        <v>GOBERNADOR DUPUY</v>
      </c>
      <c r="Q1614" s="30" t="str">
        <f ca="1">IFERROR(__xludf.DUMMYFUNCTION("""COMPUTED_VALUE"""),"-34.7555762")</f>
        <v>-34.7555762</v>
      </c>
      <c r="R1614" s="30" t="str">
        <f ca="1">IFERROR(__xludf.DUMMYFUNCTION("""COMPUTED_VALUE"""),"-65.25157928")</f>
        <v>-65.25157928</v>
      </c>
      <c r="S1614" s="30" t="str">
        <f ca="1">IFERROR(__xludf.DUMMYFUNCTION("""COMPUTED_VALUE"""),"Provincial")</f>
        <v>Provincial</v>
      </c>
      <c r="T1614" s="30" t="str">
        <f ca="1">IFERROR(__xludf.DUMMYFUNCTION("""COMPUTED_VALUE"""),"-")</f>
        <v>-</v>
      </c>
    </row>
    <row r="1615" spans="1:20" ht="15.75" customHeight="1" x14ac:dyDescent="0.25">
      <c r="A1615" s="30" t="str">
        <f ca="1">IFERROR(__xludf.DUMMYFUNCTION("""COMPUTED_VALUE"""),"50740142180092")</f>
        <v>50740142180092</v>
      </c>
      <c r="B1615" s="30" t="str">
        <f ca="1">IFERROR(__xludf.DUMMYFUNCTION("""COMPUTED_VALUE"""),"CAPS GENERAL ROCA ( LOS MANANTIALES)")</f>
        <v>CAPS GENERAL ROCA ( LOS MANANTIALES)</v>
      </c>
      <c r="C1615" s="30" t="str">
        <f ca="1">IFERROR(__xludf.DUMMYFUNCTION("""COMPUTED_VALUE"""),"San Luis")</f>
        <v>San Luis</v>
      </c>
      <c r="D1615" s="30" t="str">
        <f ca="1">IFERROR(__xludf.DUMMYFUNCTION("""COMPUTED_VALUE"""),"74")</f>
        <v>74</v>
      </c>
      <c r="E1615" s="30" t="str">
        <f ca="1">IFERROR(__xludf.DUMMYFUNCTION("""COMPUTED_VALUE"""),"")</f>
        <v/>
      </c>
      <c r="F1615" s="29"/>
      <c r="G1615" s="30" t="str">
        <f ca="1">IFERROR(__xludf.DUMMYFUNCTION("""COMPUTED_VALUE"""),"10740422180009")</f>
        <v>10740422180009</v>
      </c>
      <c r="H1615" s="30" t="str">
        <f ca="1">IFERROR(__xludf.DUMMYFUNCTION("""COMPUTED_VALUE"""),"inactivo")</f>
        <v>inactivo</v>
      </c>
      <c r="I1615" s="29"/>
      <c r="J1615" s="29"/>
      <c r="K1615" s="29"/>
      <c r="L1615" s="30" t="str">
        <f ca="1">IFERROR(__xludf.DUMMYFUNCTION("""COMPUTED_VALUE"""),"No")</f>
        <v>No</v>
      </c>
      <c r="M1615" s="30" t="str">
        <f ca="1">IFERROR(__xludf.DUMMYFUNCTION("""COMPUTED_VALUE"""),"74014040000")</f>
        <v>74014040000</v>
      </c>
      <c r="N1615" s="30" t="str">
        <f ca="1">IFERROR(__xludf.DUMMYFUNCTION("""COMPUTED_VALUE"""),"VILLA GENERAL ROCA")</f>
        <v>VILLA GENERAL ROCA</v>
      </c>
      <c r="O1615" s="30" t="str">
        <f ca="1">IFERROR(__xludf.DUMMYFUNCTION("""COMPUTED_VALUE"""),"7414")</f>
        <v>7414</v>
      </c>
      <c r="P1615" s="30" t="str">
        <f ca="1">IFERROR(__xludf.DUMMYFUNCTION("""COMPUTED_VALUE"""),"BELGRANO")</f>
        <v>BELGRANO</v>
      </c>
      <c r="Q1615" s="30" t="str">
        <f ca="1">IFERROR(__xludf.DUMMYFUNCTION("""COMPUTED_VALUE"""),"-32.64978208")</f>
        <v>-32.64978208</v>
      </c>
      <c r="R1615" s="30" t="str">
        <f ca="1">IFERROR(__xludf.DUMMYFUNCTION("""COMPUTED_VALUE"""),"-66.48239136")</f>
        <v>-66.48239136</v>
      </c>
      <c r="S1615" s="30" t="str">
        <f ca="1">IFERROR(__xludf.DUMMYFUNCTION("""COMPUTED_VALUE"""),"Provincial")</f>
        <v>Provincial</v>
      </c>
      <c r="T1615" s="30" t="str">
        <f ca="1">IFERROR(__xludf.DUMMYFUNCTION("""COMPUTED_VALUE"""),"-")</f>
        <v>-</v>
      </c>
    </row>
    <row r="1616" spans="1:20" ht="15.75" customHeight="1" x14ac:dyDescent="0.25">
      <c r="A1616" s="30" t="str">
        <f ca="1">IFERROR(__xludf.DUMMYFUNCTION("""COMPUTED_VALUE"""),"50780212183049")</f>
        <v>50780212183049</v>
      </c>
      <c r="B1616" s="30" t="str">
        <f ca="1">IFERROR(__xludf.DUMMYFUNCTION("""COMPUTED_VALUE"""),"CENTRO DE SALUD Nº 3")</f>
        <v>CENTRO DE SALUD Nº 3</v>
      </c>
      <c r="C1616" s="30" t="str">
        <f ca="1">IFERROR(__xludf.DUMMYFUNCTION("""COMPUTED_VALUE"""),"Santa Cruz")</f>
        <v>Santa Cruz</v>
      </c>
      <c r="D1616" s="30" t="str">
        <f ca="1">IFERROR(__xludf.DUMMYFUNCTION("""COMPUTED_VALUE"""),"78")</f>
        <v>78</v>
      </c>
      <c r="E1616" s="30" t="str">
        <f ca="1">IFERROR(__xludf.DUMMYFUNCTION("""COMPUTED_VALUE"""),"si")</f>
        <v>si</v>
      </c>
      <c r="F1616" s="29"/>
      <c r="G1616" s="29"/>
      <c r="H1616" s="30" t="str">
        <f ca="1">IFERROR(__xludf.DUMMYFUNCTION("""COMPUTED_VALUE"""),"activo")</f>
        <v>activo</v>
      </c>
      <c r="I1616" s="29"/>
      <c r="J1616" s="29"/>
      <c r="K1616" s="29"/>
      <c r="L1616" s="30" t="str">
        <f ca="1">IFERROR(__xludf.DUMMYFUNCTION("""COMPUTED_VALUE"""),"No")</f>
        <v>No</v>
      </c>
      <c r="M1616" s="30" t="str">
        <f ca="1">IFERROR(__xludf.DUMMYFUNCTION("""COMPUTED_VALUE"""),"78021040000")</f>
        <v>78021040000</v>
      </c>
      <c r="N1616" s="30" t="str">
        <f ca="1">IFERROR(__xludf.DUMMYFUNCTION("""COMPUTED_VALUE"""),"RIO GALLEGOS")</f>
        <v>RIO GALLEGOS</v>
      </c>
      <c r="O1616" s="30" t="str">
        <f ca="1">IFERROR(__xludf.DUMMYFUNCTION("""COMPUTED_VALUE"""),"7821")</f>
        <v>7821</v>
      </c>
      <c r="P1616" s="30" t="str">
        <f ca="1">IFERROR(__xludf.DUMMYFUNCTION("""COMPUTED_VALUE"""),"GÜER AIKE")</f>
        <v>GÜER AIKE</v>
      </c>
      <c r="Q1616" s="30" t="str">
        <f ca="1">IFERROR(__xludf.DUMMYFUNCTION("""COMPUTED_VALUE"""),"-51.633605")</f>
        <v>-51.633605</v>
      </c>
      <c r="R1616" s="30" t="str">
        <f ca="1">IFERROR(__xludf.DUMMYFUNCTION("""COMPUTED_VALUE"""),"-69.19833")</f>
        <v>-69.19833</v>
      </c>
      <c r="S1616" s="30" t="str">
        <f ca="1">IFERROR(__xludf.DUMMYFUNCTION("""COMPUTED_VALUE"""),"Provincial")</f>
        <v>Provincial</v>
      </c>
      <c r="T1616" s="30" t="str">
        <f ca="1">IFERROR(__xludf.DUMMYFUNCTION("""COMPUTED_VALUE"""),"-")</f>
        <v>-</v>
      </c>
    </row>
    <row r="1617" spans="1:20" ht="15.75" customHeight="1" x14ac:dyDescent="0.25">
      <c r="A1617" s="30" t="str">
        <f ca="1">IFERROR(__xludf.DUMMYFUNCTION("""COMPUTED_VALUE"""),"50780212183050")</f>
        <v>50780212183050</v>
      </c>
      <c r="B1617" s="30" t="str">
        <f ca="1">IFERROR(__xludf.DUMMYFUNCTION("""COMPUTED_VALUE"""),"CENTRO DE SALUD Nº 4")</f>
        <v>CENTRO DE SALUD Nº 4</v>
      </c>
      <c r="C1617" s="30" t="str">
        <f ca="1">IFERROR(__xludf.DUMMYFUNCTION("""COMPUTED_VALUE"""),"Santa Cruz")</f>
        <v>Santa Cruz</v>
      </c>
      <c r="D1617" s="30" t="str">
        <f ca="1">IFERROR(__xludf.DUMMYFUNCTION("""COMPUTED_VALUE"""),"78")</f>
        <v>78</v>
      </c>
      <c r="E1617" s="30" t="str">
        <f ca="1">IFERROR(__xludf.DUMMYFUNCTION("""COMPUTED_VALUE"""),"")</f>
        <v/>
      </c>
      <c r="F1617" s="29"/>
      <c r="G1617" s="29"/>
      <c r="H1617" s="30" t="str">
        <f ca="1">IFERROR(__xludf.DUMMYFUNCTION("""COMPUTED_VALUE"""),"activo")</f>
        <v>activo</v>
      </c>
      <c r="I1617" s="29"/>
      <c r="J1617" s="29"/>
      <c r="K1617" s="29"/>
      <c r="L1617" s="30" t="str">
        <f ca="1">IFERROR(__xludf.DUMMYFUNCTION("""COMPUTED_VALUE"""),"No")</f>
        <v>No</v>
      </c>
      <c r="M1617" s="30" t="str">
        <f ca="1">IFERROR(__xludf.DUMMYFUNCTION("""COMPUTED_VALUE"""),"78021040000")</f>
        <v>78021040000</v>
      </c>
      <c r="N1617" s="30" t="str">
        <f ca="1">IFERROR(__xludf.DUMMYFUNCTION("""COMPUTED_VALUE"""),"RIO GALLEGOS")</f>
        <v>RIO GALLEGOS</v>
      </c>
      <c r="O1617" s="30" t="str">
        <f ca="1">IFERROR(__xludf.DUMMYFUNCTION("""COMPUTED_VALUE"""),"7821")</f>
        <v>7821</v>
      </c>
      <c r="P1617" s="30" t="str">
        <f ca="1">IFERROR(__xludf.DUMMYFUNCTION("""COMPUTED_VALUE"""),"GÜER AIKE")</f>
        <v>GÜER AIKE</v>
      </c>
      <c r="Q1617" s="30" t="str">
        <f ca="1">IFERROR(__xludf.DUMMYFUNCTION("""COMPUTED_VALUE"""),"-51.616338")</f>
        <v>-51.616338</v>
      </c>
      <c r="R1617" s="30" t="str">
        <f ca="1">IFERROR(__xludf.DUMMYFUNCTION("""COMPUTED_VALUE"""),"-69.24438")</f>
        <v>-69.24438</v>
      </c>
      <c r="S1617" s="30" t="str">
        <f ca="1">IFERROR(__xludf.DUMMYFUNCTION("""COMPUTED_VALUE"""),"Provincial")</f>
        <v>Provincial</v>
      </c>
      <c r="T1617" s="30" t="str">
        <f ca="1">IFERROR(__xludf.DUMMYFUNCTION("""COMPUTED_VALUE"""),"-")</f>
        <v>-</v>
      </c>
    </row>
    <row r="1618" spans="1:20" ht="15.75" customHeight="1" x14ac:dyDescent="0.25">
      <c r="A1618" s="30" t="str">
        <f ca="1">IFERROR(__xludf.DUMMYFUNCTION("""COMPUTED_VALUE"""),"50780282183034")</f>
        <v>50780282183034</v>
      </c>
      <c r="B1618" s="30" t="str">
        <f ca="1">IFERROR(__xludf.DUMMYFUNCTION("""COMPUTED_VALUE"""),"CENTRO DE SALUD BARRIO CERRO CALAFATE")</f>
        <v>CENTRO DE SALUD BARRIO CERRO CALAFATE</v>
      </c>
      <c r="C1618" s="30" t="str">
        <f ca="1">IFERROR(__xludf.DUMMYFUNCTION("""COMPUTED_VALUE"""),"Santa Cruz")</f>
        <v>Santa Cruz</v>
      </c>
      <c r="D1618" s="30" t="str">
        <f ca="1">IFERROR(__xludf.DUMMYFUNCTION("""COMPUTED_VALUE"""),"78")</f>
        <v>78</v>
      </c>
      <c r="E1618" s="30" t="str">
        <f ca="1">IFERROR(__xludf.DUMMYFUNCTION("""COMPUTED_VALUE"""),"")</f>
        <v/>
      </c>
      <c r="F1618" s="29"/>
      <c r="G1618" s="29"/>
      <c r="H1618" s="30" t="str">
        <f ca="1">IFERROR(__xludf.DUMMYFUNCTION("""COMPUTED_VALUE"""),"activo")</f>
        <v>activo</v>
      </c>
      <c r="I1618" s="29"/>
      <c r="J1618" s="29"/>
      <c r="K1618" s="29"/>
      <c r="L1618" s="30" t="str">
        <f ca="1">IFERROR(__xludf.DUMMYFUNCTION("""COMPUTED_VALUE"""),"No")</f>
        <v>No</v>
      </c>
      <c r="M1618" s="30" t="str">
        <f ca="1">IFERROR(__xludf.DUMMYFUNCTION("""COMPUTED_VALUE"""),"78028010000")</f>
        <v>78028010000</v>
      </c>
      <c r="N1618" s="30" t="str">
        <f ca="1">IFERROR(__xludf.DUMMYFUNCTION("""COMPUTED_VALUE"""),"EL CALAFATE")</f>
        <v>EL CALAFATE</v>
      </c>
      <c r="O1618" s="30" t="str">
        <f ca="1">IFERROR(__xludf.DUMMYFUNCTION("""COMPUTED_VALUE"""),"7828")</f>
        <v>7828</v>
      </c>
      <c r="P1618" s="30" t="str">
        <f ca="1">IFERROR(__xludf.DUMMYFUNCTION("""COMPUTED_VALUE"""),"LAGO ARGENTINO")</f>
        <v>LAGO ARGENTINO</v>
      </c>
      <c r="Q1618" s="30" t="str">
        <f ca="1">IFERROR(__xludf.DUMMYFUNCTION("""COMPUTED_VALUE"""),"-50.35053")</f>
        <v>-50.35053</v>
      </c>
      <c r="R1618" s="30" t="str">
        <f ca="1">IFERROR(__xludf.DUMMYFUNCTION("""COMPUTED_VALUE"""),"-72.259073")</f>
        <v>-72.259073</v>
      </c>
      <c r="S1618" s="30" t="str">
        <f ca="1">IFERROR(__xludf.DUMMYFUNCTION("""COMPUTED_VALUE"""),"Provincial")</f>
        <v>Provincial</v>
      </c>
      <c r="T1618" s="30" t="str">
        <f ca="1">IFERROR(__xludf.DUMMYFUNCTION("""COMPUTED_VALUE"""),"-")</f>
        <v>-</v>
      </c>
    </row>
    <row r="1619" spans="1:20" ht="15.75" customHeight="1" x14ac:dyDescent="0.25">
      <c r="A1619" s="30" t="str">
        <f ca="1">IFERROR(__xludf.DUMMYFUNCTION("""COMPUTED_VALUE"""),"50780212183051")</f>
        <v>50780212183051</v>
      </c>
      <c r="B1619" s="30" t="str">
        <f ca="1">IFERROR(__xludf.DUMMYFUNCTION("""COMPUTED_VALUE"""),"CENTRO DE SALUD Nº 5")</f>
        <v>CENTRO DE SALUD Nº 5</v>
      </c>
      <c r="C1619" s="30" t="str">
        <f ca="1">IFERROR(__xludf.DUMMYFUNCTION("""COMPUTED_VALUE"""),"Santa Cruz")</f>
        <v>Santa Cruz</v>
      </c>
      <c r="D1619" s="30" t="str">
        <f ca="1">IFERROR(__xludf.DUMMYFUNCTION("""COMPUTED_VALUE"""),"78")</f>
        <v>78</v>
      </c>
      <c r="E1619" s="30" t="str">
        <f ca="1">IFERROR(__xludf.DUMMYFUNCTION("""COMPUTED_VALUE"""),"")</f>
        <v/>
      </c>
      <c r="F1619" s="29"/>
      <c r="G1619" s="29"/>
      <c r="H1619" s="30" t="str">
        <f ca="1">IFERROR(__xludf.DUMMYFUNCTION("""COMPUTED_VALUE"""),"activo")</f>
        <v>activo</v>
      </c>
      <c r="I1619" s="29"/>
      <c r="J1619" s="29"/>
      <c r="K1619" s="29"/>
      <c r="L1619" s="30" t="str">
        <f ca="1">IFERROR(__xludf.DUMMYFUNCTION("""COMPUTED_VALUE"""),"No")</f>
        <v>No</v>
      </c>
      <c r="M1619" s="30" t="str">
        <f ca="1">IFERROR(__xludf.DUMMYFUNCTION("""COMPUTED_VALUE"""),"78021040000")</f>
        <v>78021040000</v>
      </c>
      <c r="N1619" s="30" t="str">
        <f ca="1">IFERROR(__xludf.DUMMYFUNCTION("""COMPUTED_VALUE"""),"RIO GALLEGOS")</f>
        <v>RIO GALLEGOS</v>
      </c>
      <c r="O1619" s="30" t="str">
        <f ca="1">IFERROR(__xludf.DUMMYFUNCTION("""COMPUTED_VALUE"""),"7821")</f>
        <v>7821</v>
      </c>
      <c r="P1619" s="30" t="str">
        <f ca="1">IFERROR(__xludf.DUMMYFUNCTION("""COMPUTED_VALUE"""),"GÜER AIKE")</f>
        <v>GÜER AIKE</v>
      </c>
      <c r="Q1619" s="30" t="str">
        <f ca="1">IFERROR(__xludf.DUMMYFUNCTION("""COMPUTED_VALUE"""),"-51.641137")</f>
        <v>-51.641137</v>
      </c>
      <c r="R1619" s="30" t="str">
        <f ca="1">IFERROR(__xludf.DUMMYFUNCTION("""COMPUTED_VALUE"""),"-69.21815")</f>
        <v>-69.21815</v>
      </c>
      <c r="S1619" s="30" t="str">
        <f ca="1">IFERROR(__xludf.DUMMYFUNCTION("""COMPUTED_VALUE"""),"Provincial")</f>
        <v>Provincial</v>
      </c>
      <c r="T1619" s="30" t="str">
        <f ca="1">IFERROR(__xludf.DUMMYFUNCTION("""COMPUTED_VALUE"""),"-")</f>
        <v>-</v>
      </c>
    </row>
    <row r="1620" spans="1:20" ht="15.75" customHeight="1" x14ac:dyDescent="0.25">
      <c r="A1620" s="30" t="str">
        <f ca="1">IFERROR(__xludf.DUMMYFUNCTION("""COMPUTED_VALUE"""),"50780212183184")</f>
        <v>50780212183184</v>
      </c>
      <c r="B1620" s="30" t="str">
        <f ca="1">IFERROR(__xludf.DUMMYFUNCTION("""COMPUTED_VALUE"""),"#N/A")</f>
        <v>#N/A</v>
      </c>
      <c r="C1620" s="30" t="str">
        <f ca="1">IFERROR(__xludf.DUMMYFUNCTION("""COMPUTED_VALUE"""),"#N/A")</f>
        <v>#N/A</v>
      </c>
      <c r="D1620" s="30" t="str">
        <f ca="1">IFERROR(__xludf.DUMMYFUNCTION("""COMPUTED_VALUE"""),"#N/A")</f>
        <v>#N/A</v>
      </c>
      <c r="E1620" s="30" t="str">
        <f ca="1">IFERROR(__xludf.DUMMYFUNCTION("""COMPUTED_VALUE"""),"")</f>
        <v/>
      </c>
      <c r="F1620" s="29"/>
      <c r="G1620" s="29"/>
      <c r="H1620" s="30" t="str">
        <f ca="1">IFERROR(__xludf.DUMMYFUNCTION("""COMPUTED_VALUE"""),"inactivo")</f>
        <v>inactivo</v>
      </c>
      <c r="I1620" s="30" t="str">
        <f ca="1">IFERROR(__xludf.DUMMYFUNCTION("""COMPUTED_VALUE"""),"el efector cambio de REFES. ahora es 50780212183580, segun nota de provincia con fecha 28/10/2021")</f>
        <v>el efector cambio de REFES. ahora es 50780212183580, segun nota de provincia con fecha 28/10/2021</v>
      </c>
      <c r="J1620" s="29"/>
      <c r="K1620" s="29"/>
      <c r="L1620" s="30" t="str">
        <f ca="1">IFERROR(__xludf.DUMMYFUNCTION("""COMPUTED_VALUE"""),"No")</f>
        <v>No</v>
      </c>
      <c r="M1620" s="30" t="str">
        <f ca="1">IFERROR(__xludf.DUMMYFUNCTION("""COMPUTED_VALUE"""),"#N/A")</f>
        <v>#N/A</v>
      </c>
      <c r="N1620" s="30" t="str">
        <f ca="1">IFERROR(__xludf.DUMMYFUNCTION("""COMPUTED_VALUE"""),"#N/A")</f>
        <v>#N/A</v>
      </c>
      <c r="O1620" s="30" t="str">
        <f ca="1">IFERROR(__xludf.DUMMYFUNCTION("""COMPUTED_VALUE"""),"#N/A")</f>
        <v>#N/A</v>
      </c>
      <c r="P1620" s="30" t="str">
        <f ca="1">IFERROR(__xludf.DUMMYFUNCTION("""COMPUTED_VALUE"""),"#N/A")</f>
        <v>#N/A</v>
      </c>
      <c r="Q1620" s="30" t="str">
        <f ca="1">IFERROR(__xludf.DUMMYFUNCTION("""COMPUTED_VALUE"""),"#N/A")</f>
        <v>#N/A</v>
      </c>
      <c r="R1620" s="30" t="str">
        <f ca="1">IFERROR(__xludf.DUMMYFUNCTION("""COMPUTED_VALUE"""),"#N/A")</f>
        <v>#N/A</v>
      </c>
      <c r="S1620" s="30" t="str">
        <f ca="1">IFERROR(__xludf.DUMMYFUNCTION("""COMPUTED_VALUE"""),"#N/A")</f>
        <v>#N/A</v>
      </c>
      <c r="T1620" s="30" t="str">
        <f ca="1">IFERROR(__xludf.DUMMYFUNCTION("""COMPUTED_VALUE"""),"-")</f>
        <v>-</v>
      </c>
    </row>
    <row r="1621" spans="1:20" ht="15.75" customHeight="1" x14ac:dyDescent="0.25">
      <c r="A1621" s="30" t="str">
        <f ca="1">IFERROR(__xludf.DUMMYFUNCTION("""COMPUTED_VALUE"""),"50780212183046")</f>
        <v>50780212183046</v>
      </c>
      <c r="B1621" s="30" t="str">
        <f ca="1">IFERROR(__xludf.DUMMYFUNCTION("""COMPUTED_VALUE"""),"CENTRO DE SALUD Nº 1")</f>
        <v>CENTRO DE SALUD Nº 1</v>
      </c>
      <c r="C1621" s="30" t="str">
        <f ca="1">IFERROR(__xludf.DUMMYFUNCTION("""COMPUTED_VALUE"""),"Santa Cruz")</f>
        <v>Santa Cruz</v>
      </c>
      <c r="D1621" s="30" t="str">
        <f ca="1">IFERROR(__xludf.DUMMYFUNCTION("""COMPUTED_VALUE"""),"78")</f>
        <v>78</v>
      </c>
      <c r="E1621" s="30" t="str">
        <f ca="1">IFERROR(__xludf.DUMMYFUNCTION("""COMPUTED_VALUE"""),"si")</f>
        <v>si</v>
      </c>
      <c r="F1621" s="29"/>
      <c r="G1621" s="29"/>
      <c r="H1621" s="30" t="str">
        <f ca="1">IFERROR(__xludf.DUMMYFUNCTION("""COMPUTED_VALUE"""),"activo")</f>
        <v>activo</v>
      </c>
      <c r="I1621" s="29"/>
      <c r="J1621" s="29"/>
      <c r="K1621" s="29"/>
      <c r="L1621" s="30" t="str">
        <f ca="1">IFERROR(__xludf.DUMMYFUNCTION("""COMPUTED_VALUE"""),"No")</f>
        <v>No</v>
      </c>
      <c r="M1621" s="30" t="str">
        <f ca="1">IFERROR(__xludf.DUMMYFUNCTION("""COMPUTED_VALUE"""),"78021040000")</f>
        <v>78021040000</v>
      </c>
      <c r="N1621" s="30" t="str">
        <f ca="1">IFERROR(__xludf.DUMMYFUNCTION("""COMPUTED_VALUE"""),"RIO GALLEGOS")</f>
        <v>RIO GALLEGOS</v>
      </c>
      <c r="O1621" s="30" t="str">
        <f ca="1">IFERROR(__xludf.DUMMYFUNCTION("""COMPUTED_VALUE"""),"7821")</f>
        <v>7821</v>
      </c>
      <c r="P1621" s="30" t="str">
        <f ca="1">IFERROR(__xludf.DUMMYFUNCTION("""COMPUTED_VALUE"""),"GÜER AIKE")</f>
        <v>GÜER AIKE</v>
      </c>
      <c r="Q1621" s="30" t="str">
        <f ca="1">IFERROR(__xludf.DUMMYFUNCTION("""COMPUTED_VALUE"""),"-51.62019")</f>
        <v>-51.62019</v>
      </c>
      <c r="R1621" s="30" t="str">
        <f ca="1">IFERROR(__xludf.DUMMYFUNCTION("""COMPUTED_VALUE"""),"-69.23334")</f>
        <v>-69.23334</v>
      </c>
      <c r="S1621" s="30" t="str">
        <f ca="1">IFERROR(__xludf.DUMMYFUNCTION("""COMPUTED_VALUE"""),"Provincial")</f>
        <v>Provincial</v>
      </c>
      <c r="T1621" s="30" t="str">
        <f ca="1">IFERROR(__xludf.DUMMYFUNCTION("""COMPUTED_VALUE"""),"-")</f>
        <v>-</v>
      </c>
    </row>
    <row r="1622" spans="1:20" ht="15.75" customHeight="1" x14ac:dyDescent="0.25">
      <c r="A1622" s="30" t="str">
        <f ca="1">IFERROR(__xludf.DUMMYFUNCTION("""COMPUTED_VALUE"""),"50780212183035")</f>
        <v>50780212183035</v>
      </c>
      <c r="B1622" s="30" t="str">
        <f ca="1">IFERROR(__xludf.DUMMYFUNCTION("""COMPUTED_VALUE"""),"CENTRO DE SALUD COMUNITARIO Nº 7 JESUS MISERICORDIOSO")</f>
        <v>CENTRO DE SALUD COMUNITARIO Nº 7 JESUS MISERICORDIOSO</v>
      </c>
      <c r="C1622" s="30" t="str">
        <f ca="1">IFERROR(__xludf.DUMMYFUNCTION("""COMPUTED_VALUE"""),"Santa Cruz")</f>
        <v>Santa Cruz</v>
      </c>
      <c r="D1622" s="30" t="str">
        <f ca="1">IFERROR(__xludf.DUMMYFUNCTION("""COMPUTED_VALUE"""),"78")</f>
        <v>78</v>
      </c>
      <c r="E1622" s="30" t="str">
        <f ca="1">IFERROR(__xludf.DUMMYFUNCTION("""COMPUTED_VALUE"""),"")</f>
        <v/>
      </c>
      <c r="F1622" s="29"/>
      <c r="G1622" s="29"/>
      <c r="H1622" s="30" t="str">
        <f ca="1">IFERROR(__xludf.DUMMYFUNCTION("""COMPUTED_VALUE"""),"activo")</f>
        <v>activo</v>
      </c>
      <c r="I1622" s="29"/>
      <c r="J1622" s="29"/>
      <c r="K1622" s="29"/>
      <c r="L1622" s="30" t="str">
        <f ca="1">IFERROR(__xludf.DUMMYFUNCTION("""COMPUTED_VALUE"""),"No")</f>
        <v>No</v>
      </c>
      <c r="M1622" s="30" t="str">
        <f ca="1">IFERROR(__xludf.DUMMYFUNCTION("""COMPUTED_VALUE"""),"78021040000")</f>
        <v>78021040000</v>
      </c>
      <c r="N1622" s="30" t="str">
        <f ca="1">IFERROR(__xludf.DUMMYFUNCTION("""COMPUTED_VALUE"""),"RIO GALLEGOS")</f>
        <v>RIO GALLEGOS</v>
      </c>
      <c r="O1622" s="30" t="str">
        <f ca="1">IFERROR(__xludf.DUMMYFUNCTION("""COMPUTED_VALUE"""),"7821")</f>
        <v>7821</v>
      </c>
      <c r="P1622" s="30" t="str">
        <f ca="1">IFERROR(__xludf.DUMMYFUNCTION("""COMPUTED_VALUE"""),"GÜER AIKE")</f>
        <v>GÜER AIKE</v>
      </c>
      <c r="Q1622" s="30" t="str">
        <f ca="1">IFERROR(__xludf.DUMMYFUNCTION("""COMPUTED_VALUE"""),"-51.641245")</f>
        <v>-51.641245</v>
      </c>
      <c r="R1622" s="30" t="str">
        <f ca="1">IFERROR(__xludf.DUMMYFUNCTION("""COMPUTED_VALUE"""),"-69.191")</f>
        <v>-69.191</v>
      </c>
      <c r="S1622" s="30" t="str">
        <f ca="1">IFERROR(__xludf.DUMMYFUNCTION("""COMPUTED_VALUE"""),"Provincial")</f>
        <v>Provincial</v>
      </c>
      <c r="T1622" s="30" t="str">
        <f ca="1">IFERROR(__xludf.DUMMYFUNCTION("""COMPUTED_VALUE"""),"-")</f>
        <v>-</v>
      </c>
    </row>
    <row r="1623" spans="1:20" ht="15.75" customHeight="1" x14ac:dyDescent="0.25">
      <c r="A1623" s="30" t="str">
        <f ca="1">IFERROR(__xludf.DUMMYFUNCTION("""COMPUTED_VALUE"""),"50780212183048")</f>
        <v>50780212183048</v>
      </c>
      <c r="B1623" s="30" t="str">
        <f ca="1">IFERROR(__xludf.DUMMYFUNCTION("""COMPUTED_VALUE"""),"CENTRO DE SALUD Nº 2")</f>
        <v>CENTRO DE SALUD Nº 2</v>
      </c>
      <c r="C1623" s="30" t="str">
        <f ca="1">IFERROR(__xludf.DUMMYFUNCTION("""COMPUTED_VALUE"""),"Santa Cruz")</f>
        <v>Santa Cruz</v>
      </c>
      <c r="D1623" s="30" t="str">
        <f ca="1">IFERROR(__xludf.DUMMYFUNCTION("""COMPUTED_VALUE"""),"78")</f>
        <v>78</v>
      </c>
      <c r="E1623" s="30" t="str">
        <f ca="1">IFERROR(__xludf.DUMMYFUNCTION("""COMPUTED_VALUE"""),"")</f>
        <v/>
      </c>
      <c r="F1623" s="29"/>
      <c r="G1623" s="29"/>
      <c r="H1623" s="30" t="str">
        <f ca="1">IFERROR(__xludf.DUMMYFUNCTION("""COMPUTED_VALUE"""),"activo")</f>
        <v>activo</v>
      </c>
      <c r="I1623" s="29"/>
      <c r="J1623" s="29"/>
      <c r="K1623" s="29"/>
      <c r="L1623" s="30" t="str">
        <f ca="1">IFERROR(__xludf.DUMMYFUNCTION("""COMPUTED_VALUE"""),"No")</f>
        <v>No</v>
      </c>
      <c r="M1623" s="30" t="str">
        <f ca="1">IFERROR(__xludf.DUMMYFUNCTION("""COMPUTED_VALUE"""),"78021040000")</f>
        <v>78021040000</v>
      </c>
      <c r="N1623" s="30" t="str">
        <f ca="1">IFERROR(__xludf.DUMMYFUNCTION("""COMPUTED_VALUE"""),"RIO GALLEGOS")</f>
        <v>RIO GALLEGOS</v>
      </c>
      <c r="O1623" s="30" t="str">
        <f ca="1">IFERROR(__xludf.DUMMYFUNCTION("""COMPUTED_VALUE"""),"7821")</f>
        <v>7821</v>
      </c>
      <c r="P1623" s="30" t="str">
        <f ca="1">IFERROR(__xludf.DUMMYFUNCTION("""COMPUTED_VALUE"""),"GÜER AIKE")</f>
        <v>GÜER AIKE</v>
      </c>
      <c r="Q1623" s="30" t="str">
        <f ca="1">IFERROR(__xludf.DUMMYFUNCTION("""COMPUTED_VALUE"""),"-51.62778299")</f>
        <v>-51.62778299</v>
      </c>
      <c r="R1623" s="30" t="str">
        <f ca="1">IFERROR(__xludf.DUMMYFUNCTION("""COMPUTED_VALUE"""),"-69.23679471")</f>
        <v>-69.23679471</v>
      </c>
      <c r="S1623" s="30" t="str">
        <f ca="1">IFERROR(__xludf.DUMMYFUNCTION("""COMPUTED_VALUE"""),"Provincial")</f>
        <v>Provincial</v>
      </c>
      <c r="T1623" s="30" t="str">
        <f ca="1">IFERROR(__xludf.DUMMYFUNCTION("""COMPUTED_VALUE"""),"-")</f>
        <v>-</v>
      </c>
    </row>
    <row r="1624" spans="1:20" ht="15.75" customHeight="1" x14ac:dyDescent="0.25">
      <c r="A1624" s="30" t="str">
        <f ca="1">IFERROR(__xludf.DUMMYFUNCTION("""COMPUTED_VALUE"""),"50780142183033")</f>
        <v>50780142183033</v>
      </c>
      <c r="B1624" s="30" t="str">
        <f ca="1">IFERROR(__xludf.DUMMYFUNCTION("""COMPUTED_VALUE"""),"CENTRO DE SALUD BARRIO MAR DEL PLATA")</f>
        <v>CENTRO DE SALUD BARRIO MAR DEL PLATA</v>
      </c>
      <c r="C1624" s="30" t="str">
        <f ca="1">IFERROR(__xludf.DUMMYFUNCTION("""COMPUTED_VALUE"""),"Santa Cruz")</f>
        <v>Santa Cruz</v>
      </c>
      <c r="D1624" s="30" t="str">
        <f ca="1">IFERROR(__xludf.DUMMYFUNCTION("""COMPUTED_VALUE"""),"78")</f>
        <v>78</v>
      </c>
      <c r="E1624" s="30" t="str">
        <f ca="1">IFERROR(__xludf.DUMMYFUNCTION("""COMPUTED_VALUE"""),"")</f>
        <v/>
      </c>
      <c r="F1624" s="29"/>
      <c r="G1624" s="29"/>
      <c r="H1624" s="30" t="str">
        <f ca="1">IFERROR(__xludf.DUMMYFUNCTION("""COMPUTED_VALUE"""),"inactivo")</f>
        <v>inactivo</v>
      </c>
      <c r="I1624" s="29"/>
      <c r="J1624" s="29"/>
      <c r="K1624" s="29"/>
      <c r="L1624" s="30" t="str">
        <f ca="1">IFERROR(__xludf.DUMMYFUNCTION("""COMPUTED_VALUE"""),"No")</f>
        <v>No</v>
      </c>
      <c r="M1624" s="30" t="str">
        <f ca="1">IFERROR(__xludf.DUMMYFUNCTION("""COMPUTED_VALUE"""),"78014010000")</f>
        <v>78014010000</v>
      </c>
      <c r="N1624" s="30" t="str">
        <f ca="1">IFERROR(__xludf.DUMMYFUNCTION("""COMPUTED_VALUE"""),"CALETA OLIVIA")</f>
        <v>CALETA OLIVIA</v>
      </c>
      <c r="O1624" s="30" t="str">
        <f ca="1">IFERROR(__xludf.DUMMYFUNCTION("""COMPUTED_VALUE"""),"7814")</f>
        <v>7814</v>
      </c>
      <c r="P1624" s="30" t="str">
        <f ca="1">IFERROR(__xludf.DUMMYFUNCTION("""COMPUTED_VALUE"""),"DESEADO")</f>
        <v>DESEADO</v>
      </c>
      <c r="Q1624" s="30" t="str">
        <f ca="1">IFERROR(__xludf.DUMMYFUNCTION("""COMPUTED_VALUE"""),"-46.42778531")</f>
        <v>-46.42778531</v>
      </c>
      <c r="R1624" s="30" t="str">
        <f ca="1">IFERROR(__xludf.DUMMYFUNCTION("""COMPUTED_VALUE"""),"-67.5186722")</f>
        <v>-67.5186722</v>
      </c>
      <c r="S1624" s="30" t="str">
        <f ca="1">IFERROR(__xludf.DUMMYFUNCTION("""COMPUTED_VALUE"""),"Provincial")</f>
        <v>Provincial</v>
      </c>
      <c r="T1624" s="30" t="str">
        <f ca="1">IFERROR(__xludf.DUMMYFUNCTION("""COMPUTED_VALUE"""),"-")</f>
        <v>-</v>
      </c>
    </row>
    <row r="1625" spans="1:20" ht="15.75" customHeight="1" x14ac:dyDescent="0.25">
      <c r="A1625" s="30" t="str">
        <f ca="1">IFERROR(__xludf.DUMMYFUNCTION("""COMPUTED_VALUE"""),"50780212183348")</f>
        <v>50780212183348</v>
      </c>
      <c r="B1625" s="30" t="str">
        <f ca="1">IFERROR(__xludf.DUMMYFUNCTION("""COMPUTED_VALUE"""),"CENTRO INTEGRADOR COMUNITARIO PADRE CARLOS MUGICA")</f>
        <v>CENTRO INTEGRADOR COMUNITARIO PADRE CARLOS MUGICA</v>
      </c>
      <c r="C1625" s="30" t="str">
        <f ca="1">IFERROR(__xludf.DUMMYFUNCTION("""COMPUTED_VALUE"""),"Santa Cruz")</f>
        <v>Santa Cruz</v>
      </c>
      <c r="D1625" s="30" t="str">
        <f ca="1">IFERROR(__xludf.DUMMYFUNCTION("""COMPUTED_VALUE"""),"78")</f>
        <v>78</v>
      </c>
      <c r="E1625" s="30" t="str">
        <f ca="1">IFERROR(__xludf.DUMMYFUNCTION("""COMPUTED_VALUE"""),"")</f>
        <v/>
      </c>
      <c r="F1625" s="29"/>
      <c r="G1625" s="29"/>
      <c r="H1625" s="30" t="str">
        <f ca="1">IFERROR(__xludf.DUMMYFUNCTION("""COMPUTED_VALUE"""),"activo")</f>
        <v>activo</v>
      </c>
      <c r="I1625" s="29"/>
      <c r="J1625" s="29"/>
      <c r="K1625" s="29"/>
      <c r="L1625" s="30" t="str">
        <f ca="1">IFERROR(__xludf.DUMMYFUNCTION("""COMPUTED_VALUE"""),"No")</f>
        <v>No</v>
      </c>
      <c r="M1625" s="30" t="str">
        <f ca="1">IFERROR(__xludf.DUMMYFUNCTION("""COMPUTED_VALUE"""),"78021070000")</f>
        <v>78021070000</v>
      </c>
      <c r="N1625" s="30" t="str">
        <f ca="1">IFERROR(__xludf.DUMMYFUNCTION("""COMPUTED_VALUE"""),"YACIMIENTOS RIO TURBIO")</f>
        <v>YACIMIENTOS RIO TURBIO</v>
      </c>
      <c r="O1625" s="30" t="str">
        <f ca="1">IFERROR(__xludf.DUMMYFUNCTION("""COMPUTED_VALUE"""),"7821")</f>
        <v>7821</v>
      </c>
      <c r="P1625" s="30" t="str">
        <f ca="1">IFERROR(__xludf.DUMMYFUNCTION("""COMPUTED_VALUE"""),"GÜER AIKE")</f>
        <v>GÜER AIKE</v>
      </c>
      <c r="Q1625" s="30" t="str">
        <f ca="1">IFERROR(__xludf.DUMMYFUNCTION("""COMPUTED_VALUE"""),"-51.5300698")</f>
        <v>-51.5300698</v>
      </c>
      <c r="R1625" s="30" t="str">
        <f ca="1">IFERROR(__xludf.DUMMYFUNCTION("""COMPUTED_VALUE"""),"-72.3357")</f>
        <v>-72.3357</v>
      </c>
      <c r="S1625" s="30" t="str">
        <f ca="1">IFERROR(__xludf.DUMMYFUNCTION("""COMPUTED_VALUE"""),"Provincial")</f>
        <v>Provincial</v>
      </c>
      <c r="T1625" s="30" t="str">
        <f ca="1">IFERROR(__xludf.DUMMYFUNCTION("""COMPUTED_VALUE"""),"-")</f>
        <v>-</v>
      </c>
    </row>
    <row r="1626" spans="1:20" ht="15.75" customHeight="1" x14ac:dyDescent="0.25">
      <c r="A1626" s="30" t="str">
        <f ca="1">IFERROR(__xludf.DUMMYFUNCTION("""COMPUTED_VALUE"""),"50780142183042")</f>
        <v>50780142183042</v>
      </c>
      <c r="B1626" s="30" t="str">
        <f ca="1">IFERROR(__xludf.DUMMYFUNCTION("""COMPUTED_VALUE"""),"CENTRO DE SALUD GOBERNADOR GREGORES")</f>
        <v>CENTRO DE SALUD GOBERNADOR GREGORES</v>
      </c>
      <c r="C1626" s="30" t="str">
        <f ca="1">IFERROR(__xludf.DUMMYFUNCTION("""COMPUTED_VALUE"""),"Santa Cruz")</f>
        <v>Santa Cruz</v>
      </c>
      <c r="D1626" s="30" t="str">
        <f ca="1">IFERROR(__xludf.DUMMYFUNCTION("""COMPUTED_VALUE"""),"78")</f>
        <v>78</v>
      </c>
      <c r="E1626" s="30" t="str">
        <f ca="1">IFERROR(__xludf.DUMMYFUNCTION("""COMPUTED_VALUE"""),"")</f>
        <v/>
      </c>
      <c r="F1626" s="29"/>
      <c r="G1626" s="29"/>
      <c r="H1626" s="30" t="str">
        <f ca="1">IFERROR(__xludf.DUMMYFUNCTION("""COMPUTED_VALUE"""),"activo")</f>
        <v>activo</v>
      </c>
      <c r="I1626" s="29"/>
      <c r="J1626" s="29"/>
      <c r="K1626" s="29"/>
      <c r="L1626" s="30" t="str">
        <f ca="1">IFERROR(__xludf.DUMMYFUNCTION("""COMPUTED_VALUE"""),"No")</f>
        <v>No</v>
      </c>
      <c r="M1626" s="30" t="str">
        <f ca="1">IFERROR(__xludf.DUMMYFUNCTION("""COMPUTED_VALUE"""),"78014010000")</f>
        <v>78014010000</v>
      </c>
      <c r="N1626" s="30" t="str">
        <f ca="1">IFERROR(__xludf.DUMMYFUNCTION("""COMPUTED_VALUE"""),"CALETA OLIVIA")</f>
        <v>CALETA OLIVIA</v>
      </c>
      <c r="O1626" s="30" t="str">
        <f ca="1">IFERROR(__xludf.DUMMYFUNCTION("""COMPUTED_VALUE"""),"7814")</f>
        <v>7814</v>
      </c>
      <c r="P1626" s="30" t="str">
        <f ca="1">IFERROR(__xludf.DUMMYFUNCTION("""COMPUTED_VALUE"""),"DESEADO")</f>
        <v>DESEADO</v>
      </c>
      <c r="Q1626" s="30" t="str">
        <f ca="1">IFERROR(__xludf.DUMMYFUNCTION("""COMPUTED_VALUE"""),"-46.454492")</f>
        <v>-46.454492</v>
      </c>
      <c r="R1626" s="30" t="str">
        <f ca="1">IFERROR(__xludf.DUMMYFUNCTION("""COMPUTED_VALUE"""),"-67.52705")</f>
        <v>-67.52705</v>
      </c>
      <c r="S1626" s="30" t="str">
        <f ca="1">IFERROR(__xludf.DUMMYFUNCTION("""COMPUTED_VALUE"""),"Provincial")</f>
        <v>Provincial</v>
      </c>
      <c r="T1626" s="30" t="str">
        <f ca="1">IFERROR(__xludf.DUMMYFUNCTION("""COMPUTED_VALUE"""),"-")</f>
        <v>-</v>
      </c>
    </row>
    <row r="1627" spans="1:20" ht="15.75" customHeight="1" x14ac:dyDescent="0.25">
      <c r="A1627" s="30" t="str">
        <f ca="1">IFERROR(__xludf.DUMMYFUNCTION("""COMPUTED_VALUE"""),"50780142183055")</f>
        <v>50780142183055</v>
      </c>
      <c r="B1627" s="30" t="str">
        <f ca="1">IFERROR(__xludf.DUMMYFUNCTION("""COMPUTED_VALUE"""),"CENTRO DE SALUD NRO 1 RAMON CARRILLO")</f>
        <v>CENTRO DE SALUD NRO 1 RAMON CARRILLO</v>
      </c>
      <c r="C1627" s="30" t="str">
        <f ca="1">IFERROR(__xludf.DUMMYFUNCTION("""COMPUTED_VALUE"""),"Santa Cruz")</f>
        <v>Santa Cruz</v>
      </c>
      <c r="D1627" s="30" t="str">
        <f ca="1">IFERROR(__xludf.DUMMYFUNCTION("""COMPUTED_VALUE"""),"78")</f>
        <v>78</v>
      </c>
      <c r="E1627" s="30" t="str">
        <f ca="1">IFERROR(__xludf.DUMMYFUNCTION("""COMPUTED_VALUE"""),"")</f>
        <v/>
      </c>
      <c r="F1627" s="29"/>
      <c r="G1627" s="29"/>
      <c r="H1627" s="30" t="str">
        <f ca="1">IFERROR(__xludf.DUMMYFUNCTION("""COMPUTED_VALUE"""),"activo")</f>
        <v>activo</v>
      </c>
      <c r="I1627" s="29"/>
      <c r="J1627" s="29"/>
      <c r="K1627" s="29"/>
      <c r="L1627" s="30" t="str">
        <f ca="1">IFERROR(__xludf.DUMMYFUNCTION("""COMPUTED_VALUE"""),"No")</f>
        <v>No</v>
      </c>
      <c r="M1627" s="30" t="str">
        <f ca="1">IFERROR(__xludf.DUMMYFUNCTION("""COMPUTED_VALUE"""),"78014080000")</f>
        <v>78014080000</v>
      </c>
      <c r="N1627" s="30" t="str">
        <f ca="1">IFERROR(__xludf.DUMMYFUNCTION("""COMPUTED_VALUE"""),"PUERTO DESEADO")</f>
        <v>PUERTO DESEADO</v>
      </c>
      <c r="O1627" s="30" t="str">
        <f ca="1">IFERROR(__xludf.DUMMYFUNCTION("""COMPUTED_VALUE"""),"7814")</f>
        <v>7814</v>
      </c>
      <c r="P1627" s="30" t="str">
        <f ca="1">IFERROR(__xludf.DUMMYFUNCTION("""COMPUTED_VALUE"""),"DESEADO")</f>
        <v>DESEADO</v>
      </c>
      <c r="Q1627" s="30" t="str">
        <f ca="1">IFERROR(__xludf.DUMMYFUNCTION("""COMPUTED_VALUE"""),"-47.74659")</f>
        <v>-47.74659</v>
      </c>
      <c r="R1627" s="30" t="str">
        <f ca="1">IFERROR(__xludf.DUMMYFUNCTION("""COMPUTED_VALUE"""),"-65.888173")</f>
        <v>-65.888173</v>
      </c>
      <c r="S1627" s="30" t="str">
        <f ca="1">IFERROR(__xludf.DUMMYFUNCTION("""COMPUTED_VALUE"""),"Provincial")</f>
        <v>Provincial</v>
      </c>
      <c r="T1627" s="30" t="str">
        <f ca="1">IFERROR(__xludf.DUMMYFUNCTION("""COMPUTED_VALUE"""),"-")</f>
        <v>-</v>
      </c>
    </row>
    <row r="1628" spans="1:20" ht="15.75" customHeight="1" x14ac:dyDescent="0.25">
      <c r="A1628" s="30" t="str">
        <f ca="1">IFERROR(__xludf.DUMMYFUNCTION("""COMPUTED_VALUE"""),"50780142183186")</f>
        <v>50780142183186</v>
      </c>
      <c r="B1628" s="30" t="str">
        <f ca="1">IFERROR(__xludf.DUMMYFUNCTION("""COMPUTED_VALUE"""),"ROTARY CALETA OLIVIA")</f>
        <v>ROTARY CALETA OLIVIA</v>
      </c>
      <c r="C1628" s="30" t="str">
        <f ca="1">IFERROR(__xludf.DUMMYFUNCTION("""COMPUTED_VALUE"""),"Santa Cruz")</f>
        <v>Santa Cruz</v>
      </c>
      <c r="D1628" s="30" t="str">
        <f ca="1">IFERROR(__xludf.DUMMYFUNCTION("""COMPUTED_VALUE"""),"78")</f>
        <v>78</v>
      </c>
      <c r="E1628" s="30" t="str">
        <f ca="1">IFERROR(__xludf.DUMMYFUNCTION("""COMPUTED_VALUE"""),"")</f>
        <v/>
      </c>
      <c r="F1628" s="29"/>
      <c r="G1628" s="29"/>
      <c r="H1628" s="30" t="str">
        <f ca="1">IFERROR(__xludf.DUMMYFUNCTION("""COMPUTED_VALUE"""),"activo")</f>
        <v>activo</v>
      </c>
      <c r="I1628" s="29"/>
      <c r="J1628" s="29"/>
      <c r="K1628" s="29"/>
      <c r="L1628" s="30" t="str">
        <f ca="1">IFERROR(__xludf.DUMMYFUNCTION("""COMPUTED_VALUE"""),"No")</f>
        <v>No</v>
      </c>
      <c r="M1628" s="30" t="str">
        <f ca="1">IFERROR(__xludf.DUMMYFUNCTION("""COMPUTED_VALUE"""),"78014010000")</f>
        <v>78014010000</v>
      </c>
      <c r="N1628" s="30" t="str">
        <f ca="1">IFERROR(__xludf.DUMMYFUNCTION("""COMPUTED_VALUE"""),"CALETA OLIVIA")</f>
        <v>CALETA OLIVIA</v>
      </c>
      <c r="O1628" s="30" t="str">
        <f ca="1">IFERROR(__xludf.DUMMYFUNCTION("""COMPUTED_VALUE"""),"7814")</f>
        <v>7814</v>
      </c>
      <c r="P1628" s="30" t="str">
        <f ca="1">IFERROR(__xludf.DUMMYFUNCTION("""COMPUTED_VALUE"""),"DESEADO")</f>
        <v>DESEADO</v>
      </c>
      <c r="Q1628" s="30" t="str">
        <f ca="1">IFERROR(__xludf.DUMMYFUNCTION("""COMPUTED_VALUE"""),"-46.4454892")</f>
        <v>-46.4454892</v>
      </c>
      <c r="R1628" s="30" t="str">
        <f ca="1">IFERROR(__xludf.DUMMYFUNCTION("""COMPUTED_VALUE"""),"-67.5455271")</f>
        <v>-67.5455271</v>
      </c>
      <c r="S1628" s="30" t="str">
        <f ca="1">IFERROR(__xludf.DUMMYFUNCTION("""COMPUTED_VALUE"""),"Provincial")</f>
        <v>Provincial</v>
      </c>
      <c r="T1628" s="30" t="str">
        <f ca="1">IFERROR(__xludf.DUMMYFUNCTION("""COMPUTED_VALUE"""),"-")</f>
        <v>-</v>
      </c>
    </row>
    <row r="1629" spans="1:20" ht="15.75" customHeight="1" x14ac:dyDescent="0.25">
      <c r="A1629" s="30" t="str">
        <f ca="1">IFERROR(__xludf.DUMMYFUNCTION("""COMPUTED_VALUE"""),"50780142183056")</f>
        <v>50780142183056</v>
      </c>
      <c r="B1629" s="30" t="str">
        <f ca="1">IFERROR(__xludf.DUMMYFUNCTION("""COMPUTED_VALUE"""),"CENTRO DE SALUD VIRGEN DEL VALLE")</f>
        <v>CENTRO DE SALUD VIRGEN DEL VALLE</v>
      </c>
      <c r="C1629" s="30" t="str">
        <f ca="1">IFERROR(__xludf.DUMMYFUNCTION("""COMPUTED_VALUE"""),"Santa Cruz")</f>
        <v>Santa Cruz</v>
      </c>
      <c r="D1629" s="30" t="str">
        <f ca="1">IFERROR(__xludf.DUMMYFUNCTION("""COMPUTED_VALUE"""),"78")</f>
        <v>78</v>
      </c>
      <c r="E1629" s="30" t="str">
        <f ca="1">IFERROR(__xludf.DUMMYFUNCTION("""COMPUTED_VALUE"""),"")</f>
        <v/>
      </c>
      <c r="F1629" s="29"/>
      <c r="G1629" s="29"/>
      <c r="H1629" s="30" t="str">
        <f ca="1">IFERROR(__xludf.DUMMYFUNCTION("""COMPUTED_VALUE"""),"activo")</f>
        <v>activo</v>
      </c>
      <c r="I1629" s="29"/>
      <c r="J1629" s="29"/>
      <c r="K1629" s="29"/>
      <c r="L1629" s="30" t="str">
        <f ca="1">IFERROR(__xludf.DUMMYFUNCTION("""COMPUTED_VALUE"""),"No")</f>
        <v>No</v>
      </c>
      <c r="M1629" s="30" t="str">
        <f ca="1">IFERROR(__xludf.DUMMYFUNCTION("""COMPUTED_VALUE"""),"78014010000")</f>
        <v>78014010000</v>
      </c>
      <c r="N1629" s="30" t="str">
        <f ca="1">IFERROR(__xludf.DUMMYFUNCTION("""COMPUTED_VALUE"""),"CALETA OLIVIA")</f>
        <v>CALETA OLIVIA</v>
      </c>
      <c r="O1629" s="30" t="str">
        <f ca="1">IFERROR(__xludf.DUMMYFUNCTION("""COMPUTED_VALUE"""),"7814")</f>
        <v>7814</v>
      </c>
      <c r="P1629" s="30" t="str">
        <f ca="1">IFERROR(__xludf.DUMMYFUNCTION("""COMPUTED_VALUE"""),"DESEADO")</f>
        <v>DESEADO</v>
      </c>
      <c r="Q1629" s="30" t="str">
        <f ca="1">IFERROR(__xludf.DUMMYFUNCTION("""COMPUTED_VALUE"""),"-46.449222")</f>
        <v>-46.449222</v>
      </c>
      <c r="R1629" s="30" t="str">
        <f ca="1">IFERROR(__xludf.DUMMYFUNCTION("""COMPUTED_VALUE"""),"-67.5109")</f>
        <v>-67.5109</v>
      </c>
      <c r="S1629" s="30" t="str">
        <f ca="1">IFERROR(__xludf.DUMMYFUNCTION("""COMPUTED_VALUE"""),"Provincial")</f>
        <v>Provincial</v>
      </c>
      <c r="T1629" s="30" t="str">
        <f ca="1">IFERROR(__xludf.DUMMYFUNCTION("""COMPUTED_VALUE"""),"-")</f>
        <v>-</v>
      </c>
    </row>
    <row r="1630" spans="1:20" ht="15.75" customHeight="1" x14ac:dyDescent="0.25">
      <c r="A1630" s="30" t="str">
        <f ca="1">IFERROR(__xludf.DUMMYFUNCTION("""COMPUTED_VALUE"""),"50780142183047")</f>
        <v>50780142183047</v>
      </c>
      <c r="B1630" s="30" t="str">
        <f ca="1">IFERROR(__xludf.DUMMYFUNCTION("""COMPUTED_VALUE"""),"CENTRO DE SALUD Nº 2")</f>
        <v>CENTRO DE SALUD Nº 2</v>
      </c>
      <c r="C1630" s="30" t="str">
        <f ca="1">IFERROR(__xludf.DUMMYFUNCTION("""COMPUTED_VALUE"""),"Santa Cruz")</f>
        <v>Santa Cruz</v>
      </c>
      <c r="D1630" s="30" t="str">
        <f ca="1">IFERROR(__xludf.DUMMYFUNCTION("""COMPUTED_VALUE"""),"78")</f>
        <v>78</v>
      </c>
      <c r="E1630" s="30" t="str">
        <f ca="1">IFERROR(__xludf.DUMMYFUNCTION("""COMPUTED_VALUE"""),"")</f>
        <v/>
      </c>
      <c r="F1630" s="29"/>
      <c r="G1630" s="29"/>
      <c r="H1630" s="30" t="str">
        <f ca="1">IFERROR(__xludf.DUMMYFUNCTION("""COMPUTED_VALUE"""),"activo")</f>
        <v>activo</v>
      </c>
      <c r="I1630" s="29"/>
      <c r="J1630" s="29"/>
      <c r="K1630" s="29"/>
      <c r="L1630" s="30" t="str">
        <f ca="1">IFERROR(__xludf.DUMMYFUNCTION("""COMPUTED_VALUE"""),"No")</f>
        <v>No</v>
      </c>
      <c r="M1630" s="30" t="str">
        <f ca="1">IFERROR(__xludf.DUMMYFUNCTION("""COMPUTED_VALUE"""),"78014080000")</f>
        <v>78014080000</v>
      </c>
      <c r="N1630" s="30" t="str">
        <f ca="1">IFERROR(__xludf.DUMMYFUNCTION("""COMPUTED_VALUE"""),"PUERTO DESEADO")</f>
        <v>PUERTO DESEADO</v>
      </c>
      <c r="O1630" s="30" t="str">
        <f ca="1">IFERROR(__xludf.DUMMYFUNCTION("""COMPUTED_VALUE"""),"7814")</f>
        <v>7814</v>
      </c>
      <c r="P1630" s="30" t="str">
        <f ca="1">IFERROR(__xludf.DUMMYFUNCTION("""COMPUTED_VALUE"""),"DESEADO")</f>
        <v>DESEADO</v>
      </c>
      <c r="Q1630" s="30" t="str">
        <f ca="1">IFERROR(__xludf.DUMMYFUNCTION("""COMPUTED_VALUE"""),"-47.739785")</f>
        <v>-47.739785</v>
      </c>
      <c r="R1630" s="30" t="str">
        <f ca="1">IFERROR(__xludf.DUMMYFUNCTION("""COMPUTED_VALUE"""),"-65.89681")</f>
        <v>-65.89681</v>
      </c>
      <c r="S1630" s="30" t="str">
        <f ca="1">IFERROR(__xludf.DUMMYFUNCTION("""COMPUTED_VALUE"""),"Provincial")</f>
        <v>Provincial</v>
      </c>
      <c r="T1630" s="30" t="str">
        <f ca="1">IFERROR(__xludf.DUMMYFUNCTION("""COMPUTED_VALUE"""),"-")</f>
        <v>-</v>
      </c>
    </row>
    <row r="1631" spans="1:20" ht="15.75" customHeight="1" x14ac:dyDescent="0.25">
      <c r="A1631" s="30" t="str">
        <f ca="1">IFERROR(__xludf.DUMMYFUNCTION("""COMPUTED_VALUE"""),"50780142183059")</f>
        <v>50780142183059</v>
      </c>
      <c r="B1631" s="30" t="str">
        <f ca="1">IFERROR(__xludf.DUMMYFUNCTION("""COMPUTED_VALUE"""),"CENTRO DE SALUD 400 VIVIENDAS")</f>
        <v>CENTRO DE SALUD 400 VIVIENDAS</v>
      </c>
      <c r="C1631" s="30" t="str">
        <f ca="1">IFERROR(__xludf.DUMMYFUNCTION("""COMPUTED_VALUE"""),"Santa Cruz")</f>
        <v>Santa Cruz</v>
      </c>
      <c r="D1631" s="30" t="str">
        <f ca="1">IFERROR(__xludf.DUMMYFUNCTION("""COMPUTED_VALUE"""),"78")</f>
        <v>78</v>
      </c>
      <c r="E1631" s="30" t="str">
        <f ca="1">IFERROR(__xludf.DUMMYFUNCTION("""COMPUTED_VALUE"""),"")</f>
        <v/>
      </c>
      <c r="F1631" s="30" t="str">
        <f ca="1">IFERROR(__xludf.DUMMYFUNCTION("""COMPUTED_VALUE"""),"10780212183013")</f>
        <v>10780212183013</v>
      </c>
      <c r="G1631" s="29"/>
      <c r="H1631" s="30" t="str">
        <f ca="1">IFERROR(__xludf.DUMMYFUNCTION("""COMPUTED_VALUE"""),"inactivo")</f>
        <v>inactivo</v>
      </c>
      <c r="I1631" s="29"/>
      <c r="J1631" s="29"/>
      <c r="K1631" s="29"/>
      <c r="L1631" s="30" t="str">
        <f ca="1">IFERROR(__xludf.DUMMYFUNCTION("""COMPUTED_VALUE"""),"No")</f>
        <v>No</v>
      </c>
      <c r="M1631" s="30" t="str">
        <f ca="1">IFERROR(__xludf.DUMMYFUNCTION("""COMPUTED_VALUE"""),"78014070000")</f>
        <v>78014070000</v>
      </c>
      <c r="N1631" s="30" t="str">
        <f ca="1">IFERROR(__xludf.DUMMYFUNCTION("""COMPUTED_VALUE"""),"PICO TRUNCADO")</f>
        <v>PICO TRUNCADO</v>
      </c>
      <c r="O1631" s="30" t="str">
        <f ca="1">IFERROR(__xludf.DUMMYFUNCTION("""COMPUTED_VALUE"""),"7814")</f>
        <v>7814</v>
      </c>
      <c r="P1631" s="30" t="str">
        <f ca="1">IFERROR(__xludf.DUMMYFUNCTION("""COMPUTED_VALUE"""),"DESEADO")</f>
        <v>DESEADO</v>
      </c>
      <c r="Q1631" s="30" t="str">
        <f ca="1">IFERROR(__xludf.DUMMYFUNCTION("""COMPUTED_VALUE"""),"-46.807101")</f>
        <v>-46.807101</v>
      </c>
      <c r="R1631" s="30" t="str">
        <f ca="1">IFERROR(__xludf.DUMMYFUNCTION("""COMPUTED_VALUE"""),"-67.95758")</f>
        <v>-67.95758</v>
      </c>
      <c r="S1631" s="30" t="str">
        <f ca="1">IFERROR(__xludf.DUMMYFUNCTION("""COMPUTED_VALUE"""),"Provincial")</f>
        <v>Provincial</v>
      </c>
      <c r="T1631" s="30" t="str">
        <f ca="1">IFERROR(__xludf.DUMMYFUNCTION("""COMPUTED_VALUE"""),"-")</f>
        <v>-</v>
      </c>
    </row>
    <row r="1632" spans="1:20" ht="15.75" customHeight="1" x14ac:dyDescent="0.25">
      <c r="A1632" s="30" t="str">
        <f ca="1">IFERROR(__xludf.DUMMYFUNCTION("""COMPUTED_VALUE"""),"10780212183013")</f>
        <v>10780212183013</v>
      </c>
      <c r="B1632" s="30" t="str">
        <f ca="1">IFERROR(__xludf.DUMMYFUNCTION("""COMPUTED_VALUE"""),"HOSPITAL REGIONAL RIO GALLEGOS")</f>
        <v>HOSPITAL REGIONAL RIO GALLEGOS</v>
      </c>
      <c r="C1632" s="30" t="str">
        <f ca="1">IFERROR(__xludf.DUMMYFUNCTION("""COMPUTED_VALUE"""),"Santa Cruz")</f>
        <v>Santa Cruz</v>
      </c>
      <c r="D1632" s="30" t="str">
        <f ca="1">IFERROR(__xludf.DUMMYFUNCTION("""COMPUTED_VALUE"""),"78")</f>
        <v>78</v>
      </c>
      <c r="E1632" s="30" t="str">
        <f ca="1">IFERROR(__xludf.DUMMYFUNCTION("""COMPUTED_VALUE"""),"si")</f>
        <v>si</v>
      </c>
      <c r="F1632" s="29"/>
      <c r="G1632" s="30" t="str">
        <f ca="1">IFERROR(__xludf.DUMMYFUNCTION("""COMPUTED_VALUE"""),"50780142183059")</f>
        <v>50780142183059</v>
      </c>
      <c r="H1632" s="30" t="str">
        <f ca="1">IFERROR(__xludf.DUMMYFUNCTION("""COMPUTED_VALUE"""),"inactivo")</f>
        <v>inactivo</v>
      </c>
      <c r="I1632" s="30" t="str">
        <f ca="1">IFERROR(__xludf.DUMMYFUNCTION("""COMPUTED_VALUE"""),"circular 2: se pasan de los 15")</f>
        <v>circular 2: se pasan de los 15</v>
      </c>
      <c r="J1632" s="29"/>
      <c r="K1632" s="29"/>
      <c r="L1632" s="30" t="str">
        <f ca="1">IFERROR(__xludf.DUMMYFUNCTION("""COMPUTED_VALUE"""),"No")</f>
        <v>No</v>
      </c>
      <c r="M1632" s="30" t="str">
        <f ca="1">IFERROR(__xludf.DUMMYFUNCTION("""COMPUTED_VALUE"""),"78021040000")</f>
        <v>78021040000</v>
      </c>
      <c r="N1632" s="30" t="str">
        <f ca="1">IFERROR(__xludf.DUMMYFUNCTION("""COMPUTED_VALUE"""),"RIO GALLEGOS")</f>
        <v>RIO GALLEGOS</v>
      </c>
      <c r="O1632" s="30" t="str">
        <f ca="1">IFERROR(__xludf.DUMMYFUNCTION("""COMPUTED_VALUE"""),"7821")</f>
        <v>7821</v>
      </c>
      <c r="P1632" s="30" t="str">
        <f ca="1">IFERROR(__xludf.DUMMYFUNCTION("""COMPUTED_VALUE"""),"GÜER AIKE")</f>
        <v>GÜER AIKE</v>
      </c>
      <c r="Q1632" s="30" t="str">
        <f ca="1">IFERROR(__xludf.DUMMYFUNCTION("""COMPUTED_VALUE"""),"-51.62843401")</f>
        <v>-51.62843401</v>
      </c>
      <c r="R1632" s="30" t="str">
        <f ca="1">IFERROR(__xludf.DUMMYFUNCTION("""COMPUTED_VALUE"""),"-69.21957493")</f>
        <v>-69.21957493</v>
      </c>
      <c r="S1632" s="30" t="str">
        <f ca="1">IFERROR(__xludf.DUMMYFUNCTION("""COMPUTED_VALUE"""),"Provincial")</f>
        <v>Provincial</v>
      </c>
      <c r="T1632" s="30" t="str">
        <f ca="1">IFERROR(__xludf.DUMMYFUNCTION("""COMPUTED_VALUE"""),"-")</f>
        <v>-</v>
      </c>
    </row>
    <row r="1633" spans="1:20" ht="15.75" customHeight="1" x14ac:dyDescent="0.25">
      <c r="A1633" s="30" t="str">
        <f ca="1">IFERROR(__xludf.DUMMYFUNCTION("""COMPUTED_VALUE"""),"50780142183423")</f>
        <v>50780142183423</v>
      </c>
      <c r="B1633" s="30" t="str">
        <f ca="1">IFERROR(__xludf.DUMMYFUNCTION("""COMPUTED_VALUE"""),"CENTRO DE ATENCION PRIMARIA DE SALUD Nº 3")</f>
        <v>CENTRO DE ATENCION PRIMARIA DE SALUD Nº 3</v>
      </c>
      <c r="C1633" s="30" t="str">
        <f ca="1">IFERROR(__xludf.DUMMYFUNCTION("""COMPUTED_VALUE"""),"Santa Cruz")</f>
        <v>Santa Cruz</v>
      </c>
      <c r="D1633" s="30" t="str">
        <f ca="1">IFERROR(__xludf.DUMMYFUNCTION("""COMPUTED_VALUE"""),"78")</f>
        <v>78</v>
      </c>
      <c r="E1633" s="30" t="str">
        <f ca="1">IFERROR(__xludf.DUMMYFUNCTION("""COMPUTED_VALUE"""),"")</f>
        <v/>
      </c>
      <c r="F1633" s="30" t="str">
        <f ca="1">IFERROR(__xludf.DUMMYFUNCTION("""COMPUTED_VALUE"""),"10780142183009")</f>
        <v>10780142183009</v>
      </c>
      <c r="G1633" s="29"/>
      <c r="H1633" s="30" t="str">
        <f ca="1">IFERROR(__xludf.DUMMYFUNCTION("""COMPUTED_VALUE"""),"activo")</f>
        <v>activo</v>
      </c>
      <c r="I1633" s="29"/>
      <c r="J1633" s="29"/>
      <c r="K1633" s="29"/>
      <c r="L1633" s="30" t="str">
        <f ca="1">IFERROR(__xludf.DUMMYFUNCTION("""COMPUTED_VALUE"""),"No")</f>
        <v>No</v>
      </c>
      <c r="M1633" s="30" t="str">
        <f ca="1">IFERROR(__xludf.DUMMYFUNCTION("""COMPUTED_VALUE"""),"78014080000")</f>
        <v>78014080000</v>
      </c>
      <c r="N1633" s="30" t="str">
        <f ca="1">IFERROR(__xludf.DUMMYFUNCTION("""COMPUTED_VALUE"""),"PUERTO DESEADO")</f>
        <v>PUERTO DESEADO</v>
      </c>
      <c r="O1633" s="30" t="str">
        <f ca="1">IFERROR(__xludf.DUMMYFUNCTION("""COMPUTED_VALUE"""),"7814")</f>
        <v>7814</v>
      </c>
      <c r="P1633" s="30" t="str">
        <f ca="1">IFERROR(__xludf.DUMMYFUNCTION("""COMPUTED_VALUE"""),"DESEADO")</f>
        <v>DESEADO</v>
      </c>
      <c r="Q1633" s="30" t="str">
        <f ca="1">IFERROR(__xludf.DUMMYFUNCTION("""COMPUTED_VALUE"""),"-47.744116")</f>
        <v>-47.744116</v>
      </c>
      <c r="R1633" s="30" t="str">
        <f ca="1">IFERROR(__xludf.DUMMYFUNCTION("""COMPUTED_VALUE"""),"-65.8816")</f>
        <v>-65.8816</v>
      </c>
      <c r="S1633" s="30" t="str">
        <f ca="1">IFERROR(__xludf.DUMMYFUNCTION("""COMPUTED_VALUE"""),"Provincial")</f>
        <v>Provincial</v>
      </c>
      <c r="T1633" s="30" t="str">
        <f ca="1">IFERROR(__xludf.DUMMYFUNCTION("""COMPUTED_VALUE"""),"-")</f>
        <v>-</v>
      </c>
    </row>
    <row r="1634" spans="1:20" ht="15.75" customHeight="1" x14ac:dyDescent="0.25">
      <c r="A1634" s="30" t="str">
        <f ca="1">IFERROR(__xludf.DUMMYFUNCTION("""COMPUTED_VALUE"""),"10780142183009")</f>
        <v>10780142183009</v>
      </c>
      <c r="B1634" s="30" t="str">
        <f ca="1">IFERROR(__xludf.DUMMYFUNCTION("""COMPUTED_VALUE"""),"HOSPITAL DISTRITAL DR. BENIGNO FERNANDEZ")</f>
        <v>HOSPITAL DISTRITAL DR. BENIGNO FERNANDEZ</v>
      </c>
      <c r="C1634" s="30" t="str">
        <f ca="1">IFERROR(__xludf.DUMMYFUNCTION("""COMPUTED_VALUE"""),"Santa Cruz")</f>
        <v>Santa Cruz</v>
      </c>
      <c r="D1634" s="30" t="str">
        <f ca="1">IFERROR(__xludf.DUMMYFUNCTION("""COMPUTED_VALUE"""),"78")</f>
        <v>78</v>
      </c>
      <c r="E1634" s="30" t="str">
        <f ca="1">IFERROR(__xludf.DUMMYFUNCTION("""COMPUTED_VALUE"""),"si")</f>
        <v>si</v>
      </c>
      <c r="F1634" s="29"/>
      <c r="G1634" s="30" t="str">
        <f ca="1">IFERROR(__xludf.DUMMYFUNCTION("""COMPUTED_VALUE"""),"50780142183423")</f>
        <v>50780142183423</v>
      </c>
      <c r="H1634" s="30" t="str">
        <f ca="1">IFERROR(__xludf.DUMMYFUNCTION("""COMPUTED_VALUE"""),"inactivo")</f>
        <v>inactivo</v>
      </c>
      <c r="I1634" s="30" t="str">
        <f ca="1">IFERROR(__xludf.DUMMYFUNCTION("""COMPUTED_VALUE"""),"circular 2: se pasan de los 15; no coincide nombre con siisa")</f>
        <v>circular 2: se pasan de los 15; no coincide nombre con siisa</v>
      </c>
      <c r="J1634" s="29"/>
      <c r="K1634" s="29"/>
      <c r="L1634" s="30" t="str">
        <f ca="1">IFERROR(__xludf.DUMMYFUNCTION("""COMPUTED_VALUE"""),"No")</f>
        <v>No</v>
      </c>
      <c r="M1634" s="30" t="str">
        <f ca="1">IFERROR(__xludf.DUMMYFUNCTION("""COMPUTED_VALUE"""),"78014060000")</f>
        <v>78014060000</v>
      </c>
      <c r="N1634" s="30" t="str">
        <f ca="1">IFERROR(__xludf.DUMMYFUNCTION("""COMPUTED_VALUE"""),"LAS HERAS")</f>
        <v>LAS HERAS</v>
      </c>
      <c r="O1634" s="30" t="str">
        <f ca="1">IFERROR(__xludf.DUMMYFUNCTION("""COMPUTED_VALUE"""),"7814")</f>
        <v>7814</v>
      </c>
      <c r="P1634" s="30" t="str">
        <f ca="1">IFERROR(__xludf.DUMMYFUNCTION("""COMPUTED_VALUE"""),"DESEADO")</f>
        <v>DESEADO</v>
      </c>
      <c r="Q1634" s="30" t="str">
        <f ca="1">IFERROR(__xludf.DUMMYFUNCTION("""COMPUTED_VALUE"""),"-46.549026")</f>
        <v>-46.549026</v>
      </c>
      <c r="R1634" s="30" t="str">
        <f ca="1">IFERROR(__xludf.DUMMYFUNCTION("""COMPUTED_VALUE"""),"-68.92251")</f>
        <v>-68.92251</v>
      </c>
      <c r="S1634" s="30" t="str">
        <f ca="1">IFERROR(__xludf.DUMMYFUNCTION("""COMPUTED_VALUE"""),"Provincial")</f>
        <v>Provincial</v>
      </c>
      <c r="T1634" s="30" t="str">
        <f ca="1">IFERROR(__xludf.DUMMYFUNCTION("""COMPUTED_VALUE"""),"-")</f>
        <v>-</v>
      </c>
    </row>
    <row r="1635" spans="1:20" ht="15.75" customHeight="1" x14ac:dyDescent="0.25">
      <c r="A1635" s="30" t="str">
        <f ca="1">IFERROR(__xludf.DUMMYFUNCTION("""COMPUTED_VALUE"""),"50820842284733")</f>
        <v>50820842284733</v>
      </c>
      <c r="B1635" s="30" t="str">
        <f ca="1">IFERROR(__xludf.DUMMYFUNCTION("""COMPUTED_VALUE"""),"CENTRO DE SALUD ISABEL DURAN DE MALEANDI")</f>
        <v>CENTRO DE SALUD ISABEL DURAN DE MALEANDI</v>
      </c>
      <c r="C1635" s="30" t="str">
        <f ca="1">IFERROR(__xludf.DUMMYFUNCTION("""COMPUTED_VALUE"""),"Santa Fe")</f>
        <v>Santa Fe</v>
      </c>
      <c r="D1635" s="30" t="str">
        <f ca="1">IFERROR(__xludf.DUMMYFUNCTION("""COMPUTED_VALUE"""),"82")</f>
        <v>82</v>
      </c>
      <c r="E1635" s="30" t="str">
        <f ca="1">IFERROR(__xludf.DUMMYFUNCTION("""COMPUTED_VALUE"""),"")</f>
        <v/>
      </c>
      <c r="F1635" s="29"/>
      <c r="G1635" s="29"/>
      <c r="H1635" s="30" t="str">
        <f ca="1">IFERROR(__xludf.DUMMYFUNCTION("""COMPUTED_VALUE"""),"activo")</f>
        <v>activo</v>
      </c>
      <c r="I1635" s="29"/>
      <c r="J1635" s="29"/>
      <c r="K1635" s="29"/>
      <c r="L1635" s="30" t="str">
        <f ca="1">IFERROR(__xludf.DUMMYFUNCTION("""COMPUTED_VALUE"""),"No")</f>
        <v>No</v>
      </c>
      <c r="M1635" s="30" t="str">
        <f ca="1">IFERROR(__xludf.DUMMYFUNCTION("""COMPUTED_VALUE"""),"82084040000")</f>
        <v>82084040000</v>
      </c>
      <c r="N1635" s="30" t="str">
        <f ca="1">IFERROR(__xludf.DUMMYFUNCTION("""COMPUTED_VALUE"""),"ALVEAR")</f>
        <v>ALVEAR</v>
      </c>
      <c r="O1635" s="30" t="str">
        <f ca="1">IFERROR(__xludf.DUMMYFUNCTION("""COMPUTED_VALUE"""),"8284")</f>
        <v>8284</v>
      </c>
      <c r="P1635" s="30" t="str">
        <f ca="1">IFERROR(__xludf.DUMMYFUNCTION("""COMPUTED_VALUE"""),"ROSARIO")</f>
        <v>ROSARIO</v>
      </c>
      <c r="Q1635" s="30" t="str">
        <f ca="1">IFERROR(__xludf.DUMMYFUNCTION("""COMPUTED_VALUE"""),"-32.9548474")</f>
        <v>-32.9548474</v>
      </c>
      <c r="R1635" s="30" t="str">
        <f ca="1">IFERROR(__xludf.DUMMYFUNCTION("""COMPUTED_VALUE"""),"-60.6541307")</f>
        <v>-60.6541307</v>
      </c>
      <c r="S1635" s="30" t="str">
        <f ca="1">IFERROR(__xludf.DUMMYFUNCTION("""COMPUTED_VALUE"""),"Municipal")</f>
        <v>Municipal</v>
      </c>
      <c r="T1635" s="29"/>
    </row>
    <row r="1636" spans="1:20" ht="15.75" customHeight="1" x14ac:dyDescent="0.25">
      <c r="A1636" s="30" t="str">
        <f ca="1">IFERROR(__xludf.DUMMYFUNCTION("""COMPUTED_VALUE"""),"50820492184503")</f>
        <v>50820492184503</v>
      </c>
      <c r="B1636" s="30" t="str">
        <f ca="1">IFERROR(__xludf.DUMMYFUNCTION("""COMPUTED_VALUE"""),"CENTRO DE SALUD AVELLANEDA")</f>
        <v>CENTRO DE SALUD AVELLANEDA</v>
      </c>
      <c r="C1636" s="30" t="str">
        <f ca="1">IFERROR(__xludf.DUMMYFUNCTION("""COMPUTED_VALUE"""),"Santa Fe")</f>
        <v>Santa Fe</v>
      </c>
      <c r="D1636" s="30" t="str">
        <f ca="1">IFERROR(__xludf.DUMMYFUNCTION("""COMPUTED_VALUE"""),"82")</f>
        <v>82</v>
      </c>
      <c r="E1636" s="30" t="str">
        <f ca="1">IFERROR(__xludf.DUMMYFUNCTION("""COMPUTED_VALUE"""),"")</f>
        <v/>
      </c>
      <c r="F1636" s="29"/>
      <c r="G1636" s="29"/>
      <c r="H1636" s="30" t="str">
        <f ca="1">IFERROR(__xludf.DUMMYFUNCTION("""COMPUTED_VALUE"""),"activo")</f>
        <v>activo</v>
      </c>
      <c r="I1636" s="29"/>
      <c r="J1636" s="29"/>
      <c r="K1636" s="29"/>
      <c r="L1636" s="30" t="str">
        <f ca="1">IFERROR(__xludf.DUMMYFUNCTION("""COMPUTED_VALUE"""),"No")</f>
        <v>No</v>
      </c>
      <c r="M1636" s="30" t="str">
        <f ca="1">IFERROR(__xludf.DUMMYFUNCTION("""COMPUTED_VALUE"""),"82049020000")</f>
        <v>82049020000</v>
      </c>
      <c r="N1636" s="30" t="str">
        <f ca="1">IFERROR(__xludf.DUMMYFUNCTION("""COMPUTED_VALUE"""),"AVELLANEDA")</f>
        <v>AVELLANEDA</v>
      </c>
      <c r="O1636" s="30" t="str">
        <f ca="1">IFERROR(__xludf.DUMMYFUNCTION("""COMPUTED_VALUE"""),"8249")</f>
        <v>8249</v>
      </c>
      <c r="P1636" s="30" t="str">
        <f ca="1">IFERROR(__xludf.DUMMYFUNCTION("""COMPUTED_VALUE"""),"GENERAL OBLIGADO")</f>
        <v>GENERAL OBLIGADO</v>
      </c>
      <c r="Q1636" s="30" t="str">
        <f ca="1">IFERROR(__xludf.DUMMYFUNCTION("""COMPUTED_VALUE"""),"-29.1160458")</f>
        <v>-29.1160458</v>
      </c>
      <c r="R1636" s="30" t="str">
        <f ca="1">IFERROR(__xludf.DUMMYFUNCTION("""COMPUTED_VALUE"""),"-59.6558728")</f>
        <v>-59.6558728</v>
      </c>
      <c r="S1636" s="30" t="str">
        <f ca="1">IFERROR(__xludf.DUMMYFUNCTION("""COMPUTED_VALUE"""),"Provincial")</f>
        <v>Provincial</v>
      </c>
      <c r="T1636" s="30" t="str">
        <f ca="1">IFERROR(__xludf.DUMMYFUNCTION("""COMPUTED_VALUE"""),"-")</f>
        <v>-</v>
      </c>
    </row>
    <row r="1637" spans="1:20" ht="15.75" customHeight="1" x14ac:dyDescent="0.25">
      <c r="A1637" s="30" t="str">
        <f ca="1">IFERROR(__xludf.DUMMYFUNCTION("""COMPUTED_VALUE"""),"50820492184511")</f>
        <v>50820492184511</v>
      </c>
      <c r="B1637" s="30" t="str">
        <f ca="1">IFERROR(__xludf.DUMMYFUNCTION("""COMPUTED_VALUE"""),"CENTRO DE SALUD BARRIO BELGRANO - AVELLANEDA")</f>
        <v>CENTRO DE SALUD BARRIO BELGRANO - AVELLANEDA</v>
      </c>
      <c r="C1637" s="30" t="str">
        <f ca="1">IFERROR(__xludf.DUMMYFUNCTION("""COMPUTED_VALUE"""),"Santa Fe")</f>
        <v>Santa Fe</v>
      </c>
      <c r="D1637" s="30" t="str">
        <f ca="1">IFERROR(__xludf.DUMMYFUNCTION("""COMPUTED_VALUE"""),"82")</f>
        <v>82</v>
      </c>
      <c r="E1637" s="30" t="str">
        <f ca="1">IFERROR(__xludf.DUMMYFUNCTION("""COMPUTED_VALUE"""),"")</f>
        <v/>
      </c>
      <c r="F1637" s="29"/>
      <c r="G1637" s="29"/>
      <c r="H1637" s="30" t="str">
        <f ca="1">IFERROR(__xludf.DUMMYFUNCTION("""COMPUTED_VALUE"""),"activo")</f>
        <v>activo</v>
      </c>
      <c r="I1637" s="29"/>
      <c r="J1637" s="29"/>
      <c r="K1637" s="29"/>
      <c r="L1637" s="30" t="str">
        <f ca="1">IFERROR(__xludf.DUMMYFUNCTION("""COMPUTED_VALUE"""),"No")</f>
        <v>No</v>
      </c>
      <c r="M1637" s="30" t="str">
        <f ca="1">IFERROR(__xludf.DUMMYFUNCTION("""COMPUTED_VALUE"""),"82049020000")</f>
        <v>82049020000</v>
      </c>
      <c r="N1637" s="30" t="str">
        <f ca="1">IFERROR(__xludf.DUMMYFUNCTION("""COMPUTED_VALUE"""),"AVELLANEDA")</f>
        <v>AVELLANEDA</v>
      </c>
      <c r="O1637" s="30" t="str">
        <f ca="1">IFERROR(__xludf.DUMMYFUNCTION("""COMPUTED_VALUE"""),"8249")</f>
        <v>8249</v>
      </c>
      <c r="P1637" s="30" t="str">
        <f ca="1">IFERROR(__xludf.DUMMYFUNCTION("""COMPUTED_VALUE"""),"GENERAL OBLIGADO")</f>
        <v>GENERAL OBLIGADO</v>
      </c>
      <c r="Q1637" s="30" t="str">
        <f ca="1">IFERROR(__xludf.DUMMYFUNCTION("""COMPUTED_VALUE"""),"-29.1171")</f>
        <v>-29.1171</v>
      </c>
      <c r="R1637" s="30" t="str">
        <f ca="1">IFERROR(__xludf.DUMMYFUNCTION("""COMPUTED_VALUE"""),"-59.68149")</f>
        <v>-59.68149</v>
      </c>
      <c r="S1637" s="30" t="str">
        <f ca="1">IFERROR(__xludf.DUMMYFUNCTION("""COMPUTED_VALUE"""),"Provincial")</f>
        <v>Provincial</v>
      </c>
      <c r="T1637" s="30" t="str">
        <f ca="1">IFERROR(__xludf.DUMMYFUNCTION("""COMPUTED_VALUE"""),"-")</f>
        <v>-</v>
      </c>
    </row>
    <row r="1638" spans="1:20" ht="15.75" customHeight="1" x14ac:dyDescent="0.25">
      <c r="A1638" s="30" t="str">
        <f ca="1">IFERROR(__xludf.DUMMYFUNCTION("""COMPUTED_VALUE"""),"50820422184593")</f>
        <v>50820422184593</v>
      </c>
      <c r="B1638" s="30" t="str">
        <f ca="1">IFERROR(__xludf.DUMMYFUNCTION("""COMPUTED_VALUE"""),"SAMCO CARRERAS")</f>
        <v>SAMCO CARRERAS</v>
      </c>
      <c r="C1638" s="30" t="str">
        <f ca="1">IFERROR(__xludf.DUMMYFUNCTION("""COMPUTED_VALUE"""),"Santa Fe")</f>
        <v>Santa Fe</v>
      </c>
      <c r="D1638" s="30" t="str">
        <f ca="1">IFERROR(__xludf.DUMMYFUNCTION("""COMPUTED_VALUE"""),"82")</f>
        <v>82</v>
      </c>
      <c r="E1638" s="30" t="str">
        <f ca="1">IFERROR(__xludf.DUMMYFUNCTION("""COMPUTED_VALUE"""),"")</f>
        <v/>
      </c>
      <c r="F1638" s="29"/>
      <c r="G1638" s="29"/>
      <c r="H1638" s="30" t="str">
        <f ca="1">IFERROR(__xludf.DUMMYFUNCTION("""COMPUTED_VALUE"""),"activo")</f>
        <v>activo</v>
      </c>
      <c r="I1638" s="29"/>
      <c r="J1638" s="29"/>
      <c r="K1638" s="29"/>
      <c r="L1638" s="30" t="str">
        <f ca="1">IFERROR(__xludf.DUMMYFUNCTION("""COMPUTED_VALUE"""),"No")</f>
        <v>No</v>
      </c>
      <c r="M1638" s="30" t="str">
        <f ca="1">IFERROR(__xludf.DUMMYFUNCTION("""COMPUTED_VALUE"""),"82042060000")</f>
        <v>82042060000</v>
      </c>
      <c r="N1638" s="30" t="str">
        <f ca="1">IFERROR(__xludf.DUMMYFUNCTION("""COMPUTED_VALUE"""),"CARRERAS")</f>
        <v>CARRERAS</v>
      </c>
      <c r="O1638" s="30" t="str">
        <f ca="1">IFERROR(__xludf.DUMMYFUNCTION("""COMPUTED_VALUE"""),"8242")</f>
        <v>8242</v>
      </c>
      <c r="P1638" s="30" t="str">
        <f ca="1">IFERROR(__xludf.DUMMYFUNCTION("""COMPUTED_VALUE"""),"GENERAL LÓPEZ")</f>
        <v>GENERAL LÓPEZ</v>
      </c>
      <c r="Q1638" s="30" t="str">
        <f ca="1">IFERROR(__xludf.DUMMYFUNCTION("""COMPUTED_VALUE"""),"-33.59729752")</f>
        <v>-33.59729752</v>
      </c>
      <c r="R1638" s="30" t="str">
        <f ca="1">IFERROR(__xludf.DUMMYFUNCTION("""COMPUTED_VALUE"""),"-61.31006241")</f>
        <v>-61.31006241</v>
      </c>
      <c r="S1638" s="30" t="str">
        <f ca="1">IFERROR(__xludf.DUMMYFUNCTION("""COMPUTED_VALUE"""),"Provincial")</f>
        <v>Provincial</v>
      </c>
      <c r="T1638" s="30" t="str">
        <f ca="1">IFERROR(__xludf.DUMMYFUNCTION("""COMPUTED_VALUE"""),"-")</f>
        <v>-</v>
      </c>
    </row>
    <row r="1639" spans="1:20" ht="15.75" customHeight="1" x14ac:dyDescent="0.25">
      <c r="A1639" s="30" t="str">
        <f ca="1">IFERROR(__xludf.DUMMYFUNCTION("""COMPUTED_VALUE"""),"50820142284875")</f>
        <v>50820142284875</v>
      </c>
      <c r="B1639" s="30" t="str">
        <f ca="1">IFERROR(__xludf.DUMMYFUNCTION("""COMPUTED_VALUE"""),"CENTRO DE SALUD DR JULIO MAIZTEGUI Bº NUEVA ROMA")</f>
        <v>CENTRO DE SALUD DR JULIO MAIZTEGUI Bº NUEVA ROMA</v>
      </c>
      <c r="C1639" s="30" t="str">
        <f ca="1">IFERROR(__xludf.DUMMYFUNCTION("""COMPUTED_VALUE"""),"Santa Fe")</f>
        <v>Santa Fe</v>
      </c>
      <c r="D1639" s="30" t="str">
        <f ca="1">IFERROR(__xludf.DUMMYFUNCTION("""COMPUTED_VALUE"""),"82")</f>
        <v>82</v>
      </c>
      <c r="E1639" s="30" t="str">
        <f ca="1">IFERROR(__xludf.DUMMYFUNCTION("""COMPUTED_VALUE"""),"")</f>
        <v/>
      </c>
      <c r="F1639" s="29"/>
      <c r="G1639" s="29"/>
      <c r="H1639" s="30" t="str">
        <f ca="1">IFERROR(__xludf.DUMMYFUNCTION("""COMPUTED_VALUE"""),"activo")</f>
        <v>activo</v>
      </c>
      <c r="I1639" s="29"/>
      <c r="J1639" s="29"/>
      <c r="K1639" s="29"/>
      <c r="L1639" s="30" t="str">
        <f ca="1">IFERROR(__xludf.DUMMYFUNCTION("""COMPUTED_VALUE"""),"No")</f>
        <v>No</v>
      </c>
      <c r="M1639" s="30" t="str">
        <f ca="1">IFERROR(__xludf.DUMMYFUNCTION("""COMPUTED_VALUE"""),"82014050000")</f>
        <v>82014050000</v>
      </c>
      <c r="N1639" s="30" t="str">
        <f ca="1">IFERROR(__xludf.DUMMYFUNCTION("""COMPUTED_VALUE"""),"CASILDA")</f>
        <v>CASILDA</v>
      </c>
      <c r="O1639" s="30" t="str">
        <f ca="1">IFERROR(__xludf.DUMMYFUNCTION("""COMPUTED_VALUE"""),"8214")</f>
        <v>8214</v>
      </c>
      <c r="P1639" s="30" t="str">
        <f ca="1">IFERROR(__xludf.DUMMYFUNCTION("""COMPUTED_VALUE"""),"CASEROS")</f>
        <v>CASEROS</v>
      </c>
      <c r="Q1639" s="30" t="str">
        <f ca="1">IFERROR(__xludf.DUMMYFUNCTION("""COMPUTED_VALUE"""),"-33.052184")</f>
        <v>-33.052184</v>
      </c>
      <c r="R1639" s="30" t="str">
        <f ca="1">IFERROR(__xludf.DUMMYFUNCTION("""COMPUTED_VALUE"""),"-61.1826503")</f>
        <v>-61.1826503</v>
      </c>
      <c r="S1639" s="30" t="str">
        <f ca="1">IFERROR(__xludf.DUMMYFUNCTION("""COMPUTED_VALUE"""),"Provincial")</f>
        <v>Provincial</v>
      </c>
      <c r="T1639" s="30" t="str">
        <f ca="1">IFERROR(__xludf.DUMMYFUNCTION("""COMPUTED_VALUE"""),"-")</f>
        <v>-</v>
      </c>
    </row>
    <row r="1640" spans="1:20" ht="15.75" customHeight="1" x14ac:dyDescent="0.25">
      <c r="A1640" s="30" t="str">
        <f ca="1">IFERROR(__xludf.DUMMYFUNCTION("""COMPUTED_VALUE"""),"10820352184131")</f>
        <v>10820352184131</v>
      </c>
      <c r="B1640" s="30" t="str">
        <f ca="1">IFERROR(__xludf.DUMMYFUNCTION("""COMPUTED_VALUE"""),"SAMCO CAYASTA")</f>
        <v>SAMCO CAYASTA</v>
      </c>
      <c r="C1640" s="30" t="str">
        <f ca="1">IFERROR(__xludf.DUMMYFUNCTION("""COMPUTED_VALUE"""),"Santa Fe")</f>
        <v>Santa Fe</v>
      </c>
      <c r="D1640" s="30" t="str">
        <f ca="1">IFERROR(__xludf.DUMMYFUNCTION("""COMPUTED_VALUE"""),"82")</f>
        <v>82</v>
      </c>
      <c r="E1640" s="30" t="str">
        <f ca="1">IFERROR(__xludf.DUMMYFUNCTION("""COMPUTED_VALUE"""),"")</f>
        <v/>
      </c>
      <c r="F1640" s="29"/>
      <c r="G1640" s="29"/>
      <c r="H1640" s="30" t="str">
        <f ca="1">IFERROR(__xludf.DUMMYFUNCTION("""COMPUTED_VALUE"""),"activo")</f>
        <v>activo</v>
      </c>
      <c r="I1640" s="29"/>
      <c r="J1640" s="29"/>
      <c r="K1640" s="29"/>
      <c r="L1640" s="30" t="str">
        <f ca="1">IFERROR(__xludf.DUMMYFUNCTION("""COMPUTED_VALUE"""),"No")</f>
        <v>No</v>
      </c>
      <c r="M1640" s="30" t="str">
        <f ca="1">IFERROR(__xludf.DUMMYFUNCTION("""COMPUTED_VALUE"""),"82035010000")</f>
        <v>82035010000</v>
      </c>
      <c r="N1640" s="30" t="str">
        <f ca="1">IFERROR(__xludf.DUMMYFUNCTION("""COMPUTED_VALUE"""),"CAYASTA")</f>
        <v>CAYASTA</v>
      </c>
      <c r="O1640" s="30" t="str">
        <f ca="1">IFERROR(__xludf.DUMMYFUNCTION("""COMPUTED_VALUE"""),"8235")</f>
        <v>8235</v>
      </c>
      <c r="P1640" s="30" t="str">
        <f ca="1">IFERROR(__xludf.DUMMYFUNCTION("""COMPUTED_VALUE"""),"GARAY")</f>
        <v>GARAY</v>
      </c>
      <c r="Q1640" s="30" t="str">
        <f ca="1">IFERROR(__xludf.DUMMYFUNCTION("""COMPUTED_VALUE"""),"-31.20183388")</f>
        <v>-31.20183388</v>
      </c>
      <c r="R1640" s="30" t="str">
        <f ca="1">IFERROR(__xludf.DUMMYFUNCTION("""COMPUTED_VALUE"""),"-60.16381502")</f>
        <v>-60.16381502</v>
      </c>
      <c r="S1640" s="30" t="str">
        <f ca="1">IFERROR(__xludf.DUMMYFUNCTION("""COMPUTED_VALUE"""),"Provincial")</f>
        <v>Provincial</v>
      </c>
      <c r="T1640" s="30" t="str">
        <f ca="1">IFERROR(__xludf.DUMMYFUNCTION("""COMPUTED_VALUE"""),"-")</f>
        <v>-</v>
      </c>
    </row>
    <row r="1641" spans="1:20" ht="15.75" customHeight="1" x14ac:dyDescent="0.25">
      <c r="A1641" s="30" t="str">
        <f ca="1">IFERROR(__xludf.DUMMYFUNCTION("""COMPUTED_VALUE"""),"50820632184609")</f>
        <v>50820632184609</v>
      </c>
      <c r="B1641" s="30" t="str">
        <f ca="1">IFERROR(__xludf.DUMMYFUNCTION("""COMPUTED_VALUE"""),"CENTRO DE SALUD COLASTINE")</f>
        <v>CENTRO DE SALUD COLASTINE</v>
      </c>
      <c r="C1641" s="30" t="str">
        <f ca="1">IFERROR(__xludf.DUMMYFUNCTION("""COMPUTED_VALUE"""),"Santa Fe")</f>
        <v>Santa Fe</v>
      </c>
      <c r="D1641" s="30" t="str">
        <f ca="1">IFERROR(__xludf.DUMMYFUNCTION("""COMPUTED_VALUE"""),"82")</f>
        <v>82</v>
      </c>
      <c r="E1641" s="30" t="str">
        <f ca="1">IFERROR(__xludf.DUMMYFUNCTION("""COMPUTED_VALUE"""),"")</f>
        <v/>
      </c>
      <c r="F1641" s="29"/>
      <c r="G1641" s="29"/>
      <c r="H1641" s="30" t="str">
        <f ca="1">IFERROR(__xludf.DUMMYFUNCTION("""COMPUTED_VALUE"""),"activo")</f>
        <v>activo</v>
      </c>
      <c r="I1641" s="29"/>
      <c r="J1641" s="29"/>
      <c r="K1641" s="29"/>
      <c r="L1641" s="30" t="str">
        <f ca="1">IFERROR(__xludf.DUMMYFUNCTION("""COMPUTED_VALUE"""),"No")</f>
        <v>No</v>
      </c>
      <c r="M1641" s="30" t="str">
        <f ca="1">IFERROR(__xludf.DUMMYFUNCTION("""COMPUTED_VALUE"""),"82063210")</f>
        <v>82063210</v>
      </c>
      <c r="N1641" s="30" t="str">
        <f ca="1">IFERROR(__xludf.DUMMYFUNCTION("""COMPUTED_VALUE"""),"COLASTINE NORTE")</f>
        <v>COLASTINE NORTE</v>
      </c>
      <c r="O1641" s="30" t="str">
        <f ca="1">IFERROR(__xludf.DUMMYFUNCTION("""COMPUTED_VALUE"""),"8263")</f>
        <v>8263</v>
      </c>
      <c r="P1641" s="30" t="str">
        <f ca="1">IFERROR(__xludf.DUMMYFUNCTION("""COMPUTED_VALUE"""),"LA CAPITAL")</f>
        <v>LA CAPITAL</v>
      </c>
      <c r="Q1641" s="30" t="str">
        <f ca="1">IFERROR(__xludf.DUMMYFUNCTION("""COMPUTED_VALUE"""),"-31.62356667")</f>
        <v>-31.62356667</v>
      </c>
      <c r="R1641" s="30" t="str">
        <f ca="1">IFERROR(__xludf.DUMMYFUNCTION("""COMPUTED_VALUE"""),"-60.6031")</f>
        <v>-60.6031</v>
      </c>
      <c r="S1641" s="30" t="str">
        <f ca="1">IFERROR(__xludf.DUMMYFUNCTION("""COMPUTED_VALUE"""),"Provincial")</f>
        <v>Provincial</v>
      </c>
      <c r="T1641" s="30" t="str">
        <f ca="1">IFERROR(__xludf.DUMMYFUNCTION("""COMPUTED_VALUE"""),"-")</f>
        <v>-</v>
      </c>
    </row>
    <row r="1642" spans="1:20" ht="15.75" customHeight="1" x14ac:dyDescent="0.25">
      <c r="A1642" s="30" t="str">
        <f ca="1">IFERROR(__xludf.DUMMYFUNCTION("""COMPUTED_VALUE"""),"50820562184634")</f>
        <v>50820562184634</v>
      </c>
      <c r="B1642" s="30" t="str">
        <f ca="1">IFERROR(__xludf.DUMMYFUNCTION("""COMPUTED_VALUE"""),"CENTRO DE SALUD CORREA")</f>
        <v>CENTRO DE SALUD CORREA</v>
      </c>
      <c r="C1642" s="30" t="str">
        <f ca="1">IFERROR(__xludf.DUMMYFUNCTION("""COMPUTED_VALUE"""),"Santa Fe")</f>
        <v>Santa Fe</v>
      </c>
      <c r="D1642" s="30" t="str">
        <f ca="1">IFERROR(__xludf.DUMMYFUNCTION("""COMPUTED_VALUE"""),"82")</f>
        <v>82</v>
      </c>
      <c r="E1642" s="30" t="str">
        <f ca="1">IFERROR(__xludf.DUMMYFUNCTION("""COMPUTED_VALUE"""),"")</f>
        <v/>
      </c>
      <c r="F1642" s="29"/>
      <c r="G1642" s="29"/>
      <c r="H1642" s="30" t="str">
        <f ca="1">IFERROR(__xludf.DUMMYFUNCTION("""COMPUTED_VALUE"""),"activo")</f>
        <v>activo</v>
      </c>
      <c r="I1642" s="29"/>
      <c r="J1642" s="29"/>
      <c r="K1642" s="29"/>
      <c r="L1642" s="30" t="str">
        <f ca="1">IFERROR(__xludf.DUMMYFUNCTION("""COMPUTED_VALUE"""),"No")</f>
        <v>No</v>
      </c>
      <c r="M1642" s="30" t="str">
        <f ca="1">IFERROR(__xludf.DUMMYFUNCTION("""COMPUTED_VALUE"""),"82056070000")</f>
        <v>82056070000</v>
      </c>
      <c r="N1642" s="30" t="str">
        <f ca="1">IFERROR(__xludf.DUMMYFUNCTION("""COMPUTED_VALUE"""),"CORREA")</f>
        <v>CORREA</v>
      </c>
      <c r="O1642" s="30" t="str">
        <f ca="1">IFERROR(__xludf.DUMMYFUNCTION("""COMPUTED_VALUE"""),"8256")</f>
        <v>8256</v>
      </c>
      <c r="P1642" s="30" t="str">
        <f ca="1">IFERROR(__xludf.DUMMYFUNCTION("""COMPUTED_VALUE"""),"IRIONDO")</f>
        <v>IRIONDO</v>
      </c>
      <c r="Q1642" s="30" t="str">
        <f ca="1">IFERROR(__xludf.DUMMYFUNCTION("""COMPUTED_VALUE"""),"-32.8167653")</f>
        <v>-32.8167653</v>
      </c>
      <c r="R1642" s="30" t="str">
        <f ca="1">IFERROR(__xludf.DUMMYFUNCTION("""COMPUTED_VALUE"""),"-61.4011517")</f>
        <v>-61.4011517</v>
      </c>
      <c r="S1642" s="30" t="str">
        <f ca="1">IFERROR(__xludf.DUMMYFUNCTION("""COMPUTED_VALUE"""),"Provincial")</f>
        <v>Provincial</v>
      </c>
      <c r="T1642" s="30" t="str">
        <f ca="1">IFERROR(__xludf.DUMMYFUNCTION("""COMPUTED_VALUE"""),"-")</f>
        <v>-</v>
      </c>
    </row>
    <row r="1643" spans="1:20" ht="15.75" customHeight="1" x14ac:dyDescent="0.25">
      <c r="A1643" s="30" t="str">
        <f ca="1">IFERROR(__xludf.DUMMYFUNCTION("""COMPUTED_VALUE"""),"10820422184139")</f>
        <v>10820422184139</v>
      </c>
      <c r="B1643" s="30" t="str">
        <f ca="1">IFERROR(__xludf.DUMMYFUNCTION("""COMPUTED_VALUE"""),"SAMCO ELORTONDO")</f>
        <v>SAMCO ELORTONDO</v>
      </c>
      <c r="C1643" s="30" t="str">
        <f ca="1">IFERROR(__xludf.DUMMYFUNCTION("""COMPUTED_VALUE"""),"Santa Fe")</f>
        <v>Santa Fe</v>
      </c>
      <c r="D1643" s="30">
        <f ca="1">IFERROR(__xludf.DUMMYFUNCTION("""COMPUTED_VALUE"""),82)</f>
        <v>82</v>
      </c>
      <c r="E1643" s="30" t="str">
        <f ca="1">IFERROR(__xludf.DUMMYFUNCTION("""COMPUTED_VALUE"""),"")</f>
        <v/>
      </c>
      <c r="F1643" s="29"/>
      <c r="G1643" s="29"/>
      <c r="H1643" s="30" t="str">
        <f ca="1">IFERROR(__xludf.DUMMYFUNCTION("""COMPUTED_VALUE"""),"activo")</f>
        <v>activo</v>
      </c>
      <c r="I1643" s="29"/>
      <c r="J1643" s="29"/>
      <c r="K1643" s="29"/>
      <c r="L1643" s="30" t="str">
        <f ca="1">IFERROR(__xludf.DUMMYFUNCTION("""COMPUTED_VALUE"""),"No")</f>
        <v>No</v>
      </c>
      <c r="M1643" s="30">
        <f ca="1">IFERROR(__xludf.DUMMYFUNCTION("""COMPUTED_VALUE"""),82042110000)</f>
        <v>82042110000</v>
      </c>
      <c r="N1643" s="30" t="str">
        <f ca="1">IFERROR(__xludf.DUMMYFUNCTION("""COMPUTED_VALUE"""),"ELORTONDO")</f>
        <v>ELORTONDO</v>
      </c>
      <c r="O1643" s="30" t="str">
        <f ca="1">IFERROR(__xludf.DUMMYFUNCTION("""COMPUTED_VALUE"""),"#N/A")</f>
        <v>#N/A</v>
      </c>
      <c r="P1643" s="30" t="str">
        <f ca="1">IFERROR(__xludf.DUMMYFUNCTION("""COMPUTED_VALUE"""),"General López")</f>
        <v>General López</v>
      </c>
      <c r="Q1643" s="30">
        <f ca="1">IFERROR(__xludf.DUMMYFUNCTION("""COMPUTED_VALUE"""),-33.7505842)</f>
        <v>-33.750584199999999</v>
      </c>
      <c r="R1643" s="30">
        <f ca="1">IFERROR(__xludf.DUMMYFUNCTION("""COMPUTED_VALUE"""),-61.9617373)</f>
        <v>-61.961737300000003</v>
      </c>
      <c r="S1643" s="30" t="str">
        <f ca="1">IFERROR(__xludf.DUMMYFUNCTION("""COMPUTED_VALUE"""),"Provincial")</f>
        <v>Provincial</v>
      </c>
      <c r="T1643" s="30" t="str">
        <f ca="1">IFERROR(__xludf.DUMMYFUNCTION("""COMPUTED_VALUE"""),"-")</f>
        <v>-</v>
      </c>
    </row>
    <row r="1644" spans="1:20" ht="15.75" customHeight="1" x14ac:dyDescent="0.25">
      <c r="A1644" s="30" t="str">
        <f ca="1">IFERROR(__xludf.DUMMYFUNCTION("""COMPUTED_VALUE"""),"50820702184600")</f>
        <v>50820702184600</v>
      </c>
      <c r="B1644" s="30" t="str">
        <f ca="1">IFERROR(__xludf.DUMMYFUNCTION("""COMPUTED_VALUE"""),"CENTRO DE SALUD CEFERINO NAMUNCARA - ESPERANZA")</f>
        <v>CENTRO DE SALUD CEFERINO NAMUNCARA - ESPERANZA</v>
      </c>
      <c r="C1644" s="30" t="str">
        <f ca="1">IFERROR(__xludf.DUMMYFUNCTION("""COMPUTED_VALUE"""),"Santa Fe")</f>
        <v>Santa Fe</v>
      </c>
      <c r="D1644" s="30" t="str">
        <f ca="1">IFERROR(__xludf.DUMMYFUNCTION("""COMPUTED_VALUE"""),"82")</f>
        <v>82</v>
      </c>
      <c r="E1644" s="30" t="str">
        <f ca="1">IFERROR(__xludf.DUMMYFUNCTION("""COMPUTED_VALUE"""),"")</f>
        <v/>
      </c>
      <c r="F1644" s="29"/>
      <c r="G1644" s="29"/>
      <c r="H1644" s="30" t="str">
        <f ca="1">IFERROR(__xludf.DUMMYFUNCTION("""COMPUTED_VALUE"""),"activo")</f>
        <v>activo</v>
      </c>
      <c r="I1644" s="29"/>
      <c r="J1644" s="29"/>
      <c r="K1644" s="29"/>
      <c r="L1644" s="30" t="str">
        <f ca="1">IFERROR(__xludf.DUMMYFUNCTION("""COMPUTED_VALUE"""),"No")</f>
        <v>No</v>
      </c>
      <c r="M1644" s="30" t="str">
        <f ca="1">IFERROR(__xludf.DUMMYFUNCTION("""COMPUTED_VALUE"""),"82070050000")</f>
        <v>82070050000</v>
      </c>
      <c r="N1644" s="30" t="str">
        <f ca="1">IFERROR(__xludf.DUMMYFUNCTION("""COMPUTED_VALUE"""),"ESPERANZA")</f>
        <v>ESPERANZA</v>
      </c>
      <c r="O1644" s="30" t="str">
        <f ca="1">IFERROR(__xludf.DUMMYFUNCTION("""COMPUTED_VALUE"""),"8270")</f>
        <v>8270</v>
      </c>
      <c r="P1644" s="30" t="str">
        <f ca="1">IFERROR(__xludf.DUMMYFUNCTION("""COMPUTED_VALUE"""),"LAS COLONIAS")</f>
        <v>LAS COLONIAS</v>
      </c>
      <c r="Q1644" s="30" t="str">
        <f ca="1">IFERROR(__xludf.DUMMYFUNCTION("""COMPUTED_VALUE"""),"-31.4677145")</f>
        <v>-31.4677145</v>
      </c>
      <c r="R1644" s="30" t="str">
        <f ca="1">IFERROR(__xludf.DUMMYFUNCTION("""COMPUTED_VALUE"""),"-60.9391398")</f>
        <v>-60.9391398</v>
      </c>
      <c r="S1644" s="30" t="str">
        <f ca="1">IFERROR(__xludf.DUMMYFUNCTION("""COMPUTED_VALUE"""),"Provincial")</f>
        <v>Provincial</v>
      </c>
      <c r="T1644" s="30" t="str">
        <f ca="1">IFERROR(__xludf.DUMMYFUNCTION("""COMPUTED_VALUE"""),"-")</f>
        <v>-</v>
      </c>
    </row>
    <row r="1645" spans="1:20" ht="15.75" customHeight="1" x14ac:dyDescent="0.25">
      <c r="A1645" s="30" t="str">
        <f ca="1">IFERROR(__xludf.DUMMYFUNCTION("""COMPUTED_VALUE"""),"50820702184650")</f>
        <v>50820702184650</v>
      </c>
      <c r="B1645" s="30" t="str">
        <f ca="1">IFERROR(__xludf.DUMMYFUNCTION("""COMPUTED_VALUE"""),"CENTRO DE SALUD DR. ESTEBAN MARADONA - ESPERANZA")</f>
        <v>CENTRO DE SALUD DR. ESTEBAN MARADONA - ESPERANZA</v>
      </c>
      <c r="C1645" s="30" t="str">
        <f ca="1">IFERROR(__xludf.DUMMYFUNCTION("""COMPUTED_VALUE"""),"Santa Fe")</f>
        <v>Santa Fe</v>
      </c>
      <c r="D1645" s="30" t="str">
        <f ca="1">IFERROR(__xludf.DUMMYFUNCTION("""COMPUTED_VALUE"""),"82")</f>
        <v>82</v>
      </c>
      <c r="E1645" s="30" t="str">
        <f ca="1">IFERROR(__xludf.DUMMYFUNCTION("""COMPUTED_VALUE"""),"")</f>
        <v/>
      </c>
      <c r="F1645" s="29"/>
      <c r="G1645" s="29"/>
      <c r="H1645" s="30" t="str">
        <f ca="1">IFERROR(__xludf.DUMMYFUNCTION("""COMPUTED_VALUE"""),"activo")</f>
        <v>activo</v>
      </c>
      <c r="I1645" s="29"/>
      <c r="J1645" s="29"/>
      <c r="K1645" s="29"/>
      <c r="L1645" s="30" t="str">
        <f ca="1">IFERROR(__xludf.DUMMYFUNCTION("""COMPUTED_VALUE"""),"No")</f>
        <v>No</v>
      </c>
      <c r="M1645" s="30" t="str">
        <f ca="1">IFERROR(__xludf.DUMMYFUNCTION("""COMPUTED_VALUE"""),"82070050000")</f>
        <v>82070050000</v>
      </c>
      <c r="N1645" s="30" t="str">
        <f ca="1">IFERROR(__xludf.DUMMYFUNCTION("""COMPUTED_VALUE"""),"ESPERANZA")</f>
        <v>ESPERANZA</v>
      </c>
      <c r="O1645" s="30" t="str">
        <f ca="1">IFERROR(__xludf.DUMMYFUNCTION("""COMPUTED_VALUE"""),"8270")</f>
        <v>8270</v>
      </c>
      <c r="P1645" s="30" t="str">
        <f ca="1">IFERROR(__xludf.DUMMYFUNCTION("""COMPUTED_VALUE"""),"LAS COLONIAS")</f>
        <v>LAS COLONIAS</v>
      </c>
      <c r="Q1645" s="30" t="str">
        <f ca="1">IFERROR(__xludf.DUMMYFUNCTION("""COMPUTED_VALUE"""),"-31.4172552")</f>
        <v>-31.4172552</v>
      </c>
      <c r="R1645" s="30" t="str">
        <f ca="1">IFERROR(__xludf.DUMMYFUNCTION("""COMPUTED_VALUE"""),"-60.9205255")</f>
        <v>-60.9205255</v>
      </c>
      <c r="S1645" s="30" t="str">
        <f ca="1">IFERROR(__xludf.DUMMYFUNCTION("""COMPUTED_VALUE"""),"Provincial")</f>
        <v>Provincial</v>
      </c>
      <c r="T1645" s="30" t="str">
        <f ca="1">IFERROR(__xludf.DUMMYFUNCTION("""COMPUTED_VALUE"""),"-")</f>
        <v>-</v>
      </c>
    </row>
    <row r="1646" spans="1:20" ht="15.75" customHeight="1" x14ac:dyDescent="0.25">
      <c r="A1646" s="30" t="str">
        <f ca="1">IFERROR(__xludf.DUMMYFUNCTION("""COMPUTED_VALUE"""),"50820842284470")</f>
        <v>50820842284470</v>
      </c>
      <c r="B1646" s="30" t="str">
        <f ca="1">IFERROR(__xludf.DUMMYFUNCTION("""COMPUTED_VALUE"""),"CENTRO DE SALUD DR. ESTEBAN LAUREANO MARADONA - FUNES")</f>
        <v>CENTRO DE SALUD DR. ESTEBAN LAUREANO MARADONA - FUNES</v>
      </c>
      <c r="C1646" s="30" t="str">
        <f ca="1">IFERROR(__xludf.DUMMYFUNCTION("""COMPUTED_VALUE"""),"Santa Fe")</f>
        <v>Santa Fe</v>
      </c>
      <c r="D1646" s="30" t="str">
        <f ca="1">IFERROR(__xludf.DUMMYFUNCTION("""COMPUTED_VALUE"""),"82")</f>
        <v>82</v>
      </c>
      <c r="E1646" s="30" t="str">
        <f ca="1">IFERROR(__xludf.DUMMYFUNCTION("""COMPUTED_VALUE"""),"")</f>
        <v/>
      </c>
      <c r="F1646" s="29"/>
      <c r="G1646" s="29"/>
      <c r="H1646" s="30" t="str">
        <f ca="1">IFERROR(__xludf.DUMMYFUNCTION("""COMPUTED_VALUE"""),"activo")</f>
        <v>activo</v>
      </c>
      <c r="I1646" s="29"/>
      <c r="J1646" s="29"/>
      <c r="K1646" s="29"/>
      <c r="L1646" s="30" t="str">
        <f ca="1">IFERROR(__xludf.DUMMYFUNCTION("""COMPUTED_VALUE"""),"No")</f>
        <v>No</v>
      </c>
      <c r="M1646" s="30" t="str">
        <f ca="1">IFERROR(__xludf.DUMMYFUNCTION("""COMPUTED_VALUE"""),"82084140000")</f>
        <v>82084140000</v>
      </c>
      <c r="N1646" s="30" t="str">
        <f ca="1">IFERROR(__xludf.DUMMYFUNCTION("""COMPUTED_VALUE"""),"FUNES")</f>
        <v>FUNES</v>
      </c>
      <c r="O1646" s="30" t="str">
        <f ca="1">IFERROR(__xludf.DUMMYFUNCTION("""COMPUTED_VALUE"""),"8284")</f>
        <v>8284</v>
      </c>
      <c r="P1646" s="30" t="str">
        <f ca="1">IFERROR(__xludf.DUMMYFUNCTION("""COMPUTED_VALUE"""),"ROSARIO")</f>
        <v>ROSARIO</v>
      </c>
      <c r="Q1646" s="30" t="str">
        <f ca="1">IFERROR(__xludf.DUMMYFUNCTION("""COMPUTED_VALUE"""),"-32.91909")</f>
        <v>-32.91909</v>
      </c>
      <c r="R1646" s="30" t="str">
        <f ca="1">IFERROR(__xludf.DUMMYFUNCTION("""COMPUTED_VALUE"""),"-60.861917")</f>
        <v>-60.861917</v>
      </c>
      <c r="S1646" s="30" t="str">
        <f ca="1">IFERROR(__xludf.DUMMYFUNCTION("""COMPUTED_VALUE"""),"Municipal")</f>
        <v>Municipal</v>
      </c>
      <c r="T1646" s="29"/>
    </row>
    <row r="1647" spans="1:20" ht="15.75" customHeight="1" x14ac:dyDescent="0.25">
      <c r="A1647" s="30" t="str">
        <f ca="1">IFERROR(__xludf.DUMMYFUNCTION("""COMPUTED_VALUE"""),"50820842284697")</f>
        <v>50820842284697</v>
      </c>
      <c r="B1647" s="30" t="str">
        <f ca="1">IFERROR(__xludf.DUMMYFUNCTION("""COMPUTED_VALUE"""),"CENTRO DE SALUD EVA PERON - FUNES")</f>
        <v>CENTRO DE SALUD EVA PERON - FUNES</v>
      </c>
      <c r="C1647" s="30" t="str">
        <f ca="1">IFERROR(__xludf.DUMMYFUNCTION("""COMPUTED_VALUE"""),"Santa Fe")</f>
        <v>Santa Fe</v>
      </c>
      <c r="D1647" s="30" t="str">
        <f ca="1">IFERROR(__xludf.DUMMYFUNCTION("""COMPUTED_VALUE"""),"82")</f>
        <v>82</v>
      </c>
      <c r="E1647" s="30" t="str">
        <f ca="1">IFERROR(__xludf.DUMMYFUNCTION("""COMPUTED_VALUE"""),"")</f>
        <v/>
      </c>
      <c r="F1647" s="29"/>
      <c r="G1647" s="29"/>
      <c r="H1647" s="30" t="str">
        <f ca="1">IFERROR(__xludf.DUMMYFUNCTION("""COMPUTED_VALUE"""),"activo")</f>
        <v>activo</v>
      </c>
      <c r="I1647" s="29"/>
      <c r="J1647" s="29"/>
      <c r="K1647" s="29"/>
      <c r="L1647" s="30" t="str">
        <f ca="1">IFERROR(__xludf.DUMMYFUNCTION("""COMPUTED_VALUE"""),"No")</f>
        <v>No</v>
      </c>
      <c r="M1647" s="30" t="str">
        <f ca="1">IFERROR(__xludf.DUMMYFUNCTION("""COMPUTED_VALUE"""),"82084140000")</f>
        <v>82084140000</v>
      </c>
      <c r="N1647" s="30" t="str">
        <f ca="1">IFERROR(__xludf.DUMMYFUNCTION("""COMPUTED_VALUE"""),"FUNES")</f>
        <v>FUNES</v>
      </c>
      <c r="O1647" s="30" t="str">
        <f ca="1">IFERROR(__xludf.DUMMYFUNCTION("""COMPUTED_VALUE"""),"8284")</f>
        <v>8284</v>
      </c>
      <c r="P1647" s="30" t="str">
        <f ca="1">IFERROR(__xludf.DUMMYFUNCTION("""COMPUTED_VALUE"""),"ROSARIO")</f>
        <v>ROSARIO</v>
      </c>
      <c r="Q1647" s="30" t="str">
        <f ca="1">IFERROR(__xludf.DUMMYFUNCTION("""COMPUTED_VALUE"""),"-32.9100157")</f>
        <v>-32.9100157</v>
      </c>
      <c r="R1647" s="30" t="str">
        <f ca="1">IFERROR(__xludf.DUMMYFUNCTION("""COMPUTED_VALUE"""),"-60.8141683")</f>
        <v>-60.8141683</v>
      </c>
      <c r="S1647" s="30" t="str">
        <f ca="1">IFERROR(__xludf.DUMMYFUNCTION("""COMPUTED_VALUE"""),"Municipal")</f>
        <v>Municipal</v>
      </c>
      <c r="T1647" s="29"/>
    </row>
    <row r="1648" spans="1:20" ht="15.75" customHeight="1" x14ac:dyDescent="0.25">
      <c r="A1648" s="30" t="str">
        <f ca="1">IFERROR(__xludf.DUMMYFUNCTION("""COMPUTED_VALUE"""),"50820842184716")</f>
        <v>50820842184716</v>
      </c>
      <c r="B1648" s="30" t="str">
        <f ca="1">IFERROR(__xludf.DUMMYFUNCTION("""COMPUTED_VALUE"""),"CENTRO DE SALUD GENERAL LAGOS")</f>
        <v>CENTRO DE SALUD GENERAL LAGOS</v>
      </c>
      <c r="C1648" s="30" t="str">
        <f ca="1">IFERROR(__xludf.DUMMYFUNCTION("""COMPUTED_VALUE"""),"Santa Fe")</f>
        <v>Santa Fe</v>
      </c>
      <c r="D1648" s="30" t="str">
        <f ca="1">IFERROR(__xludf.DUMMYFUNCTION("""COMPUTED_VALUE"""),"82")</f>
        <v>82</v>
      </c>
      <c r="E1648" s="30" t="str">
        <f ca="1">IFERROR(__xludf.DUMMYFUNCTION("""COMPUTED_VALUE"""),"")</f>
        <v/>
      </c>
      <c r="F1648" s="29"/>
      <c r="G1648" s="29"/>
      <c r="H1648" s="30" t="str">
        <f ca="1">IFERROR(__xludf.DUMMYFUNCTION("""COMPUTED_VALUE"""),"activo")</f>
        <v>activo</v>
      </c>
      <c r="I1648" s="29"/>
      <c r="J1648" s="29"/>
      <c r="K1648" s="29"/>
      <c r="L1648" s="30" t="str">
        <f ca="1">IFERROR(__xludf.DUMMYFUNCTION("""COMPUTED_VALUE"""),"No")</f>
        <v>No</v>
      </c>
      <c r="M1648" s="30" t="str">
        <f ca="1">IFERROR(__xludf.DUMMYFUNCTION("""COMPUTED_VALUE"""),"82084150000")</f>
        <v>82084150000</v>
      </c>
      <c r="N1648" s="30" t="str">
        <f ca="1">IFERROR(__xludf.DUMMYFUNCTION("""COMPUTED_VALUE"""),"GENERAL LAGOS")</f>
        <v>GENERAL LAGOS</v>
      </c>
      <c r="O1648" s="30" t="str">
        <f ca="1">IFERROR(__xludf.DUMMYFUNCTION("""COMPUTED_VALUE"""),"8284")</f>
        <v>8284</v>
      </c>
      <c r="P1648" s="30" t="str">
        <f ca="1">IFERROR(__xludf.DUMMYFUNCTION("""COMPUTED_VALUE"""),"ROSARIO")</f>
        <v>ROSARIO</v>
      </c>
      <c r="Q1648" s="30" t="str">
        <f ca="1">IFERROR(__xludf.DUMMYFUNCTION("""COMPUTED_VALUE"""),"-33.10845621")</f>
        <v>-33.10845621</v>
      </c>
      <c r="R1648" s="30" t="str">
        <f ca="1">IFERROR(__xludf.DUMMYFUNCTION("""COMPUTED_VALUE"""),"-60.55554561")</f>
        <v>-60.55554561</v>
      </c>
      <c r="S1648" s="30" t="str">
        <f ca="1">IFERROR(__xludf.DUMMYFUNCTION("""COMPUTED_VALUE"""),"Provincial")</f>
        <v>Provincial</v>
      </c>
      <c r="T1648" s="30" t="str">
        <f ca="1">IFERROR(__xludf.DUMMYFUNCTION("""COMPUTED_VALUE"""),"-")</f>
        <v>-</v>
      </c>
    </row>
    <row r="1649" spans="1:20" ht="15.75" customHeight="1" x14ac:dyDescent="0.25">
      <c r="A1649" s="30" t="str">
        <f ca="1">IFERROR(__xludf.DUMMYFUNCTION("""COMPUTED_VALUE"""),"50820842184866")</f>
        <v>50820842184866</v>
      </c>
      <c r="B1649" s="30" t="str">
        <f ca="1">IFERROR(__xludf.DUMMYFUNCTION("""COMPUTED_VALUE"""),"CENTRO DE SALUD N° 54 REMANSO VALERIO")</f>
        <v>CENTRO DE SALUD N° 54 REMANSO VALERIO</v>
      </c>
      <c r="C1649" s="30" t="str">
        <f ca="1">IFERROR(__xludf.DUMMYFUNCTION("""COMPUTED_VALUE"""),"Santa Fe")</f>
        <v>Santa Fe</v>
      </c>
      <c r="D1649" s="30" t="str">
        <f ca="1">IFERROR(__xludf.DUMMYFUNCTION("""COMPUTED_VALUE"""),"82")</f>
        <v>82</v>
      </c>
      <c r="E1649" s="30" t="str">
        <f ca="1">IFERROR(__xludf.DUMMYFUNCTION("""COMPUTED_VALUE"""),"")</f>
        <v/>
      </c>
      <c r="F1649" s="29"/>
      <c r="G1649" s="29"/>
      <c r="H1649" s="30" t="str">
        <f ca="1">IFERROR(__xludf.DUMMYFUNCTION("""COMPUTED_VALUE"""),"activo")</f>
        <v>activo</v>
      </c>
      <c r="I1649" s="29"/>
      <c r="J1649" s="29"/>
      <c r="K1649" s="29"/>
      <c r="L1649" s="30" t="str">
        <f ca="1">IFERROR(__xludf.DUMMYFUNCTION("""COMPUTED_VALUE"""),"No")</f>
        <v>No</v>
      </c>
      <c r="M1649" s="30" t="str">
        <f ca="1">IFERROR(__xludf.DUMMYFUNCTION("""COMPUTED_VALUE"""),"82084160000")</f>
        <v>82084160000</v>
      </c>
      <c r="N1649" s="30" t="str">
        <f ca="1">IFERROR(__xludf.DUMMYFUNCTION("""COMPUTED_VALUE"""),"GRANADERO BAIGORRIA")</f>
        <v>GRANADERO BAIGORRIA</v>
      </c>
      <c r="O1649" s="30" t="str">
        <f ca="1">IFERROR(__xludf.DUMMYFUNCTION("""COMPUTED_VALUE"""),"8284")</f>
        <v>8284</v>
      </c>
      <c r="P1649" s="30" t="str">
        <f ca="1">IFERROR(__xludf.DUMMYFUNCTION("""COMPUTED_VALUE"""),"ROSARIO")</f>
        <v>ROSARIO</v>
      </c>
      <c r="Q1649" s="30" t="str">
        <f ca="1">IFERROR(__xludf.DUMMYFUNCTION("""COMPUTED_VALUE"""),"-32.86745")</f>
        <v>-32.86745</v>
      </c>
      <c r="R1649" s="30" t="str">
        <f ca="1">IFERROR(__xludf.DUMMYFUNCTION("""COMPUTED_VALUE"""),"-60.69052")</f>
        <v>-60.69052</v>
      </c>
      <c r="S1649" s="30" t="str">
        <f ca="1">IFERROR(__xludf.DUMMYFUNCTION("""COMPUTED_VALUE"""),"Provincial")</f>
        <v>Provincial</v>
      </c>
      <c r="T1649" s="30" t="str">
        <f ca="1">IFERROR(__xludf.DUMMYFUNCTION("""COMPUTED_VALUE"""),"-")</f>
        <v>-</v>
      </c>
    </row>
    <row r="1650" spans="1:20" ht="15.75" customHeight="1" x14ac:dyDescent="0.25">
      <c r="A1650" s="30" t="str">
        <f ca="1">IFERROR(__xludf.DUMMYFUNCTION("""COMPUTED_VALUE"""),"50820842184846")</f>
        <v>50820842184846</v>
      </c>
      <c r="B1650" s="30" t="str">
        <f ca="1">IFERROR(__xludf.DUMMYFUNCTION("""COMPUTED_VALUE"""),"CENTRO DE SALUD N° 23 SAN MIGUEL")</f>
        <v>CENTRO DE SALUD N° 23 SAN MIGUEL</v>
      </c>
      <c r="C1650" s="30" t="str">
        <f ca="1">IFERROR(__xludf.DUMMYFUNCTION("""COMPUTED_VALUE"""),"Santa Fe")</f>
        <v>Santa Fe</v>
      </c>
      <c r="D1650" s="30" t="str">
        <f ca="1">IFERROR(__xludf.DUMMYFUNCTION("""COMPUTED_VALUE"""),"82")</f>
        <v>82</v>
      </c>
      <c r="E1650" s="30" t="str">
        <f ca="1">IFERROR(__xludf.DUMMYFUNCTION("""COMPUTED_VALUE"""),"")</f>
        <v/>
      </c>
      <c r="F1650" s="29"/>
      <c r="G1650" s="29"/>
      <c r="H1650" s="30" t="str">
        <f ca="1">IFERROR(__xludf.DUMMYFUNCTION("""COMPUTED_VALUE"""),"activo")</f>
        <v>activo</v>
      </c>
      <c r="I1650" s="29"/>
      <c r="J1650" s="29"/>
      <c r="K1650" s="29"/>
      <c r="L1650" s="30" t="str">
        <f ca="1">IFERROR(__xludf.DUMMYFUNCTION("""COMPUTED_VALUE"""),"No")</f>
        <v>No</v>
      </c>
      <c r="M1650" s="30" t="str">
        <f ca="1">IFERROR(__xludf.DUMMYFUNCTION("""COMPUTED_VALUE"""),"82084160000")</f>
        <v>82084160000</v>
      </c>
      <c r="N1650" s="30" t="str">
        <f ca="1">IFERROR(__xludf.DUMMYFUNCTION("""COMPUTED_VALUE"""),"GRANADERO BAIGORRIA")</f>
        <v>GRANADERO BAIGORRIA</v>
      </c>
      <c r="O1650" s="30" t="str">
        <f ca="1">IFERROR(__xludf.DUMMYFUNCTION("""COMPUTED_VALUE"""),"8284")</f>
        <v>8284</v>
      </c>
      <c r="P1650" s="30" t="str">
        <f ca="1">IFERROR(__xludf.DUMMYFUNCTION("""COMPUTED_VALUE"""),"ROSARIO")</f>
        <v>ROSARIO</v>
      </c>
      <c r="Q1650" s="30" t="str">
        <f ca="1">IFERROR(__xludf.DUMMYFUNCTION("""COMPUTED_VALUE"""),"-32.9459778")</f>
        <v>-32.9459778</v>
      </c>
      <c r="R1650" s="30" t="str">
        <f ca="1">IFERROR(__xludf.DUMMYFUNCTION("""COMPUTED_VALUE"""),"-60.6354399")</f>
        <v>-60.6354399</v>
      </c>
      <c r="S1650" s="30" t="str">
        <f ca="1">IFERROR(__xludf.DUMMYFUNCTION("""COMPUTED_VALUE"""),"Provincial")</f>
        <v>Provincial</v>
      </c>
      <c r="T1650" s="30" t="str">
        <f ca="1">IFERROR(__xludf.DUMMYFUNCTION("""COMPUTED_VALUE"""),"-")</f>
        <v>-</v>
      </c>
    </row>
    <row r="1651" spans="1:20" ht="15.75" customHeight="1" x14ac:dyDescent="0.25">
      <c r="A1651" s="30" t="str">
        <f ca="1">IFERROR(__xludf.DUMMYFUNCTION("""COMPUTED_VALUE"""),"50820772184668")</f>
        <v>50820772184668</v>
      </c>
      <c r="B1651" s="30" t="str">
        <f ca="1">IFERROR(__xludf.DUMMYFUNCTION("""COMPUTED_VALUE"""),"SAMCO GREGORIA PEREZ DE DENIS")</f>
        <v>SAMCO GREGORIA PEREZ DE DENIS</v>
      </c>
      <c r="C1651" s="30" t="str">
        <f ca="1">IFERROR(__xludf.DUMMYFUNCTION("""COMPUTED_VALUE"""),"Santa Fe")</f>
        <v>Santa Fe</v>
      </c>
      <c r="D1651" s="30" t="str">
        <f ca="1">IFERROR(__xludf.DUMMYFUNCTION("""COMPUTED_VALUE"""),"82")</f>
        <v>82</v>
      </c>
      <c r="E1651" s="30" t="str">
        <f ca="1">IFERROR(__xludf.DUMMYFUNCTION("""COMPUTED_VALUE"""),"")</f>
        <v/>
      </c>
      <c r="F1651" s="29"/>
      <c r="G1651" s="29"/>
      <c r="H1651" s="30" t="str">
        <f ca="1">IFERROR(__xludf.DUMMYFUNCTION("""COMPUTED_VALUE"""),"activo")</f>
        <v>activo</v>
      </c>
      <c r="I1651" s="29"/>
      <c r="J1651" s="29"/>
      <c r="K1651" s="29"/>
      <c r="L1651" s="30" t="str">
        <f ca="1">IFERROR(__xludf.DUMMYFUNCTION("""COMPUTED_VALUE"""),"No")</f>
        <v>No</v>
      </c>
      <c r="M1651" s="30" t="str">
        <f ca="1">IFERROR(__xludf.DUMMYFUNCTION("""COMPUTED_VALUE"""),"82077030000")</f>
        <v>82077030000</v>
      </c>
      <c r="N1651" s="30" t="str">
        <f ca="1">IFERROR(__xludf.DUMMYFUNCTION("""COMPUTED_VALUE"""),"GREGORIA PEREZ DE DENIS")</f>
        <v>GREGORIA PEREZ DE DENIS</v>
      </c>
      <c r="O1651" s="30" t="str">
        <f ca="1">IFERROR(__xludf.DUMMYFUNCTION("""COMPUTED_VALUE"""),"8277")</f>
        <v>8277</v>
      </c>
      <c r="P1651" s="30" t="str">
        <f ca="1">IFERROR(__xludf.DUMMYFUNCTION("""COMPUTED_VALUE"""),"9 DE JULIO")</f>
        <v>9 DE JULIO</v>
      </c>
      <c r="Q1651" s="30" t="str">
        <f ca="1">IFERROR(__xludf.DUMMYFUNCTION("""COMPUTED_VALUE"""),"-28.22839")</f>
        <v>-28.22839</v>
      </c>
      <c r="R1651" s="30" t="str">
        <f ca="1">IFERROR(__xludf.DUMMYFUNCTION("""COMPUTED_VALUE"""),"-61.52503")</f>
        <v>-61.52503</v>
      </c>
      <c r="S1651" s="30" t="str">
        <f ca="1">IFERROR(__xludf.DUMMYFUNCTION("""COMPUTED_VALUE"""),"Provincial")</f>
        <v>Provincial</v>
      </c>
      <c r="T1651" s="30" t="str">
        <f ca="1">IFERROR(__xludf.DUMMYFUNCTION("""COMPUTED_VALUE"""),"-")</f>
        <v>-</v>
      </c>
    </row>
    <row r="1652" spans="1:20" ht="15.75" customHeight="1" x14ac:dyDescent="0.25">
      <c r="A1652" s="30" t="str">
        <f ca="1">IFERROR(__xludf.DUMMYFUNCTION("""COMPUTED_VALUE"""),"10820212184167")</f>
        <v>10820212184167</v>
      </c>
      <c r="B1652" s="30" t="str">
        <f ca="1">IFERROR(__xludf.DUMMYFUNCTION("""COMPUTED_VALUE"""),"SAMCO HUMBERTO PRIMO")</f>
        <v>SAMCO HUMBERTO PRIMO</v>
      </c>
      <c r="C1652" s="30" t="str">
        <f ca="1">IFERROR(__xludf.DUMMYFUNCTION("""COMPUTED_VALUE"""),"Santa Fe")</f>
        <v>Santa Fe</v>
      </c>
      <c r="D1652" s="30" t="str">
        <f ca="1">IFERROR(__xludf.DUMMYFUNCTION("""COMPUTED_VALUE"""),"82")</f>
        <v>82</v>
      </c>
      <c r="E1652" s="30" t="str">
        <f ca="1">IFERROR(__xludf.DUMMYFUNCTION("""COMPUTED_VALUE"""),"")</f>
        <v/>
      </c>
      <c r="F1652" s="29"/>
      <c r="G1652" s="29"/>
      <c r="H1652" s="30" t="str">
        <f ca="1">IFERROR(__xludf.DUMMYFUNCTION("""COMPUTED_VALUE"""),"activo")</f>
        <v>activo</v>
      </c>
      <c r="I1652" s="29"/>
      <c r="J1652" s="29"/>
      <c r="K1652" s="29"/>
      <c r="L1652" s="30" t="str">
        <f ca="1">IFERROR(__xludf.DUMMYFUNCTION("""COMPUTED_VALUE"""),"No")</f>
        <v>No</v>
      </c>
      <c r="M1652" s="30" t="str">
        <f ca="1">IFERROR(__xludf.DUMMYFUNCTION("""COMPUTED_VALUE"""),"82021220000")</f>
        <v>82021220000</v>
      </c>
      <c r="N1652" s="30" t="str">
        <f ca="1">IFERROR(__xludf.DUMMYFUNCTION("""COMPUTED_VALUE"""),"HUMBERTO PRIMO")</f>
        <v>HUMBERTO PRIMO</v>
      </c>
      <c r="O1652" s="30" t="str">
        <f ca="1">IFERROR(__xludf.DUMMYFUNCTION("""COMPUTED_VALUE"""),"8221")</f>
        <v>8221</v>
      </c>
      <c r="P1652" s="30" t="str">
        <f ca="1">IFERROR(__xludf.DUMMYFUNCTION("""COMPUTED_VALUE"""),"CASTELLANOS")</f>
        <v>CASTELLANOS</v>
      </c>
      <c r="Q1652" s="30" t="str">
        <f ca="1">IFERROR(__xludf.DUMMYFUNCTION("""COMPUTED_VALUE"""),"-30.8645839")</f>
        <v>-30.8645839</v>
      </c>
      <c r="R1652" s="30" t="str">
        <f ca="1">IFERROR(__xludf.DUMMYFUNCTION("""COMPUTED_VALUE"""),"-61.35108948")</f>
        <v>-61.35108948</v>
      </c>
      <c r="S1652" s="30" t="str">
        <f ca="1">IFERROR(__xludf.DUMMYFUNCTION("""COMPUTED_VALUE"""),"Provincial")</f>
        <v>Provincial</v>
      </c>
      <c r="T1652" s="30" t="str">
        <f ca="1">IFERROR(__xludf.DUMMYFUNCTION("""COMPUTED_VALUE"""),"-")</f>
        <v>-</v>
      </c>
    </row>
    <row r="1653" spans="1:20" ht="15.75" customHeight="1" x14ac:dyDescent="0.25">
      <c r="A1653" s="30" t="str">
        <f ca="1">IFERROR(__xludf.DUMMYFUNCTION("""COMPUTED_VALUE"""),"50820632184759")</f>
        <v>50820632184759</v>
      </c>
      <c r="B1653" s="30" t="str">
        <f ca="1">IFERROR(__xludf.DUMMYFUNCTION("""COMPUTED_VALUE"""),"CENTRO DE SALUD LA GUARDIA")</f>
        <v>CENTRO DE SALUD LA GUARDIA</v>
      </c>
      <c r="C1653" s="30" t="str">
        <f ca="1">IFERROR(__xludf.DUMMYFUNCTION("""COMPUTED_VALUE"""),"Santa Fe")</f>
        <v>Santa Fe</v>
      </c>
      <c r="D1653" s="30" t="str">
        <f ca="1">IFERROR(__xludf.DUMMYFUNCTION("""COMPUTED_VALUE"""),"82")</f>
        <v>82</v>
      </c>
      <c r="E1653" s="30" t="str">
        <f ca="1">IFERROR(__xludf.DUMMYFUNCTION("""COMPUTED_VALUE"""),"")</f>
        <v/>
      </c>
      <c r="F1653" s="29"/>
      <c r="G1653" s="29"/>
      <c r="H1653" s="30" t="str">
        <f ca="1">IFERROR(__xludf.DUMMYFUNCTION("""COMPUTED_VALUE"""),"activo")</f>
        <v>activo</v>
      </c>
      <c r="I1653" s="29"/>
      <c r="J1653" s="29"/>
      <c r="K1653" s="29"/>
      <c r="L1653" s="30" t="str">
        <f ca="1">IFERROR(__xludf.DUMMYFUNCTION("""COMPUTED_VALUE"""),"No")</f>
        <v>No</v>
      </c>
      <c r="M1653" s="30" t="str">
        <f ca="1">IFERROR(__xludf.DUMMYFUNCTION("""COMPUTED_VALUE"""),"82063220")</f>
        <v>82063220</v>
      </c>
      <c r="N1653" s="30" t="str">
        <f ca="1">IFERROR(__xludf.DUMMYFUNCTION("""COMPUTED_VALUE"""),"LA GUARDIA")</f>
        <v>LA GUARDIA</v>
      </c>
      <c r="O1653" s="30" t="str">
        <f ca="1">IFERROR(__xludf.DUMMYFUNCTION("""COMPUTED_VALUE"""),"8263")</f>
        <v>8263</v>
      </c>
      <c r="P1653" s="30" t="str">
        <f ca="1">IFERROR(__xludf.DUMMYFUNCTION("""COMPUTED_VALUE"""),"LA CAPITAL")</f>
        <v>LA CAPITAL</v>
      </c>
      <c r="Q1653" s="30" t="str">
        <f ca="1">IFERROR(__xludf.DUMMYFUNCTION("""COMPUTED_VALUE"""),"-31.63828333")</f>
        <v>-31.63828333</v>
      </c>
      <c r="R1653" s="30" t="str">
        <f ca="1">IFERROR(__xludf.DUMMYFUNCTION("""COMPUTED_VALUE"""),"-60.6263")</f>
        <v>-60.6263</v>
      </c>
      <c r="S1653" s="30" t="str">
        <f ca="1">IFERROR(__xludf.DUMMYFUNCTION("""COMPUTED_VALUE"""),"Provincial")</f>
        <v>Provincial</v>
      </c>
      <c r="T1653" s="30" t="str">
        <f ca="1">IFERROR(__xludf.DUMMYFUNCTION("""COMPUTED_VALUE"""),"-")</f>
        <v>-</v>
      </c>
    </row>
    <row r="1654" spans="1:20" ht="15.75" customHeight="1" x14ac:dyDescent="0.25">
      <c r="A1654" s="30" t="str">
        <f ca="1">IFERROR(__xludf.DUMMYFUNCTION("""COMPUTED_VALUE"""),"10820632184173")</f>
        <v>10820632184173</v>
      </c>
      <c r="B1654" s="30" t="str">
        <f ca="1">IFERROR(__xludf.DUMMYFUNCTION("""COMPUTED_VALUE"""),"SAMCO LAGUNA PAIVA")</f>
        <v>SAMCO LAGUNA PAIVA</v>
      </c>
      <c r="C1654" s="30" t="str">
        <f ca="1">IFERROR(__xludf.DUMMYFUNCTION("""COMPUTED_VALUE"""),"Santa Fe")</f>
        <v>Santa Fe</v>
      </c>
      <c r="D1654" s="30" t="str">
        <f ca="1">IFERROR(__xludf.DUMMYFUNCTION("""COMPUTED_VALUE"""),"82")</f>
        <v>82</v>
      </c>
      <c r="E1654" s="30" t="str">
        <f ca="1">IFERROR(__xludf.DUMMYFUNCTION("""COMPUTED_VALUE"""),"")</f>
        <v/>
      </c>
      <c r="F1654" s="29"/>
      <c r="G1654" s="29"/>
      <c r="H1654" s="30" t="str">
        <f ca="1">IFERROR(__xludf.DUMMYFUNCTION("""COMPUTED_VALUE"""),"activo")</f>
        <v>activo</v>
      </c>
      <c r="I1654" s="29"/>
      <c r="J1654" s="29"/>
      <c r="K1654" s="29"/>
      <c r="L1654" s="30" t="str">
        <f ca="1">IFERROR(__xludf.DUMMYFUNCTION("""COMPUTED_VALUE"""),"No")</f>
        <v>No</v>
      </c>
      <c r="M1654" s="30" t="str">
        <f ca="1">IFERROR(__xludf.DUMMYFUNCTION("""COMPUTED_VALUE"""),"82063080000")</f>
        <v>82063080000</v>
      </c>
      <c r="N1654" s="30" t="str">
        <f ca="1">IFERROR(__xludf.DUMMYFUNCTION("""COMPUTED_VALUE"""),"LAGUNA PAIVA")</f>
        <v>LAGUNA PAIVA</v>
      </c>
      <c r="O1654" s="30" t="str">
        <f ca="1">IFERROR(__xludf.DUMMYFUNCTION("""COMPUTED_VALUE"""),"8263")</f>
        <v>8263</v>
      </c>
      <c r="P1654" s="30" t="str">
        <f ca="1">IFERROR(__xludf.DUMMYFUNCTION("""COMPUTED_VALUE"""),"LA CAPITAL")</f>
        <v>LA CAPITAL</v>
      </c>
      <c r="Q1654" s="30" t="str">
        <f ca="1">IFERROR(__xludf.DUMMYFUNCTION("""COMPUTED_VALUE"""),"-31.31037718")</f>
        <v>-31.31037718</v>
      </c>
      <c r="R1654" s="30" t="str">
        <f ca="1">IFERROR(__xludf.DUMMYFUNCTION("""COMPUTED_VALUE"""),"-60.66274881")</f>
        <v>-60.66274881</v>
      </c>
      <c r="S1654" s="30" t="str">
        <f ca="1">IFERROR(__xludf.DUMMYFUNCTION("""COMPUTED_VALUE"""),"Provincial")</f>
        <v>Provincial</v>
      </c>
      <c r="T1654" s="30" t="str">
        <f ca="1">IFERROR(__xludf.DUMMYFUNCTION("""COMPUTED_VALUE"""),"-")</f>
        <v>-</v>
      </c>
    </row>
    <row r="1655" spans="1:20" ht="15.75" customHeight="1" x14ac:dyDescent="0.25">
      <c r="A1655" s="30" t="str">
        <f ca="1">IFERROR(__xludf.DUMMYFUNCTION("""COMPUTED_VALUE"""),"10820492184174")</f>
        <v>10820492184174</v>
      </c>
      <c r="B1655" s="30" t="str">
        <f ca="1">IFERROR(__xludf.DUMMYFUNCTION("""COMPUTED_VALUE"""),"SAMCO LANTERI")</f>
        <v>SAMCO LANTERI</v>
      </c>
      <c r="C1655" s="30" t="str">
        <f ca="1">IFERROR(__xludf.DUMMYFUNCTION("""COMPUTED_VALUE"""),"Santa Fe")</f>
        <v>Santa Fe</v>
      </c>
      <c r="D1655" s="30" t="str">
        <f ca="1">IFERROR(__xludf.DUMMYFUNCTION("""COMPUTED_VALUE"""),"82")</f>
        <v>82</v>
      </c>
      <c r="E1655" s="30" t="str">
        <f ca="1">IFERROR(__xludf.DUMMYFUNCTION("""COMPUTED_VALUE"""),"")</f>
        <v/>
      </c>
      <c r="F1655" s="29"/>
      <c r="G1655" s="29"/>
      <c r="H1655" s="30" t="str">
        <f ca="1">IFERROR(__xludf.DUMMYFUNCTION("""COMPUTED_VALUE"""),"activo")</f>
        <v>activo</v>
      </c>
      <c r="I1655" s="29"/>
      <c r="J1655" s="29"/>
      <c r="K1655" s="29"/>
      <c r="L1655" s="30" t="str">
        <f ca="1">IFERROR(__xludf.DUMMYFUNCTION("""COMPUTED_VALUE"""),"No")</f>
        <v>No</v>
      </c>
      <c r="M1655" s="30" t="str">
        <f ca="1">IFERROR(__xludf.DUMMYFUNCTION("""COMPUTED_VALUE"""),"82049110000")</f>
        <v>82049110000</v>
      </c>
      <c r="N1655" s="30" t="str">
        <f ca="1">IFERROR(__xludf.DUMMYFUNCTION("""COMPUTED_VALUE"""),"LANTERI")</f>
        <v>LANTERI</v>
      </c>
      <c r="O1655" s="30" t="str">
        <f ca="1">IFERROR(__xludf.DUMMYFUNCTION("""COMPUTED_VALUE"""),"8249")</f>
        <v>8249</v>
      </c>
      <c r="P1655" s="30" t="str">
        <f ca="1">IFERROR(__xludf.DUMMYFUNCTION("""COMPUTED_VALUE"""),"GENERAL OBLIGADO")</f>
        <v>GENERAL OBLIGADO</v>
      </c>
      <c r="Q1655" s="30" t="str">
        <f ca="1">IFERROR(__xludf.DUMMYFUNCTION("""COMPUTED_VALUE"""),"-28.841508")</f>
        <v>-28.841508</v>
      </c>
      <c r="R1655" s="30" t="str">
        <f ca="1">IFERROR(__xludf.DUMMYFUNCTION("""COMPUTED_VALUE"""),"-59.640388")</f>
        <v>-59.640388</v>
      </c>
      <c r="S1655" s="30" t="str">
        <f ca="1">IFERROR(__xludf.DUMMYFUNCTION("""COMPUTED_VALUE"""),"Provincial")</f>
        <v>Provincial</v>
      </c>
      <c r="T1655" s="30" t="str">
        <f ca="1">IFERROR(__xludf.DUMMYFUNCTION("""COMPUTED_VALUE"""),"-")</f>
        <v>-</v>
      </c>
    </row>
    <row r="1656" spans="1:20" ht="15.75" customHeight="1" x14ac:dyDescent="0.25">
      <c r="A1656" s="30" t="str">
        <f ca="1">IFERROR(__xludf.DUMMYFUNCTION("""COMPUTED_VALUE"""),"10820282184185")</f>
        <v>10820282184185</v>
      </c>
      <c r="B1656" s="30" t="str">
        <f ca="1">IFERROR(__xludf.DUMMYFUNCTION("""COMPUTED_VALUE"""),"SAMCO MAXIMO PAZ")</f>
        <v>SAMCO MAXIMO PAZ</v>
      </c>
      <c r="C1656" s="30" t="str">
        <f ca="1">IFERROR(__xludf.DUMMYFUNCTION("""COMPUTED_VALUE"""),"Santa Fe")</f>
        <v>Santa Fe</v>
      </c>
      <c r="D1656" s="30" t="str">
        <f ca="1">IFERROR(__xludf.DUMMYFUNCTION("""COMPUTED_VALUE"""),"82")</f>
        <v>82</v>
      </c>
      <c r="E1656" s="30" t="str">
        <f ca="1">IFERROR(__xludf.DUMMYFUNCTION("""COMPUTED_VALUE"""),"")</f>
        <v/>
      </c>
      <c r="F1656" s="29"/>
      <c r="G1656" s="29"/>
      <c r="H1656" s="30" t="str">
        <f ca="1">IFERROR(__xludf.DUMMYFUNCTION("""COMPUTED_VALUE"""),"activo")</f>
        <v>activo</v>
      </c>
      <c r="I1656" s="29"/>
      <c r="J1656" s="29"/>
      <c r="K1656" s="29"/>
      <c r="L1656" s="30" t="str">
        <f ca="1">IFERROR(__xludf.DUMMYFUNCTION("""COMPUTED_VALUE"""),"No")</f>
        <v>No</v>
      </c>
      <c r="M1656" s="30" t="str">
        <f ca="1">IFERROR(__xludf.DUMMYFUNCTION("""COMPUTED_VALUE"""),"82028140000")</f>
        <v>82028140000</v>
      </c>
      <c r="N1656" s="30" t="str">
        <f ca="1">IFERROR(__xludf.DUMMYFUNCTION("""COMPUTED_VALUE"""),"MAXIMO PAZ")</f>
        <v>MAXIMO PAZ</v>
      </c>
      <c r="O1656" s="30" t="str">
        <f ca="1">IFERROR(__xludf.DUMMYFUNCTION("""COMPUTED_VALUE"""),"8228")</f>
        <v>8228</v>
      </c>
      <c r="P1656" s="30" t="str">
        <f ca="1">IFERROR(__xludf.DUMMYFUNCTION("""COMPUTED_VALUE"""),"CONSTITUCIÓN")</f>
        <v>CONSTITUCIÓN</v>
      </c>
      <c r="Q1656" s="30" t="str">
        <f ca="1">IFERROR(__xludf.DUMMYFUNCTION("""COMPUTED_VALUE"""),"-33.48134387")</f>
        <v>-33.48134387</v>
      </c>
      <c r="R1656" s="30" t="str">
        <f ca="1">IFERROR(__xludf.DUMMYFUNCTION("""COMPUTED_VALUE"""),"-60.95146179")</f>
        <v>-60.95146179</v>
      </c>
      <c r="S1656" s="30" t="str">
        <f ca="1">IFERROR(__xludf.DUMMYFUNCTION("""COMPUTED_VALUE"""),"Provincial")</f>
        <v>Provincial</v>
      </c>
      <c r="T1656" s="30" t="str">
        <f ca="1">IFERROR(__xludf.DUMMYFUNCTION("""COMPUTED_VALUE"""),"-")</f>
        <v>-</v>
      </c>
    </row>
    <row r="1657" spans="1:20" ht="15.75" customHeight="1" x14ac:dyDescent="0.25">
      <c r="A1657" s="30" t="str">
        <f ca="1">IFERROR(__xludf.DUMMYFUNCTION("""COMPUTED_VALUE"""),"50820422184812")</f>
        <v>50820422184812</v>
      </c>
      <c r="B1657" s="30" t="str">
        <f ca="1">IFERROR(__xludf.DUMMYFUNCTION("""COMPUTED_VALUE"""),"CENTRO DE SALUD MELINCUE")</f>
        <v>CENTRO DE SALUD MELINCUE</v>
      </c>
      <c r="C1657" s="30" t="str">
        <f ca="1">IFERROR(__xludf.DUMMYFUNCTION("""COMPUTED_VALUE"""),"Santa Fe")</f>
        <v>Santa Fe</v>
      </c>
      <c r="D1657" s="30" t="str">
        <f ca="1">IFERROR(__xludf.DUMMYFUNCTION("""COMPUTED_VALUE"""),"82")</f>
        <v>82</v>
      </c>
      <c r="E1657" s="30" t="str">
        <f ca="1">IFERROR(__xludf.DUMMYFUNCTION("""COMPUTED_VALUE"""),"")</f>
        <v/>
      </c>
      <c r="F1657" s="29"/>
      <c r="G1657" s="29"/>
      <c r="H1657" s="30" t="str">
        <f ca="1">IFERROR(__xludf.DUMMYFUNCTION("""COMPUTED_VALUE"""),"activo")</f>
        <v>activo</v>
      </c>
      <c r="I1657" s="29"/>
      <c r="J1657" s="29"/>
      <c r="K1657" s="29"/>
      <c r="L1657" s="30" t="str">
        <f ca="1">IFERROR(__xludf.DUMMYFUNCTION("""COMPUTED_VALUE"""),"No")</f>
        <v>No</v>
      </c>
      <c r="M1657" s="30" t="str">
        <f ca="1">IFERROR(__xludf.DUMMYFUNCTION("""COMPUTED_VALUE"""),"82042190000")</f>
        <v>82042190000</v>
      </c>
      <c r="N1657" s="30" t="str">
        <f ca="1">IFERROR(__xludf.DUMMYFUNCTION("""COMPUTED_VALUE"""),"MELINCUE")</f>
        <v>MELINCUE</v>
      </c>
      <c r="O1657" s="30" t="str">
        <f ca="1">IFERROR(__xludf.DUMMYFUNCTION("""COMPUTED_VALUE"""),"8242")</f>
        <v>8242</v>
      </c>
      <c r="P1657" s="30" t="str">
        <f ca="1">IFERROR(__xludf.DUMMYFUNCTION("""COMPUTED_VALUE"""),"GENERAL LÓPEZ")</f>
        <v>GENERAL LÓPEZ</v>
      </c>
      <c r="Q1657" s="30" t="str">
        <f ca="1">IFERROR(__xludf.DUMMYFUNCTION("""COMPUTED_VALUE"""),"-33.65711649")</f>
        <v>-33.65711649</v>
      </c>
      <c r="R1657" s="30" t="str">
        <f ca="1">IFERROR(__xludf.DUMMYFUNCTION("""COMPUTED_VALUE"""),"-61.45380735")</f>
        <v>-61.45380735</v>
      </c>
      <c r="S1657" s="30" t="str">
        <f ca="1">IFERROR(__xludf.DUMMYFUNCTION("""COMPUTED_VALUE"""),"Provincial")</f>
        <v>Provincial</v>
      </c>
      <c r="T1657" s="30" t="str">
        <f ca="1">IFERROR(__xludf.DUMMYFUNCTION("""COMPUTED_VALUE"""),"-")</f>
        <v>-</v>
      </c>
    </row>
    <row r="1658" spans="1:20" ht="15.75" customHeight="1" x14ac:dyDescent="0.25">
      <c r="A1658" s="30" t="str">
        <f ca="1">IFERROR(__xludf.DUMMYFUNCTION("""COMPUTED_VALUE"""),"50820632184816")</f>
        <v>50820632184816</v>
      </c>
      <c r="B1658" s="30" t="str">
        <f ca="1">IFERROR(__xludf.DUMMYFUNCTION("""COMPUTED_VALUE"""),"CENTRO DE SALUD MONTE VERA")</f>
        <v>CENTRO DE SALUD MONTE VERA</v>
      </c>
      <c r="C1658" s="30" t="str">
        <f ca="1">IFERROR(__xludf.DUMMYFUNCTION("""COMPUTED_VALUE"""),"Santa Fe")</f>
        <v>Santa Fe</v>
      </c>
      <c r="D1658" s="30" t="str">
        <f ca="1">IFERROR(__xludf.DUMMYFUNCTION("""COMPUTED_VALUE"""),"82")</f>
        <v>82</v>
      </c>
      <c r="E1658" s="30" t="str">
        <f ca="1">IFERROR(__xludf.DUMMYFUNCTION("""COMPUTED_VALUE"""),"")</f>
        <v/>
      </c>
      <c r="F1658" s="29"/>
      <c r="G1658" s="29"/>
      <c r="H1658" s="30" t="str">
        <f ca="1">IFERROR(__xludf.DUMMYFUNCTION("""COMPUTED_VALUE"""),"activo")</f>
        <v>activo</v>
      </c>
      <c r="I1658" s="29"/>
      <c r="J1658" s="29"/>
      <c r="K1658" s="29"/>
      <c r="L1658" s="30" t="str">
        <f ca="1">IFERROR(__xludf.DUMMYFUNCTION("""COMPUTED_VALUE"""),"No")</f>
        <v>No</v>
      </c>
      <c r="M1658" s="30" t="str">
        <f ca="1">IFERROR(__xludf.DUMMYFUNCTION("""COMPUTED_VALUE"""),"82063100000")</f>
        <v>82063100000</v>
      </c>
      <c r="N1658" s="30" t="str">
        <f ca="1">IFERROR(__xludf.DUMMYFUNCTION("""COMPUTED_VALUE"""),"MONTE VERA")</f>
        <v>MONTE VERA</v>
      </c>
      <c r="O1658" s="30" t="str">
        <f ca="1">IFERROR(__xludf.DUMMYFUNCTION("""COMPUTED_VALUE"""),"8263")</f>
        <v>8263</v>
      </c>
      <c r="P1658" s="30" t="str">
        <f ca="1">IFERROR(__xludf.DUMMYFUNCTION("""COMPUTED_VALUE"""),"LA CAPITAL")</f>
        <v>LA CAPITAL</v>
      </c>
      <c r="Q1658" s="30" t="str">
        <f ca="1">IFERROR(__xludf.DUMMYFUNCTION("""COMPUTED_VALUE"""),"-31.518534")</f>
        <v>-31.518534</v>
      </c>
      <c r="R1658" s="30" t="str">
        <f ca="1">IFERROR(__xludf.DUMMYFUNCTION("""COMPUTED_VALUE"""),"-60.679277")</f>
        <v>-60.679277</v>
      </c>
      <c r="S1658" s="30" t="str">
        <f ca="1">IFERROR(__xludf.DUMMYFUNCTION("""COMPUTED_VALUE"""),"Provincial")</f>
        <v>Provincial</v>
      </c>
      <c r="T1658" s="30" t="str">
        <f ca="1">IFERROR(__xludf.DUMMYFUNCTION("""COMPUTED_VALUE"""),"-")</f>
        <v>-</v>
      </c>
    </row>
    <row r="1659" spans="1:20" ht="15.75" customHeight="1" x14ac:dyDescent="0.25">
      <c r="A1659" s="30" t="str">
        <f ca="1">IFERROR(__xludf.DUMMYFUNCTION("""COMPUTED_VALUE"""),"50820632184821")</f>
        <v>50820632184821</v>
      </c>
      <c r="B1659" s="30" t="str">
        <f ca="1">IFERROR(__xludf.DUMMYFUNCTION("""COMPUTED_VALUE"""),"SAMCO NELSON")</f>
        <v>SAMCO NELSON</v>
      </c>
      <c r="C1659" s="30" t="str">
        <f ca="1">IFERROR(__xludf.DUMMYFUNCTION("""COMPUTED_VALUE"""),"Santa Fe")</f>
        <v>Santa Fe</v>
      </c>
      <c r="D1659" s="30" t="str">
        <f ca="1">IFERROR(__xludf.DUMMYFUNCTION("""COMPUTED_VALUE"""),"82")</f>
        <v>82</v>
      </c>
      <c r="E1659" s="30" t="str">
        <f ca="1">IFERROR(__xludf.DUMMYFUNCTION("""COMPUTED_VALUE"""),"")</f>
        <v/>
      </c>
      <c r="F1659" s="29"/>
      <c r="G1659" s="29"/>
      <c r="H1659" s="30" t="str">
        <f ca="1">IFERROR(__xludf.DUMMYFUNCTION("""COMPUTED_VALUE"""),"activo")</f>
        <v>activo</v>
      </c>
      <c r="I1659" s="29"/>
      <c r="J1659" s="29"/>
      <c r="K1659" s="29"/>
      <c r="L1659" s="30" t="str">
        <f ca="1">IFERROR(__xludf.DUMMYFUNCTION("""COMPUTED_VALUE"""),"No")</f>
        <v>No</v>
      </c>
      <c r="M1659" s="30" t="str">
        <f ca="1">IFERROR(__xludf.DUMMYFUNCTION("""COMPUTED_VALUE"""),"82063110000")</f>
        <v>82063110000</v>
      </c>
      <c r="N1659" s="30" t="str">
        <f ca="1">IFERROR(__xludf.DUMMYFUNCTION("""COMPUTED_VALUE"""),"NELSON")</f>
        <v>NELSON</v>
      </c>
      <c r="O1659" s="30" t="str">
        <f ca="1">IFERROR(__xludf.DUMMYFUNCTION("""COMPUTED_VALUE"""),"8263")</f>
        <v>8263</v>
      </c>
      <c r="P1659" s="30" t="str">
        <f ca="1">IFERROR(__xludf.DUMMYFUNCTION("""COMPUTED_VALUE"""),"LA CAPITAL")</f>
        <v>LA CAPITAL</v>
      </c>
      <c r="Q1659" s="30" t="str">
        <f ca="1">IFERROR(__xludf.DUMMYFUNCTION("""COMPUTED_VALUE"""),"-31.6650085")</f>
        <v>-31.6650085</v>
      </c>
      <c r="R1659" s="30" t="str">
        <f ca="1">IFERROR(__xludf.DUMMYFUNCTION("""COMPUTED_VALUE"""),"-60.757413")</f>
        <v>-60.757413</v>
      </c>
      <c r="S1659" s="30" t="str">
        <f ca="1">IFERROR(__xludf.DUMMYFUNCTION("""COMPUTED_VALUE"""),"Provincial")</f>
        <v>Provincial</v>
      </c>
      <c r="T1659" s="30" t="str">
        <f ca="1">IFERROR(__xludf.DUMMYFUNCTION("""COMPUTED_VALUE"""),"-")</f>
        <v>-</v>
      </c>
    </row>
    <row r="1660" spans="1:20" ht="15.75" customHeight="1" x14ac:dyDescent="0.25">
      <c r="A1660" s="30" t="str">
        <f ca="1">IFERROR(__xludf.DUMMYFUNCTION("""COMPUTED_VALUE"""),"50820562184879")</f>
        <v>50820562184879</v>
      </c>
      <c r="B1660" s="30" t="str">
        <f ca="1">IFERROR(__xludf.DUMMYFUNCTION("""COMPUTED_VALUE"""),"SAMCO OLIVEROS DR. ERNESTO DIAZ")</f>
        <v>SAMCO OLIVEROS DR. ERNESTO DIAZ</v>
      </c>
      <c r="C1660" s="30" t="str">
        <f ca="1">IFERROR(__xludf.DUMMYFUNCTION("""COMPUTED_VALUE"""),"Santa Fe")</f>
        <v>Santa Fe</v>
      </c>
      <c r="D1660" s="30" t="str">
        <f ca="1">IFERROR(__xludf.DUMMYFUNCTION("""COMPUTED_VALUE"""),"82")</f>
        <v>82</v>
      </c>
      <c r="E1660" s="30" t="str">
        <f ca="1">IFERROR(__xludf.DUMMYFUNCTION("""COMPUTED_VALUE"""),"")</f>
        <v/>
      </c>
      <c r="F1660" s="29"/>
      <c r="G1660" s="29"/>
      <c r="H1660" s="30" t="str">
        <f ca="1">IFERROR(__xludf.DUMMYFUNCTION("""COMPUTED_VALUE"""),"activo")</f>
        <v>activo</v>
      </c>
      <c r="I1660" s="29"/>
      <c r="J1660" s="29"/>
      <c r="K1660" s="29"/>
      <c r="L1660" s="30" t="str">
        <f ca="1">IFERROR(__xludf.DUMMYFUNCTION("""COMPUTED_VALUE"""),"No")</f>
        <v>No</v>
      </c>
      <c r="M1660" s="30" t="str">
        <f ca="1">IFERROR(__xludf.DUMMYFUNCTION("""COMPUTED_VALUE"""),"82056100000")</f>
        <v>82056100000</v>
      </c>
      <c r="N1660" s="30" t="str">
        <f ca="1">IFERROR(__xludf.DUMMYFUNCTION("""COMPUTED_VALUE"""),"OLIVEROS")</f>
        <v>OLIVEROS</v>
      </c>
      <c r="O1660" s="30" t="str">
        <f ca="1">IFERROR(__xludf.DUMMYFUNCTION("""COMPUTED_VALUE"""),"8256")</f>
        <v>8256</v>
      </c>
      <c r="P1660" s="30" t="str">
        <f ca="1">IFERROR(__xludf.DUMMYFUNCTION("""COMPUTED_VALUE"""),"IRIONDO")</f>
        <v>IRIONDO</v>
      </c>
      <c r="Q1660" s="30" t="str">
        <f ca="1">IFERROR(__xludf.DUMMYFUNCTION("""COMPUTED_VALUE"""),"-32.57459172")</f>
        <v>-32.57459172</v>
      </c>
      <c r="R1660" s="30" t="str">
        <f ca="1">IFERROR(__xludf.DUMMYFUNCTION("""COMPUTED_VALUE"""),"-60.84915161")</f>
        <v>-60.84915161</v>
      </c>
      <c r="S1660" s="30" t="str">
        <f ca="1">IFERROR(__xludf.DUMMYFUNCTION("""COMPUTED_VALUE"""),"Provincial")</f>
        <v>Provincial</v>
      </c>
      <c r="T1660" s="30" t="str">
        <f ca="1">IFERROR(__xludf.DUMMYFUNCTION("""COMPUTED_VALUE"""),"-")</f>
        <v>-</v>
      </c>
    </row>
    <row r="1661" spans="1:20" ht="15.75" customHeight="1" x14ac:dyDescent="0.25">
      <c r="A1661" s="30" t="str">
        <f ca="1">IFERROR(__xludf.DUMMYFUNCTION("""COMPUTED_VALUE"""),"50820842284646")</f>
        <v>50820842284646</v>
      </c>
      <c r="B1661" s="30" t="str">
        <f ca="1">IFERROR(__xludf.DUMMYFUNCTION("""COMPUTED_VALUE"""),"CENTRO DE SALUD DR. ROQUE PEREZ")</f>
        <v>CENTRO DE SALUD DR. ROQUE PEREZ</v>
      </c>
      <c r="C1661" s="30" t="str">
        <f ca="1">IFERROR(__xludf.DUMMYFUNCTION("""COMPUTED_VALUE"""),"Santa Fe")</f>
        <v>Santa Fe</v>
      </c>
      <c r="D1661" s="30" t="str">
        <f ca="1">IFERROR(__xludf.DUMMYFUNCTION("""COMPUTED_VALUE"""),"82")</f>
        <v>82</v>
      </c>
      <c r="E1661" s="30" t="str">
        <f ca="1">IFERROR(__xludf.DUMMYFUNCTION("""COMPUTED_VALUE"""),"")</f>
        <v/>
      </c>
      <c r="F1661" s="29"/>
      <c r="G1661" s="29"/>
      <c r="H1661" s="30" t="str">
        <f ca="1">IFERROR(__xludf.DUMMYFUNCTION("""COMPUTED_VALUE"""),"activo")</f>
        <v>activo</v>
      </c>
      <c r="I1661" s="29"/>
      <c r="J1661" s="29"/>
      <c r="K1661" s="29"/>
      <c r="L1661" s="30" t="str">
        <f ca="1">IFERROR(__xludf.DUMMYFUNCTION("""COMPUTED_VALUE"""),"No")</f>
        <v>No</v>
      </c>
      <c r="M1661" s="30" t="str">
        <f ca="1">IFERROR(__xludf.DUMMYFUNCTION("""COMPUTED_VALUE"""),"82084210000")</f>
        <v>82084210000</v>
      </c>
      <c r="N1661" s="30" t="str">
        <f ca="1">IFERROR(__xludf.DUMMYFUNCTION("""COMPUTED_VALUE"""),"PEREZ")</f>
        <v>PEREZ</v>
      </c>
      <c r="O1661" s="30" t="str">
        <f ca="1">IFERROR(__xludf.DUMMYFUNCTION("""COMPUTED_VALUE"""),"8284")</f>
        <v>8284</v>
      </c>
      <c r="P1661" s="30" t="str">
        <f ca="1">IFERROR(__xludf.DUMMYFUNCTION("""COMPUTED_VALUE"""),"ROSARIO")</f>
        <v>ROSARIO</v>
      </c>
      <c r="Q1661" s="30" t="str">
        <f ca="1">IFERROR(__xludf.DUMMYFUNCTION("""COMPUTED_VALUE"""),"-32.99685123")</f>
        <v>-32.99685123</v>
      </c>
      <c r="R1661" s="30" t="str">
        <f ca="1">IFERROR(__xludf.DUMMYFUNCTION("""COMPUTED_VALUE"""),"-60.76624185")</f>
        <v>-60.76624185</v>
      </c>
      <c r="S1661" s="30" t="str">
        <f ca="1">IFERROR(__xludf.DUMMYFUNCTION("""COMPUTED_VALUE"""),"Municipal")</f>
        <v>Municipal</v>
      </c>
      <c r="T1661" s="29"/>
    </row>
    <row r="1662" spans="1:20" ht="15.75" customHeight="1" x14ac:dyDescent="0.25">
      <c r="A1662" s="30" t="str">
        <f ca="1">IFERROR(__xludf.DUMMYFUNCTION("""COMPUTED_VALUE"""),"50820842184843")</f>
        <v>50820842184843</v>
      </c>
      <c r="B1662" s="30" t="str">
        <f ca="1">IFERROR(__xludf.DUMMYFUNCTION("""COMPUTED_VALUE"""),"CENTRO DE SALUD N° 21 CABIN 9")</f>
        <v>CENTRO DE SALUD N° 21 CABIN 9</v>
      </c>
      <c r="C1662" s="30" t="str">
        <f ca="1">IFERROR(__xludf.DUMMYFUNCTION("""COMPUTED_VALUE"""),"Santa Fe")</f>
        <v>Santa Fe</v>
      </c>
      <c r="D1662" s="30" t="str">
        <f ca="1">IFERROR(__xludf.DUMMYFUNCTION("""COMPUTED_VALUE"""),"82")</f>
        <v>82</v>
      </c>
      <c r="E1662" s="30" t="str">
        <f ca="1">IFERROR(__xludf.DUMMYFUNCTION("""COMPUTED_VALUE"""),"")</f>
        <v/>
      </c>
      <c r="F1662" s="29"/>
      <c r="G1662" s="29"/>
      <c r="H1662" s="30" t="str">
        <f ca="1">IFERROR(__xludf.DUMMYFUNCTION("""COMPUTED_VALUE"""),"activo")</f>
        <v>activo</v>
      </c>
      <c r="I1662" s="29"/>
      <c r="J1662" s="29"/>
      <c r="K1662" s="29"/>
      <c r="L1662" s="30" t="str">
        <f ca="1">IFERROR(__xludf.DUMMYFUNCTION("""COMPUTED_VALUE"""),"No")</f>
        <v>No</v>
      </c>
      <c r="M1662" s="30" t="str">
        <f ca="1">IFERROR(__xludf.DUMMYFUNCTION("""COMPUTED_VALUE"""),"82084210000")</f>
        <v>82084210000</v>
      </c>
      <c r="N1662" s="30" t="str">
        <f ca="1">IFERROR(__xludf.DUMMYFUNCTION("""COMPUTED_VALUE"""),"PEREZ")</f>
        <v>PEREZ</v>
      </c>
      <c r="O1662" s="30" t="str">
        <f ca="1">IFERROR(__xludf.DUMMYFUNCTION("""COMPUTED_VALUE"""),"8284")</f>
        <v>8284</v>
      </c>
      <c r="P1662" s="30" t="str">
        <f ca="1">IFERROR(__xludf.DUMMYFUNCTION("""COMPUTED_VALUE"""),"ROSARIO")</f>
        <v>ROSARIO</v>
      </c>
      <c r="Q1662" s="30" t="str">
        <f ca="1">IFERROR(__xludf.DUMMYFUNCTION("""COMPUTED_VALUE"""),"-32.96991")</f>
        <v>-32.96991</v>
      </c>
      <c r="R1662" s="30" t="str">
        <f ca="1">IFERROR(__xludf.DUMMYFUNCTION("""COMPUTED_VALUE"""),"-60.7415")</f>
        <v>-60.7415</v>
      </c>
      <c r="S1662" s="30" t="str">
        <f ca="1">IFERROR(__xludf.DUMMYFUNCTION("""COMPUTED_VALUE"""),"Provincial")</f>
        <v>Provincial</v>
      </c>
      <c r="T1662" s="30" t="str">
        <f ca="1">IFERROR(__xludf.DUMMYFUNCTION("""COMPUTED_VALUE"""),"-")</f>
        <v>-</v>
      </c>
    </row>
    <row r="1663" spans="1:20" ht="15.75" customHeight="1" x14ac:dyDescent="0.25">
      <c r="A1663" s="30" t="str">
        <f ca="1">IFERROR(__xludf.DUMMYFUNCTION("""COMPUTED_VALUE"""),"50820772184900")</f>
        <v>50820772184900</v>
      </c>
      <c r="B1663" s="30" t="str">
        <f ca="1">IFERROR(__xludf.DUMMYFUNCTION("""COMPUTED_VALUE"""),"CENTRO DE SALUD POZO BORRADO")</f>
        <v>CENTRO DE SALUD POZO BORRADO</v>
      </c>
      <c r="C1663" s="30" t="str">
        <f ca="1">IFERROR(__xludf.DUMMYFUNCTION("""COMPUTED_VALUE"""),"Santa Fe")</f>
        <v>Santa Fe</v>
      </c>
      <c r="D1663" s="30" t="str">
        <f ca="1">IFERROR(__xludf.DUMMYFUNCTION("""COMPUTED_VALUE"""),"82")</f>
        <v>82</v>
      </c>
      <c r="E1663" s="30" t="str">
        <f ca="1">IFERROR(__xludf.DUMMYFUNCTION("""COMPUTED_VALUE"""),"")</f>
        <v/>
      </c>
      <c r="F1663" s="29"/>
      <c r="G1663" s="29"/>
      <c r="H1663" s="30" t="str">
        <f ca="1">IFERROR(__xludf.DUMMYFUNCTION("""COMPUTED_VALUE"""),"activo")</f>
        <v>activo</v>
      </c>
      <c r="I1663" s="29"/>
      <c r="J1663" s="29"/>
      <c r="K1663" s="29"/>
      <c r="L1663" s="30" t="str">
        <f ca="1">IFERROR(__xludf.DUMMYFUNCTION("""COMPUTED_VALUE"""),"No")</f>
        <v>No</v>
      </c>
      <c r="M1663" s="30" t="str">
        <f ca="1">IFERROR(__xludf.DUMMYFUNCTION("""COMPUTED_VALUE"""),"82077060000")</f>
        <v>82077060000</v>
      </c>
      <c r="N1663" s="30" t="str">
        <f ca="1">IFERROR(__xludf.DUMMYFUNCTION("""COMPUTED_VALUE"""),"POZO BORRADO")</f>
        <v>POZO BORRADO</v>
      </c>
      <c r="O1663" s="30" t="str">
        <f ca="1">IFERROR(__xludf.DUMMYFUNCTION("""COMPUTED_VALUE"""),"8277")</f>
        <v>8277</v>
      </c>
      <c r="P1663" s="30" t="str">
        <f ca="1">IFERROR(__xludf.DUMMYFUNCTION("""COMPUTED_VALUE"""),"9 DE JULIO")</f>
        <v>9 DE JULIO</v>
      </c>
      <c r="Q1663" s="30" t="str">
        <f ca="1">IFERROR(__xludf.DUMMYFUNCTION("""COMPUTED_VALUE"""),"-28.9365878")</f>
        <v>-28.9365878</v>
      </c>
      <c r="R1663" s="30" t="str">
        <f ca="1">IFERROR(__xludf.DUMMYFUNCTION("""COMPUTED_VALUE"""),"-61.71007633")</f>
        <v>-61.71007633</v>
      </c>
      <c r="S1663" s="30" t="str">
        <f ca="1">IFERROR(__xludf.DUMMYFUNCTION("""COMPUTED_VALUE"""),"Provincial")</f>
        <v>Provincial</v>
      </c>
      <c r="T1663" s="30" t="str">
        <f ca="1">IFERROR(__xludf.DUMMYFUNCTION("""COMPUTED_VALUE"""),"-")</f>
        <v>-</v>
      </c>
    </row>
    <row r="1664" spans="1:20" ht="15.75" customHeight="1" x14ac:dyDescent="0.25">
      <c r="A1664" s="30" t="str">
        <f ca="1">IFERROR(__xludf.DUMMYFUNCTION("""COMPUTED_VALUE"""),"50820702184905")</f>
        <v>50820702184905</v>
      </c>
      <c r="B1664" s="30" t="str">
        <f ca="1">IFERROR(__xludf.DUMMYFUNCTION("""COMPUTED_VALUE"""),"SAMCO DE PROVIDENCIA")</f>
        <v>SAMCO DE PROVIDENCIA</v>
      </c>
      <c r="C1664" s="30" t="str">
        <f ca="1">IFERROR(__xludf.DUMMYFUNCTION("""COMPUTED_VALUE"""),"Santa Fe")</f>
        <v>Santa Fe</v>
      </c>
      <c r="D1664" s="30" t="str">
        <f ca="1">IFERROR(__xludf.DUMMYFUNCTION("""COMPUTED_VALUE"""),"82")</f>
        <v>82</v>
      </c>
      <c r="E1664" s="30" t="str">
        <f ca="1">IFERROR(__xludf.DUMMYFUNCTION("""COMPUTED_VALUE"""),"")</f>
        <v/>
      </c>
      <c r="F1664" s="29"/>
      <c r="G1664" s="29"/>
      <c r="H1664" s="30" t="str">
        <f ca="1">IFERROR(__xludf.DUMMYFUNCTION("""COMPUTED_VALUE"""),"activo")</f>
        <v>activo</v>
      </c>
      <c r="I1664" s="29"/>
      <c r="J1664" s="29"/>
      <c r="K1664" s="29"/>
      <c r="L1664" s="30" t="str">
        <f ca="1">IFERROR(__xludf.DUMMYFUNCTION("""COMPUTED_VALUE"""),"No")</f>
        <v>No</v>
      </c>
      <c r="M1664" s="30" t="str">
        <f ca="1">IFERROR(__xludf.DUMMYFUNCTION("""COMPUTED_VALUE"""),"82070200000")</f>
        <v>82070200000</v>
      </c>
      <c r="N1664" s="30" t="str">
        <f ca="1">IFERROR(__xludf.DUMMYFUNCTION("""COMPUTED_VALUE"""),"PROVIDENCIA")</f>
        <v>PROVIDENCIA</v>
      </c>
      <c r="O1664" s="30" t="str">
        <f ca="1">IFERROR(__xludf.DUMMYFUNCTION("""COMPUTED_VALUE"""),"8270")</f>
        <v>8270</v>
      </c>
      <c r="P1664" s="30" t="str">
        <f ca="1">IFERROR(__xludf.DUMMYFUNCTION("""COMPUTED_VALUE"""),"LAS COLONIAS")</f>
        <v>LAS COLONIAS</v>
      </c>
      <c r="Q1664" s="30" t="str">
        <f ca="1">IFERROR(__xludf.DUMMYFUNCTION("""COMPUTED_VALUE"""),"-30.98383")</f>
        <v>-30.98383</v>
      </c>
      <c r="R1664" s="30" t="str">
        <f ca="1">IFERROR(__xludf.DUMMYFUNCTION("""COMPUTED_VALUE"""),"-61.02109")</f>
        <v>-61.02109</v>
      </c>
      <c r="S1664" s="30" t="str">
        <f ca="1">IFERROR(__xludf.DUMMYFUNCTION("""COMPUTED_VALUE"""),"Provincial")</f>
        <v>Provincial</v>
      </c>
      <c r="T1664" s="30" t="str">
        <f ca="1">IFERROR(__xludf.DUMMYFUNCTION("""COMPUTED_VALUE"""),"-")</f>
        <v>-</v>
      </c>
    </row>
    <row r="1665" spans="1:20" ht="15.75" customHeight="1" x14ac:dyDescent="0.25">
      <c r="A1665" s="30" t="str">
        <f ca="1">IFERROR(__xludf.DUMMYFUNCTION("""COMPUTED_VALUE"""),"50820562184490")</f>
        <v>50820562184490</v>
      </c>
      <c r="B1665" s="30" t="str">
        <f ca="1">IFERROR(__xludf.DUMMYFUNCTION("""COMPUTED_VALUE"""),"CENTRO DE SALUD ANDINO")</f>
        <v>CENTRO DE SALUD ANDINO</v>
      </c>
      <c r="C1665" s="30" t="str">
        <f ca="1">IFERROR(__xludf.DUMMYFUNCTION("""COMPUTED_VALUE"""),"Santa Fe")</f>
        <v>Santa Fe</v>
      </c>
      <c r="D1665" s="30" t="str">
        <f ca="1">IFERROR(__xludf.DUMMYFUNCTION("""COMPUTED_VALUE"""),"82")</f>
        <v>82</v>
      </c>
      <c r="E1665" s="30" t="str">
        <f ca="1">IFERROR(__xludf.DUMMYFUNCTION("""COMPUTED_VALUE"""),"")</f>
        <v/>
      </c>
      <c r="F1665" s="29"/>
      <c r="G1665" s="29"/>
      <c r="H1665" s="30" t="str">
        <f ca="1">IFERROR(__xludf.DUMMYFUNCTION("""COMPUTED_VALUE"""),"activo")</f>
        <v>activo</v>
      </c>
      <c r="I1665" s="29"/>
      <c r="J1665" s="29"/>
      <c r="K1665" s="29"/>
      <c r="L1665" s="30" t="str">
        <f ca="1">IFERROR(__xludf.DUMMYFUNCTION("""COMPUTED_VALUE"""),"No")</f>
        <v>No</v>
      </c>
      <c r="M1665" s="30" t="str">
        <f ca="1">IFERROR(__xludf.DUMMYFUNCTION("""COMPUTED_VALUE"""),"82056110000")</f>
        <v>82056110000</v>
      </c>
      <c r="N1665" s="30" t="str">
        <f ca="1">IFERROR(__xludf.DUMMYFUNCTION("""COMPUTED_VALUE"""),"PUEBLO ANDINO")</f>
        <v>PUEBLO ANDINO</v>
      </c>
      <c r="O1665" s="30" t="str">
        <f ca="1">IFERROR(__xludf.DUMMYFUNCTION("""COMPUTED_VALUE"""),"8256")</f>
        <v>8256</v>
      </c>
      <c r="P1665" s="30" t="str">
        <f ca="1">IFERROR(__xludf.DUMMYFUNCTION("""COMPUTED_VALUE"""),"IRIONDO")</f>
        <v>IRIONDO</v>
      </c>
      <c r="Q1665" s="30" t="str">
        <f ca="1">IFERROR(__xludf.DUMMYFUNCTION("""COMPUTED_VALUE"""),"-32.6676")</f>
        <v>-32.6676</v>
      </c>
      <c r="R1665" s="30" t="str">
        <f ca="1">IFERROR(__xludf.DUMMYFUNCTION("""COMPUTED_VALUE"""),"-60.8717")</f>
        <v>-60.8717</v>
      </c>
      <c r="S1665" s="30" t="str">
        <f ca="1">IFERROR(__xludf.DUMMYFUNCTION("""COMPUTED_VALUE"""),"Provincial")</f>
        <v>Provincial</v>
      </c>
      <c r="T1665" s="30" t="str">
        <f ca="1">IFERROR(__xludf.DUMMYFUNCTION("""COMPUTED_VALUE"""),"-")</f>
        <v>-</v>
      </c>
    </row>
    <row r="1666" spans="1:20" ht="15.75" customHeight="1" x14ac:dyDescent="0.25">
      <c r="A1666" s="30" t="str">
        <f ca="1">IFERROR(__xludf.DUMMYFUNCTION("""COMPUTED_VALUE"""),"50820842184906")</f>
        <v>50820842184906</v>
      </c>
      <c r="B1666" s="30" t="str">
        <f ca="1">IFERROR(__xludf.DUMMYFUNCTION("""COMPUTED_VALUE"""),"CENTRO DE SALUD PUEBLO ESTHER")</f>
        <v>CENTRO DE SALUD PUEBLO ESTHER</v>
      </c>
      <c r="C1666" s="30" t="str">
        <f ca="1">IFERROR(__xludf.DUMMYFUNCTION("""COMPUTED_VALUE"""),"Santa Fe")</f>
        <v>Santa Fe</v>
      </c>
      <c r="D1666" s="30" t="str">
        <f ca="1">IFERROR(__xludf.DUMMYFUNCTION("""COMPUTED_VALUE"""),"82")</f>
        <v>82</v>
      </c>
      <c r="E1666" s="30" t="str">
        <f ca="1">IFERROR(__xludf.DUMMYFUNCTION("""COMPUTED_VALUE"""),"")</f>
        <v/>
      </c>
      <c r="F1666" s="29"/>
      <c r="G1666" s="29"/>
      <c r="H1666" s="30" t="str">
        <f ca="1">IFERROR(__xludf.DUMMYFUNCTION("""COMPUTED_VALUE"""),"activo")</f>
        <v>activo</v>
      </c>
      <c r="I1666" s="29"/>
      <c r="J1666" s="29"/>
      <c r="K1666" s="29"/>
      <c r="L1666" s="30" t="str">
        <f ca="1">IFERROR(__xludf.DUMMYFUNCTION("""COMPUTED_VALUE"""),"No")</f>
        <v>No</v>
      </c>
      <c r="M1666" s="30" t="str">
        <f ca="1">IFERROR(__xludf.DUMMYFUNCTION("""COMPUTED_VALUE"""),"82084230000")</f>
        <v>82084230000</v>
      </c>
      <c r="N1666" s="30" t="str">
        <f ca="1">IFERROR(__xludf.DUMMYFUNCTION("""COMPUTED_VALUE"""),"PUEBLO ESTHER")</f>
        <v>PUEBLO ESTHER</v>
      </c>
      <c r="O1666" s="30" t="str">
        <f ca="1">IFERROR(__xludf.DUMMYFUNCTION("""COMPUTED_VALUE"""),"8284")</f>
        <v>8284</v>
      </c>
      <c r="P1666" s="30" t="str">
        <f ca="1">IFERROR(__xludf.DUMMYFUNCTION("""COMPUTED_VALUE"""),"ROSARIO")</f>
        <v>ROSARIO</v>
      </c>
      <c r="Q1666" s="30" t="str">
        <f ca="1">IFERROR(__xludf.DUMMYFUNCTION("""COMPUTED_VALUE"""),"-33.07269")</f>
        <v>-33.07269</v>
      </c>
      <c r="R1666" s="30" t="str">
        <f ca="1">IFERROR(__xludf.DUMMYFUNCTION("""COMPUTED_VALUE"""),"-60.57604")</f>
        <v>-60.57604</v>
      </c>
      <c r="S1666" s="30" t="str">
        <f ca="1">IFERROR(__xludf.DUMMYFUNCTION("""COMPUTED_VALUE"""),"Provincial")</f>
        <v>Provincial</v>
      </c>
      <c r="T1666" s="30" t="str">
        <f ca="1">IFERROR(__xludf.DUMMYFUNCTION("""COMPUTED_VALUE"""),"-")</f>
        <v>-</v>
      </c>
    </row>
    <row r="1667" spans="1:20" ht="15.75" customHeight="1" x14ac:dyDescent="0.25">
      <c r="A1667" s="30" t="str">
        <f ca="1">IFERROR(__xludf.DUMMYFUNCTION("""COMPUTED_VALUE"""),"50821052185369")</f>
        <v>50821052185369</v>
      </c>
      <c r="B1667" s="30" t="str">
        <f ca="1">IFERROR(__xludf.DUMMYFUNCTION("""COMPUTED_VALUE"""),"SAMCO PUERTO GABOTO")</f>
        <v>SAMCO PUERTO GABOTO</v>
      </c>
      <c r="C1667" s="30" t="str">
        <f ca="1">IFERROR(__xludf.DUMMYFUNCTION("""COMPUTED_VALUE"""),"Santa Fe")</f>
        <v>Santa Fe</v>
      </c>
      <c r="D1667" s="30" t="str">
        <f ca="1">IFERROR(__xludf.DUMMYFUNCTION("""COMPUTED_VALUE"""),"82")</f>
        <v>82</v>
      </c>
      <c r="E1667" s="30" t="str">
        <f ca="1">IFERROR(__xludf.DUMMYFUNCTION("""COMPUTED_VALUE"""),"")</f>
        <v/>
      </c>
      <c r="F1667" s="29"/>
      <c r="G1667" s="29"/>
      <c r="H1667" s="30" t="str">
        <f ca="1">IFERROR(__xludf.DUMMYFUNCTION("""COMPUTED_VALUE"""),"activo")</f>
        <v>activo</v>
      </c>
      <c r="I1667" s="29"/>
      <c r="J1667" s="29"/>
      <c r="K1667" s="29"/>
      <c r="L1667" s="30" t="str">
        <f ca="1">IFERROR(__xludf.DUMMYFUNCTION("""COMPUTED_VALUE"""),"No")</f>
        <v>No</v>
      </c>
      <c r="M1667" s="30" t="str">
        <f ca="1">IFERROR(__xludf.DUMMYFUNCTION("""COMPUTED_VALUE"""),"82105270")</f>
        <v>82105270</v>
      </c>
      <c r="N1667" s="30" t="str">
        <f ca="1">IFERROR(__xludf.DUMMYFUNCTION("""COMPUTED_VALUE"""),"PUERTO GABOTO")</f>
        <v>PUERTO GABOTO</v>
      </c>
      <c r="O1667" s="30" t="str">
        <f ca="1">IFERROR(__xludf.DUMMYFUNCTION("""COMPUTED_VALUE"""),"82105")</f>
        <v>82105</v>
      </c>
      <c r="P1667" s="30" t="str">
        <f ca="1">IFERROR(__xludf.DUMMYFUNCTION("""COMPUTED_VALUE"""),"SAN JERÓNIMO")</f>
        <v>SAN JERÓNIMO</v>
      </c>
      <c r="Q1667" s="30" t="str">
        <f ca="1">IFERROR(__xludf.DUMMYFUNCTION("""COMPUTED_VALUE"""),"-32.43386358")</f>
        <v>-32.43386358</v>
      </c>
      <c r="R1667" s="30" t="str">
        <f ca="1">IFERROR(__xludf.DUMMYFUNCTION("""COMPUTED_VALUE"""),"-60.81692219")</f>
        <v>-60.81692219</v>
      </c>
      <c r="S1667" s="30" t="str">
        <f ca="1">IFERROR(__xludf.DUMMYFUNCTION("""COMPUTED_VALUE"""),"Provincial")</f>
        <v>Provincial</v>
      </c>
      <c r="T1667" s="30" t="str">
        <f ca="1">IFERROR(__xludf.DUMMYFUNCTION("""COMPUTED_VALUE"""),"-")</f>
        <v>-</v>
      </c>
    </row>
    <row r="1668" spans="1:20" ht="15.75" customHeight="1" x14ac:dyDescent="0.25">
      <c r="A1668" s="30" t="str">
        <f ca="1">IFERROR(__xludf.DUMMYFUNCTION("""COMPUTED_VALUE"""),"50821192284598")</f>
        <v>50821192284598</v>
      </c>
      <c r="B1668" s="30" t="str">
        <f ca="1">IFERROR(__xludf.DUMMYFUNCTION("""COMPUTED_VALUE"""),"CENTRO DE SALUD CATALINA SALOMON")</f>
        <v>CENTRO DE SALUD CATALINA SALOMON</v>
      </c>
      <c r="C1668" s="30" t="str">
        <f ca="1">IFERROR(__xludf.DUMMYFUNCTION("""COMPUTED_VALUE"""),"Santa Fe")</f>
        <v>Santa Fe</v>
      </c>
      <c r="D1668" s="30" t="str">
        <f ca="1">IFERROR(__xludf.DUMMYFUNCTION("""COMPUTED_VALUE"""),"82")</f>
        <v>82</v>
      </c>
      <c r="E1668" s="30" t="str">
        <f ca="1">IFERROR(__xludf.DUMMYFUNCTION("""COMPUTED_VALUE"""),"")</f>
        <v/>
      </c>
      <c r="F1668" s="29"/>
      <c r="G1668" s="29"/>
      <c r="H1668" s="30" t="str">
        <f ca="1">IFERROR(__xludf.DUMMYFUNCTION("""COMPUTED_VALUE"""),"activo")</f>
        <v>activo</v>
      </c>
      <c r="I1668" s="29"/>
      <c r="J1668" s="29"/>
      <c r="K1668" s="29"/>
      <c r="L1668" s="30" t="str">
        <f ca="1">IFERROR(__xludf.DUMMYFUNCTION("""COMPUTED_VALUE"""),"No")</f>
        <v>No</v>
      </c>
      <c r="M1668" s="30" t="str">
        <f ca="1">IFERROR(__xludf.DUMMYFUNCTION("""COMPUTED_VALUE"""),"82119080000")</f>
        <v>82119080000</v>
      </c>
      <c r="N1668" s="30" t="str">
        <f ca="1">IFERROR(__xludf.DUMMYFUNCTION("""COMPUTED_VALUE"""),"PUERTO GENERAL SAN MARTIN")</f>
        <v>PUERTO GENERAL SAN MARTIN</v>
      </c>
      <c r="O1668" s="30" t="str">
        <f ca="1">IFERROR(__xludf.DUMMYFUNCTION("""COMPUTED_VALUE"""),"82119")</f>
        <v>82119</v>
      </c>
      <c r="P1668" s="30" t="str">
        <f ca="1">IFERROR(__xludf.DUMMYFUNCTION("""COMPUTED_VALUE"""),"SAN LORENZO")</f>
        <v>SAN LORENZO</v>
      </c>
      <c r="Q1668" s="30" t="str">
        <f ca="1">IFERROR(__xludf.DUMMYFUNCTION("""COMPUTED_VALUE"""),"-32.71346142")</f>
        <v>-32.71346142</v>
      </c>
      <c r="R1668" s="30" t="str">
        <f ca="1">IFERROR(__xludf.DUMMYFUNCTION("""COMPUTED_VALUE"""),"-60.73831737")</f>
        <v>-60.73831737</v>
      </c>
      <c r="S1668" s="30" t="str">
        <f ca="1">IFERROR(__xludf.DUMMYFUNCTION("""COMPUTED_VALUE"""),"Municipal")</f>
        <v>Municipal</v>
      </c>
      <c r="T1668" s="29"/>
    </row>
    <row r="1669" spans="1:20" ht="15.75" customHeight="1" x14ac:dyDescent="0.25">
      <c r="A1669" s="30" t="str">
        <f ca="1">IFERROR(__xludf.DUMMYFUNCTION("""COMPUTED_VALUE"""),"50821192185370")</f>
        <v>50821192185370</v>
      </c>
      <c r="B1669" s="30" t="str">
        <f ca="1">IFERROR(__xludf.DUMMYFUNCTION("""COMPUTED_VALUE"""),"SAMCO PUERTO SAN MARTIN")</f>
        <v>SAMCO PUERTO SAN MARTIN</v>
      </c>
      <c r="C1669" s="30" t="str">
        <f ca="1">IFERROR(__xludf.DUMMYFUNCTION("""COMPUTED_VALUE"""),"Santa Fe")</f>
        <v>Santa Fe</v>
      </c>
      <c r="D1669" s="30" t="str">
        <f ca="1">IFERROR(__xludf.DUMMYFUNCTION("""COMPUTED_VALUE"""),"82")</f>
        <v>82</v>
      </c>
      <c r="E1669" s="30" t="str">
        <f ca="1">IFERROR(__xludf.DUMMYFUNCTION("""COMPUTED_VALUE"""),"")</f>
        <v/>
      </c>
      <c r="F1669" s="29"/>
      <c r="G1669" s="29"/>
      <c r="H1669" s="30" t="str">
        <f ca="1">IFERROR(__xludf.DUMMYFUNCTION("""COMPUTED_VALUE"""),"activo")</f>
        <v>activo</v>
      </c>
      <c r="I1669" s="29"/>
      <c r="J1669" s="29"/>
      <c r="K1669" s="29"/>
      <c r="L1669" s="30" t="str">
        <f ca="1">IFERROR(__xludf.DUMMYFUNCTION("""COMPUTED_VALUE"""),"No")</f>
        <v>No</v>
      </c>
      <c r="M1669" s="30" t="str">
        <f ca="1">IFERROR(__xludf.DUMMYFUNCTION("""COMPUTED_VALUE"""),"82119080000")</f>
        <v>82119080000</v>
      </c>
      <c r="N1669" s="30" t="str">
        <f ca="1">IFERROR(__xludf.DUMMYFUNCTION("""COMPUTED_VALUE"""),"PUERTO GENERAL SAN MARTIN")</f>
        <v>PUERTO GENERAL SAN MARTIN</v>
      </c>
      <c r="O1669" s="30" t="str">
        <f ca="1">IFERROR(__xludf.DUMMYFUNCTION("""COMPUTED_VALUE"""),"82119")</f>
        <v>82119</v>
      </c>
      <c r="P1669" s="30" t="str">
        <f ca="1">IFERROR(__xludf.DUMMYFUNCTION("""COMPUTED_VALUE"""),"SAN LORENZO")</f>
        <v>SAN LORENZO</v>
      </c>
      <c r="Q1669" s="30" t="str">
        <f ca="1">IFERROR(__xludf.DUMMYFUNCTION("""COMPUTED_VALUE"""),"-32.71824564")</f>
        <v>-32.71824564</v>
      </c>
      <c r="R1669" s="30" t="str">
        <f ca="1">IFERROR(__xludf.DUMMYFUNCTION("""COMPUTED_VALUE"""),"-60.73032439")</f>
        <v>-60.73032439</v>
      </c>
      <c r="S1669" s="30" t="str">
        <f ca="1">IFERROR(__xludf.DUMMYFUNCTION("""COMPUTED_VALUE"""),"Provincial")</f>
        <v>Provincial</v>
      </c>
      <c r="T1669" s="30" t="str">
        <f ca="1">IFERROR(__xludf.DUMMYFUNCTION("""COMPUTED_VALUE"""),"-")</f>
        <v>-</v>
      </c>
    </row>
    <row r="1670" spans="1:20" ht="15.75" customHeight="1" x14ac:dyDescent="0.25">
      <c r="A1670" s="30" t="str">
        <f ca="1">IFERROR(__xludf.DUMMYFUNCTION("""COMPUTED_VALUE"""),"50821192284959")</f>
        <v>50821192284959</v>
      </c>
      <c r="B1670" s="30" t="str">
        <f ca="1">IFERROR(__xludf.DUMMYFUNCTION("""COMPUTED_VALUE"""),"CENTRO DE SALUD SAN SEBASTIAN")</f>
        <v>CENTRO DE SALUD SAN SEBASTIAN</v>
      </c>
      <c r="C1670" s="30" t="str">
        <f ca="1">IFERROR(__xludf.DUMMYFUNCTION("""COMPUTED_VALUE"""),"Santa Fe")</f>
        <v>Santa Fe</v>
      </c>
      <c r="D1670" s="30" t="str">
        <f ca="1">IFERROR(__xludf.DUMMYFUNCTION("""COMPUTED_VALUE"""),"82")</f>
        <v>82</v>
      </c>
      <c r="E1670" s="30" t="str">
        <f ca="1">IFERROR(__xludf.DUMMYFUNCTION("""COMPUTED_VALUE"""),"")</f>
        <v/>
      </c>
      <c r="F1670" s="29"/>
      <c r="G1670" s="29"/>
      <c r="H1670" s="30" t="str">
        <f ca="1">IFERROR(__xludf.DUMMYFUNCTION("""COMPUTED_VALUE"""),"activo")</f>
        <v>activo</v>
      </c>
      <c r="I1670" s="29"/>
      <c r="J1670" s="29"/>
      <c r="K1670" s="29"/>
      <c r="L1670" s="30" t="str">
        <f ca="1">IFERROR(__xludf.DUMMYFUNCTION("""COMPUTED_VALUE"""),"No")</f>
        <v>No</v>
      </c>
      <c r="M1670" s="30" t="str">
        <f ca="1">IFERROR(__xludf.DUMMYFUNCTION("""COMPUTED_VALUE"""),"82119080000")</f>
        <v>82119080000</v>
      </c>
      <c r="N1670" s="30" t="str">
        <f ca="1">IFERROR(__xludf.DUMMYFUNCTION("""COMPUTED_VALUE"""),"PUERTO GENERAL SAN MARTIN")</f>
        <v>PUERTO GENERAL SAN MARTIN</v>
      </c>
      <c r="O1670" s="30" t="str">
        <f ca="1">IFERROR(__xludf.DUMMYFUNCTION("""COMPUTED_VALUE"""),"82119")</f>
        <v>82119</v>
      </c>
      <c r="P1670" s="30" t="str">
        <f ca="1">IFERROR(__xludf.DUMMYFUNCTION("""COMPUTED_VALUE"""),"SAN LORENZO")</f>
        <v>SAN LORENZO</v>
      </c>
      <c r="Q1670" s="30" t="str">
        <f ca="1">IFERROR(__xludf.DUMMYFUNCTION("""COMPUTED_VALUE"""),"-32.70871306")</f>
        <v>-32.70871306</v>
      </c>
      <c r="R1670" s="30" t="str">
        <f ca="1">IFERROR(__xludf.DUMMYFUNCTION("""COMPUTED_VALUE"""),"-60.76397538")</f>
        <v>-60.76397538</v>
      </c>
      <c r="S1670" s="30" t="str">
        <f ca="1">IFERROR(__xludf.DUMMYFUNCTION("""COMPUTED_VALUE"""),"Municipal")</f>
        <v>Municipal</v>
      </c>
      <c r="T1670" s="29"/>
    </row>
    <row r="1671" spans="1:20" ht="15.75" customHeight="1" x14ac:dyDescent="0.25">
      <c r="A1671" s="30" t="str">
        <f ca="1">IFERROR(__xludf.DUMMYFUNCTION("""COMPUTED_VALUE"""),"50821192284873")</f>
        <v>50821192284873</v>
      </c>
      <c r="B1671" s="30" t="str">
        <f ca="1">IFERROR(__xludf.DUMMYFUNCTION("""COMPUTED_VALUE"""),"CENTRO DE SALUD NUESTRA SEÑORA DE FATIMA - PUERTO GENERAL SAN MARTIN")</f>
        <v>CENTRO DE SALUD NUESTRA SEÑORA DE FATIMA - PUERTO GENERAL SAN MARTIN</v>
      </c>
      <c r="C1671" s="30" t="str">
        <f ca="1">IFERROR(__xludf.DUMMYFUNCTION("""COMPUTED_VALUE"""),"Santa Fe")</f>
        <v>Santa Fe</v>
      </c>
      <c r="D1671" s="30" t="str">
        <f ca="1">IFERROR(__xludf.DUMMYFUNCTION("""COMPUTED_VALUE"""),"82")</f>
        <v>82</v>
      </c>
      <c r="E1671" s="30" t="str">
        <f ca="1">IFERROR(__xludf.DUMMYFUNCTION("""COMPUTED_VALUE"""),"")</f>
        <v/>
      </c>
      <c r="F1671" s="29"/>
      <c r="G1671" s="29"/>
      <c r="H1671" s="30" t="str">
        <f ca="1">IFERROR(__xludf.DUMMYFUNCTION("""COMPUTED_VALUE"""),"activo")</f>
        <v>activo</v>
      </c>
      <c r="I1671" s="29"/>
      <c r="J1671" s="29"/>
      <c r="K1671" s="29"/>
      <c r="L1671" s="30" t="str">
        <f ca="1">IFERROR(__xludf.DUMMYFUNCTION("""COMPUTED_VALUE"""),"No")</f>
        <v>No</v>
      </c>
      <c r="M1671" s="30" t="str">
        <f ca="1">IFERROR(__xludf.DUMMYFUNCTION("""COMPUTED_VALUE"""),"82119080000")</f>
        <v>82119080000</v>
      </c>
      <c r="N1671" s="30" t="str">
        <f ca="1">IFERROR(__xludf.DUMMYFUNCTION("""COMPUTED_VALUE"""),"PUERTO GENERAL SAN MARTIN")</f>
        <v>PUERTO GENERAL SAN MARTIN</v>
      </c>
      <c r="O1671" s="30" t="str">
        <f ca="1">IFERROR(__xludf.DUMMYFUNCTION("""COMPUTED_VALUE"""),"82119")</f>
        <v>82119</v>
      </c>
      <c r="P1671" s="30" t="str">
        <f ca="1">IFERROR(__xludf.DUMMYFUNCTION("""COMPUTED_VALUE"""),"SAN LORENZO")</f>
        <v>SAN LORENZO</v>
      </c>
      <c r="Q1671" s="30" t="str">
        <f ca="1">IFERROR(__xludf.DUMMYFUNCTION("""COMPUTED_VALUE"""),"-32.70053146")</f>
        <v>-32.70053146</v>
      </c>
      <c r="R1671" s="30" t="str">
        <f ca="1">IFERROR(__xludf.DUMMYFUNCTION("""COMPUTED_VALUE"""),"-60.73435307")</f>
        <v>-60.73435307</v>
      </c>
      <c r="S1671" s="30" t="str">
        <f ca="1">IFERROR(__xludf.DUMMYFUNCTION("""COMPUTED_VALUE"""),"Municipal")</f>
        <v>Municipal</v>
      </c>
      <c r="T1671" s="29"/>
    </row>
    <row r="1672" spans="1:20" ht="15.75" customHeight="1" x14ac:dyDescent="0.25">
      <c r="A1672" s="30" t="str">
        <f ca="1">IFERROR(__xludf.DUMMYFUNCTION("""COMPUTED_VALUE"""),"50820212184841")</f>
        <v>50820212184841</v>
      </c>
      <c r="B1672" s="30" t="str">
        <f ca="1">IFERROR(__xludf.DUMMYFUNCTION("""COMPUTED_VALUE"""),"CENTRO DE SALUD N° 2 BARRIO BARRANQUITAS")</f>
        <v>CENTRO DE SALUD N° 2 BARRIO BARRANQUITAS</v>
      </c>
      <c r="C1672" s="30" t="str">
        <f ca="1">IFERROR(__xludf.DUMMYFUNCTION("""COMPUTED_VALUE"""),"Santa Fe")</f>
        <v>Santa Fe</v>
      </c>
      <c r="D1672" s="30" t="str">
        <f ca="1">IFERROR(__xludf.DUMMYFUNCTION("""COMPUTED_VALUE"""),"82")</f>
        <v>82</v>
      </c>
      <c r="E1672" s="30" t="str">
        <f ca="1">IFERROR(__xludf.DUMMYFUNCTION("""COMPUTED_VALUE"""),"")</f>
        <v/>
      </c>
      <c r="F1672" s="29"/>
      <c r="G1672" s="29"/>
      <c r="H1672" s="30" t="str">
        <f ca="1">IFERROR(__xludf.DUMMYFUNCTION("""COMPUTED_VALUE"""),"activo")</f>
        <v>activo</v>
      </c>
      <c r="I1672" s="29"/>
      <c r="J1672" s="29"/>
      <c r="K1672" s="29"/>
      <c r="L1672" s="30" t="str">
        <f ca="1">IFERROR(__xludf.DUMMYFUNCTION("""COMPUTED_VALUE"""),"No")</f>
        <v>No</v>
      </c>
      <c r="M1672" s="30" t="str">
        <f ca="1">IFERROR(__xludf.DUMMYFUNCTION("""COMPUTED_VALUE"""),"82021310000")</f>
        <v>82021310000</v>
      </c>
      <c r="N1672" s="30" t="str">
        <f ca="1">IFERROR(__xludf.DUMMYFUNCTION("""COMPUTED_VALUE"""),"RAFAELA")</f>
        <v>RAFAELA</v>
      </c>
      <c r="O1672" s="30" t="str">
        <f ca="1">IFERROR(__xludf.DUMMYFUNCTION("""COMPUTED_VALUE"""),"8221")</f>
        <v>8221</v>
      </c>
      <c r="P1672" s="30" t="str">
        <f ca="1">IFERROR(__xludf.DUMMYFUNCTION("""COMPUTED_VALUE"""),"CASTELLANOS")</f>
        <v>CASTELLANOS</v>
      </c>
      <c r="Q1672" s="30" t="str">
        <f ca="1">IFERROR(__xludf.DUMMYFUNCTION("""COMPUTED_VALUE"""),"-31.2391194")</f>
        <v>-31.2391194</v>
      </c>
      <c r="R1672" s="30" t="str">
        <f ca="1">IFERROR(__xludf.DUMMYFUNCTION("""COMPUTED_VALUE"""),"-61.4827881")</f>
        <v>-61.4827881</v>
      </c>
      <c r="S1672" s="30" t="str">
        <f ca="1">IFERROR(__xludf.DUMMYFUNCTION("""COMPUTED_VALUE"""),"Provincial")</f>
        <v>Provincial</v>
      </c>
      <c r="T1672" s="30" t="str">
        <f ca="1">IFERROR(__xludf.DUMMYFUNCTION("""COMPUTED_VALUE"""),"-")</f>
        <v>-</v>
      </c>
    </row>
    <row r="1673" spans="1:20" ht="15.75" customHeight="1" x14ac:dyDescent="0.25">
      <c r="A1673" s="30" t="str">
        <f ca="1">IFERROR(__xludf.DUMMYFUNCTION("""COMPUTED_VALUE"""),"50820212184856")</f>
        <v>50820212184856</v>
      </c>
      <c r="B1673" s="30" t="str">
        <f ca="1">IFERROR(__xludf.DUMMYFUNCTION("""COMPUTED_VALUE"""),"CENTRO DE SALUD N° 4 VIRGEN DE FATIMA")</f>
        <v>CENTRO DE SALUD N° 4 VIRGEN DE FATIMA</v>
      </c>
      <c r="C1673" s="30" t="str">
        <f ca="1">IFERROR(__xludf.DUMMYFUNCTION("""COMPUTED_VALUE"""),"Santa Fe")</f>
        <v>Santa Fe</v>
      </c>
      <c r="D1673" s="30" t="str">
        <f ca="1">IFERROR(__xludf.DUMMYFUNCTION("""COMPUTED_VALUE"""),"82")</f>
        <v>82</v>
      </c>
      <c r="E1673" s="30" t="str">
        <f ca="1">IFERROR(__xludf.DUMMYFUNCTION("""COMPUTED_VALUE"""),"")</f>
        <v/>
      </c>
      <c r="F1673" s="29"/>
      <c r="G1673" s="29"/>
      <c r="H1673" s="30" t="str">
        <f ca="1">IFERROR(__xludf.DUMMYFUNCTION("""COMPUTED_VALUE"""),"activo")</f>
        <v>activo</v>
      </c>
      <c r="I1673" s="29"/>
      <c r="J1673" s="29"/>
      <c r="K1673" s="29"/>
      <c r="L1673" s="30" t="str">
        <f ca="1">IFERROR(__xludf.DUMMYFUNCTION("""COMPUTED_VALUE"""),"No")</f>
        <v>No</v>
      </c>
      <c r="M1673" s="30" t="str">
        <f ca="1">IFERROR(__xludf.DUMMYFUNCTION("""COMPUTED_VALUE"""),"82021310000")</f>
        <v>82021310000</v>
      </c>
      <c r="N1673" s="30" t="str">
        <f ca="1">IFERROR(__xludf.DUMMYFUNCTION("""COMPUTED_VALUE"""),"RAFAELA")</f>
        <v>RAFAELA</v>
      </c>
      <c r="O1673" s="30" t="str">
        <f ca="1">IFERROR(__xludf.DUMMYFUNCTION("""COMPUTED_VALUE"""),"8221")</f>
        <v>8221</v>
      </c>
      <c r="P1673" s="30" t="str">
        <f ca="1">IFERROR(__xludf.DUMMYFUNCTION("""COMPUTED_VALUE"""),"CASTELLANOS")</f>
        <v>CASTELLANOS</v>
      </c>
      <c r="Q1673" s="30" t="str">
        <f ca="1">IFERROR(__xludf.DUMMYFUNCTION("""COMPUTED_VALUE"""),"-31.26151")</f>
        <v>-31.26151</v>
      </c>
      <c r="R1673" s="30" t="str">
        <f ca="1">IFERROR(__xludf.DUMMYFUNCTION("""COMPUTED_VALUE"""),"-61.48126")</f>
        <v>-61.48126</v>
      </c>
      <c r="S1673" s="30" t="str">
        <f ca="1">IFERROR(__xludf.DUMMYFUNCTION("""COMPUTED_VALUE"""),"Provincial")</f>
        <v>Provincial</v>
      </c>
      <c r="T1673" s="30" t="str">
        <f ca="1">IFERROR(__xludf.DUMMYFUNCTION("""COMPUTED_VALUE"""),"-")</f>
        <v>-</v>
      </c>
    </row>
    <row r="1674" spans="1:20" ht="15.75" customHeight="1" x14ac:dyDescent="0.25">
      <c r="A1674" s="30" t="str">
        <f ca="1">IFERROR(__xludf.DUMMYFUNCTION("""COMPUTED_VALUE"""),"50820212184825")</f>
        <v>50820212184825</v>
      </c>
      <c r="B1674" s="30" t="str">
        <f ca="1">IFERROR(__xludf.DUMMYFUNCTION("""COMPUTED_VALUE"""),"CENTRO DE SALUD N° 1 - RAFAELA")</f>
        <v>CENTRO DE SALUD N° 1 - RAFAELA</v>
      </c>
      <c r="C1674" s="30" t="str">
        <f ca="1">IFERROR(__xludf.DUMMYFUNCTION("""COMPUTED_VALUE"""),"Santa Fe")</f>
        <v>Santa Fe</v>
      </c>
      <c r="D1674" s="30" t="str">
        <f ca="1">IFERROR(__xludf.DUMMYFUNCTION("""COMPUTED_VALUE"""),"82")</f>
        <v>82</v>
      </c>
      <c r="E1674" s="30" t="str">
        <f ca="1">IFERROR(__xludf.DUMMYFUNCTION("""COMPUTED_VALUE"""),"")</f>
        <v/>
      </c>
      <c r="F1674" s="29"/>
      <c r="G1674" s="29"/>
      <c r="H1674" s="30" t="str">
        <f ca="1">IFERROR(__xludf.DUMMYFUNCTION("""COMPUTED_VALUE"""),"activo")</f>
        <v>activo</v>
      </c>
      <c r="I1674" s="29"/>
      <c r="J1674" s="29"/>
      <c r="K1674" s="29"/>
      <c r="L1674" s="30" t="str">
        <f ca="1">IFERROR(__xludf.DUMMYFUNCTION("""COMPUTED_VALUE"""),"No")</f>
        <v>No</v>
      </c>
      <c r="M1674" s="30" t="str">
        <f ca="1">IFERROR(__xludf.DUMMYFUNCTION("""COMPUTED_VALUE"""),"82021310000")</f>
        <v>82021310000</v>
      </c>
      <c r="N1674" s="30" t="str">
        <f ca="1">IFERROR(__xludf.DUMMYFUNCTION("""COMPUTED_VALUE"""),"RAFAELA")</f>
        <v>RAFAELA</v>
      </c>
      <c r="O1674" s="30" t="str">
        <f ca="1">IFERROR(__xludf.DUMMYFUNCTION("""COMPUTED_VALUE"""),"8221")</f>
        <v>8221</v>
      </c>
      <c r="P1674" s="30" t="str">
        <f ca="1">IFERROR(__xludf.DUMMYFUNCTION("""COMPUTED_VALUE"""),"CASTELLANOS")</f>
        <v>CASTELLANOS</v>
      </c>
      <c r="Q1674" s="30" t="str">
        <f ca="1">IFERROR(__xludf.DUMMYFUNCTION("""COMPUTED_VALUE"""),"-31.23198")</f>
        <v>-31.23198</v>
      </c>
      <c r="R1674" s="30" t="str">
        <f ca="1">IFERROR(__xludf.DUMMYFUNCTION("""COMPUTED_VALUE"""),"-61.47058")</f>
        <v>-61.47058</v>
      </c>
      <c r="S1674" s="30" t="str">
        <f ca="1">IFERROR(__xludf.DUMMYFUNCTION("""COMPUTED_VALUE"""),"Provincial")</f>
        <v>Provincial</v>
      </c>
      <c r="T1674" s="30" t="str">
        <f ca="1">IFERROR(__xludf.DUMMYFUNCTION("""COMPUTED_VALUE"""),"-")</f>
        <v>-</v>
      </c>
    </row>
    <row r="1675" spans="1:20" ht="15.75" customHeight="1" x14ac:dyDescent="0.25">
      <c r="A1675" s="30" t="str">
        <f ca="1">IFERROR(__xludf.DUMMYFUNCTION("""COMPUTED_VALUE"""),"50820212184868")</f>
        <v>50820212184868</v>
      </c>
      <c r="B1675" s="30" t="str">
        <f ca="1">IFERROR(__xludf.DUMMYFUNCTION("""COMPUTED_VALUE"""),"CENTRO DE SALUD N° 8 BARRIO ITALIA")</f>
        <v>CENTRO DE SALUD N° 8 BARRIO ITALIA</v>
      </c>
      <c r="C1675" s="30" t="str">
        <f ca="1">IFERROR(__xludf.DUMMYFUNCTION("""COMPUTED_VALUE"""),"Santa Fe")</f>
        <v>Santa Fe</v>
      </c>
      <c r="D1675" s="30" t="str">
        <f ca="1">IFERROR(__xludf.DUMMYFUNCTION("""COMPUTED_VALUE"""),"82")</f>
        <v>82</v>
      </c>
      <c r="E1675" s="30" t="str">
        <f ca="1">IFERROR(__xludf.DUMMYFUNCTION("""COMPUTED_VALUE"""),"")</f>
        <v/>
      </c>
      <c r="F1675" s="29"/>
      <c r="G1675" s="29"/>
      <c r="H1675" s="30" t="str">
        <f ca="1">IFERROR(__xludf.DUMMYFUNCTION("""COMPUTED_VALUE"""),"activo")</f>
        <v>activo</v>
      </c>
      <c r="I1675" s="29"/>
      <c r="J1675" s="29"/>
      <c r="K1675" s="29"/>
      <c r="L1675" s="30" t="str">
        <f ca="1">IFERROR(__xludf.DUMMYFUNCTION("""COMPUTED_VALUE"""),"No")</f>
        <v>No</v>
      </c>
      <c r="M1675" s="30" t="str">
        <f ca="1">IFERROR(__xludf.DUMMYFUNCTION("""COMPUTED_VALUE"""),"82021310000")</f>
        <v>82021310000</v>
      </c>
      <c r="N1675" s="30" t="str">
        <f ca="1">IFERROR(__xludf.DUMMYFUNCTION("""COMPUTED_VALUE"""),"RAFAELA")</f>
        <v>RAFAELA</v>
      </c>
      <c r="O1675" s="30" t="str">
        <f ca="1">IFERROR(__xludf.DUMMYFUNCTION("""COMPUTED_VALUE"""),"8221")</f>
        <v>8221</v>
      </c>
      <c r="P1675" s="30" t="str">
        <f ca="1">IFERROR(__xludf.DUMMYFUNCTION("""COMPUTED_VALUE"""),"CASTELLANOS")</f>
        <v>CASTELLANOS</v>
      </c>
      <c r="Q1675" s="30" t="str">
        <f ca="1">IFERROR(__xludf.DUMMYFUNCTION("""COMPUTED_VALUE"""),"-31.24382899")</f>
        <v>-31.24382899</v>
      </c>
      <c r="R1675" s="30" t="str">
        <f ca="1">IFERROR(__xludf.DUMMYFUNCTION("""COMPUTED_VALUE"""),"-61.47689581")</f>
        <v>-61.47689581</v>
      </c>
      <c r="S1675" s="30" t="str">
        <f ca="1">IFERROR(__xludf.DUMMYFUNCTION("""COMPUTED_VALUE"""),"Provincial")</f>
        <v>Provincial</v>
      </c>
      <c r="T1675" s="30" t="str">
        <f ca="1">IFERROR(__xludf.DUMMYFUNCTION("""COMPUTED_VALUE"""),"-")</f>
        <v>-</v>
      </c>
    </row>
    <row r="1676" spans="1:20" ht="15.75" customHeight="1" x14ac:dyDescent="0.25">
      <c r="A1676" s="30" t="str">
        <f ca="1">IFERROR(__xludf.DUMMYFUNCTION("""COMPUTED_VALUE"""),"50820212184871")</f>
        <v>50820212184871</v>
      </c>
      <c r="B1676" s="30" t="str">
        <f ca="1">IFERROR(__xludf.DUMMYFUNCTION("""COMPUTED_VALUE"""),"CENTRO DE SALUD N° 9 BARRIO JARDIN")</f>
        <v>CENTRO DE SALUD N° 9 BARRIO JARDIN</v>
      </c>
      <c r="C1676" s="30" t="str">
        <f ca="1">IFERROR(__xludf.DUMMYFUNCTION("""COMPUTED_VALUE"""),"Santa Fe")</f>
        <v>Santa Fe</v>
      </c>
      <c r="D1676" s="30" t="str">
        <f ca="1">IFERROR(__xludf.DUMMYFUNCTION("""COMPUTED_VALUE"""),"82")</f>
        <v>82</v>
      </c>
      <c r="E1676" s="30" t="str">
        <f ca="1">IFERROR(__xludf.DUMMYFUNCTION("""COMPUTED_VALUE"""),"")</f>
        <v/>
      </c>
      <c r="F1676" s="29"/>
      <c r="G1676" s="29"/>
      <c r="H1676" s="30" t="str">
        <f ca="1">IFERROR(__xludf.DUMMYFUNCTION("""COMPUTED_VALUE"""),"activo")</f>
        <v>activo</v>
      </c>
      <c r="I1676" s="29"/>
      <c r="J1676" s="29"/>
      <c r="K1676" s="29"/>
      <c r="L1676" s="30" t="str">
        <f ca="1">IFERROR(__xludf.DUMMYFUNCTION("""COMPUTED_VALUE"""),"No")</f>
        <v>No</v>
      </c>
      <c r="M1676" s="30" t="str">
        <f ca="1">IFERROR(__xludf.DUMMYFUNCTION("""COMPUTED_VALUE"""),"82021310000")</f>
        <v>82021310000</v>
      </c>
      <c r="N1676" s="30" t="str">
        <f ca="1">IFERROR(__xludf.DUMMYFUNCTION("""COMPUTED_VALUE"""),"RAFAELA")</f>
        <v>RAFAELA</v>
      </c>
      <c r="O1676" s="30" t="str">
        <f ca="1">IFERROR(__xludf.DUMMYFUNCTION("""COMPUTED_VALUE"""),"8221")</f>
        <v>8221</v>
      </c>
      <c r="P1676" s="30" t="str">
        <f ca="1">IFERROR(__xludf.DUMMYFUNCTION("""COMPUTED_VALUE"""),"CASTELLANOS")</f>
        <v>CASTELLANOS</v>
      </c>
      <c r="Q1676" s="30" t="str">
        <f ca="1">IFERROR(__xludf.DUMMYFUNCTION("""COMPUTED_VALUE"""),"-31.25503")</f>
        <v>-31.25503</v>
      </c>
      <c r="R1676" s="30" t="str">
        <f ca="1">IFERROR(__xludf.DUMMYFUNCTION("""COMPUTED_VALUE"""),"-61.51495")</f>
        <v>-61.51495</v>
      </c>
      <c r="S1676" s="30" t="str">
        <f ca="1">IFERROR(__xludf.DUMMYFUNCTION("""COMPUTED_VALUE"""),"Provincial")</f>
        <v>Provincial</v>
      </c>
      <c r="T1676" s="30" t="str">
        <f ca="1">IFERROR(__xludf.DUMMYFUNCTION("""COMPUTED_VALUE"""),"-")</f>
        <v>-</v>
      </c>
    </row>
    <row r="1677" spans="1:20" ht="15.75" customHeight="1" x14ac:dyDescent="0.25">
      <c r="A1677" s="30" t="str">
        <f ca="1">IFERROR(__xludf.DUMMYFUNCTION("""COMPUTED_VALUE"""),"50820492184527")</f>
        <v>50820492184527</v>
      </c>
      <c r="B1677" s="30" t="str">
        <f ca="1">IFERROR(__xludf.DUMMYFUNCTION("""COMPUTED_VALUE"""),"CENTRO DE SALUD BARRIO ITATI - RECONQUISTA")</f>
        <v>CENTRO DE SALUD BARRIO ITATI - RECONQUISTA</v>
      </c>
      <c r="C1677" s="30" t="str">
        <f ca="1">IFERROR(__xludf.DUMMYFUNCTION("""COMPUTED_VALUE"""),"Santa Fe")</f>
        <v>Santa Fe</v>
      </c>
      <c r="D1677" s="30" t="str">
        <f ca="1">IFERROR(__xludf.DUMMYFUNCTION("""COMPUTED_VALUE"""),"82")</f>
        <v>82</v>
      </c>
      <c r="E1677" s="30" t="str">
        <f ca="1">IFERROR(__xludf.DUMMYFUNCTION("""COMPUTED_VALUE"""),"")</f>
        <v/>
      </c>
      <c r="F1677" s="29"/>
      <c r="G1677" s="29"/>
      <c r="H1677" s="30" t="str">
        <f ca="1">IFERROR(__xludf.DUMMYFUNCTION("""COMPUTED_VALUE"""),"activo")</f>
        <v>activo</v>
      </c>
      <c r="I1677" s="29"/>
      <c r="J1677" s="29"/>
      <c r="K1677" s="29"/>
      <c r="L1677" s="30" t="str">
        <f ca="1">IFERROR(__xludf.DUMMYFUNCTION("""COMPUTED_VALUE"""),"No")</f>
        <v>No</v>
      </c>
      <c r="M1677" s="30" t="str">
        <f ca="1">IFERROR(__xludf.DUMMYFUNCTION("""COMPUTED_VALUE"""),"82049180000")</f>
        <v>82049180000</v>
      </c>
      <c r="N1677" s="30" t="str">
        <f ca="1">IFERROR(__xludf.DUMMYFUNCTION("""COMPUTED_VALUE"""),"RECONQUISTA")</f>
        <v>RECONQUISTA</v>
      </c>
      <c r="O1677" s="30" t="str">
        <f ca="1">IFERROR(__xludf.DUMMYFUNCTION("""COMPUTED_VALUE"""),"8249")</f>
        <v>8249</v>
      </c>
      <c r="P1677" s="30" t="str">
        <f ca="1">IFERROR(__xludf.DUMMYFUNCTION("""COMPUTED_VALUE"""),"GENERAL OBLIGADO")</f>
        <v>GENERAL OBLIGADO</v>
      </c>
      <c r="Q1677" s="30" t="str">
        <f ca="1">IFERROR(__xludf.DUMMYFUNCTION("""COMPUTED_VALUE"""),"-29.13896775")</f>
        <v>-29.13896775</v>
      </c>
      <c r="R1677" s="30" t="str">
        <f ca="1">IFERROR(__xludf.DUMMYFUNCTION("""COMPUTED_VALUE"""),"-59.66537476")</f>
        <v>-59.66537476</v>
      </c>
      <c r="S1677" s="30" t="str">
        <f ca="1">IFERROR(__xludf.DUMMYFUNCTION("""COMPUTED_VALUE"""),"Provincial")</f>
        <v>Provincial</v>
      </c>
      <c r="T1677" s="30" t="str">
        <f ca="1">IFERROR(__xludf.DUMMYFUNCTION("""COMPUTED_VALUE"""),"-")</f>
        <v>-</v>
      </c>
    </row>
    <row r="1678" spans="1:20" ht="15.75" customHeight="1" x14ac:dyDescent="0.25">
      <c r="A1678" s="30" t="str">
        <f ca="1">IFERROR(__xludf.DUMMYFUNCTION("""COMPUTED_VALUE"""),"50820492184521")</f>
        <v>50820492184521</v>
      </c>
      <c r="B1678" s="30" t="str">
        <f ca="1">IFERROR(__xludf.DUMMYFUNCTION("""COMPUTED_VALUE"""),"CENTRO DE SALUD BARRIO EL OMBUSAL - EMA BEATRIZ CABRAL")</f>
        <v>CENTRO DE SALUD BARRIO EL OMBUSAL - EMA BEATRIZ CABRAL</v>
      </c>
      <c r="C1678" s="30" t="str">
        <f ca="1">IFERROR(__xludf.DUMMYFUNCTION("""COMPUTED_VALUE"""),"Santa Fe")</f>
        <v>Santa Fe</v>
      </c>
      <c r="D1678" s="30" t="str">
        <f ca="1">IFERROR(__xludf.DUMMYFUNCTION("""COMPUTED_VALUE"""),"82")</f>
        <v>82</v>
      </c>
      <c r="E1678" s="30" t="str">
        <f ca="1">IFERROR(__xludf.DUMMYFUNCTION("""COMPUTED_VALUE"""),"")</f>
        <v/>
      </c>
      <c r="F1678" s="29"/>
      <c r="G1678" s="29"/>
      <c r="H1678" s="30" t="str">
        <f ca="1">IFERROR(__xludf.DUMMYFUNCTION("""COMPUTED_VALUE"""),"activo")</f>
        <v>activo</v>
      </c>
      <c r="I1678" s="29"/>
      <c r="J1678" s="29"/>
      <c r="K1678" s="29"/>
      <c r="L1678" s="30" t="str">
        <f ca="1">IFERROR(__xludf.DUMMYFUNCTION("""COMPUTED_VALUE"""),"No")</f>
        <v>No</v>
      </c>
      <c r="M1678" s="30" t="str">
        <f ca="1">IFERROR(__xludf.DUMMYFUNCTION("""COMPUTED_VALUE"""),"82049180000")</f>
        <v>82049180000</v>
      </c>
      <c r="N1678" s="30" t="str">
        <f ca="1">IFERROR(__xludf.DUMMYFUNCTION("""COMPUTED_VALUE"""),"RECONQUISTA")</f>
        <v>RECONQUISTA</v>
      </c>
      <c r="O1678" s="30" t="str">
        <f ca="1">IFERROR(__xludf.DUMMYFUNCTION("""COMPUTED_VALUE"""),"8249")</f>
        <v>8249</v>
      </c>
      <c r="P1678" s="30" t="str">
        <f ca="1">IFERROR(__xludf.DUMMYFUNCTION("""COMPUTED_VALUE"""),"GENERAL OBLIGADO")</f>
        <v>GENERAL OBLIGADO</v>
      </c>
      <c r="Q1678" s="30" t="str">
        <f ca="1">IFERROR(__xludf.DUMMYFUNCTION("""COMPUTED_VALUE"""),"-29.13896775")</f>
        <v>-29.13896775</v>
      </c>
      <c r="R1678" s="30" t="str">
        <f ca="1">IFERROR(__xludf.DUMMYFUNCTION("""COMPUTED_VALUE"""),"-59.66400146")</f>
        <v>-59.66400146</v>
      </c>
      <c r="S1678" s="30" t="str">
        <f ca="1">IFERROR(__xludf.DUMMYFUNCTION("""COMPUTED_VALUE"""),"Provincial")</f>
        <v>Provincial</v>
      </c>
      <c r="T1678" s="30" t="str">
        <f ca="1">IFERROR(__xludf.DUMMYFUNCTION("""COMPUTED_VALUE"""),"-")</f>
        <v>-</v>
      </c>
    </row>
    <row r="1679" spans="1:20" ht="15.75" customHeight="1" x14ac:dyDescent="0.25">
      <c r="A1679" s="30" t="str">
        <f ca="1">IFERROR(__xludf.DUMMYFUNCTION("""COMPUTED_VALUE"""),"50820492184531")</f>
        <v>50820492184531</v>
      </c>
      <c r="B1679" s="30" t="str">
        <f ca="1">IFERROR(__xludf.DUMMYFUNCTION("""COMPUTED_VALUE"""),"CENTRO DE SALUD BARRIO LA LOMA")</f>
        <v>CENTRO DE SALUD BARRIO LA LOMA</v>
      </c>
      <c r="C1679" s="30" t="str">
        <f ca="1">IFERROR(__xludf.DUMMYFUNCTION("""COMPUTED_VALUE"""),"Santa Fe")</f>
        <v>Santa Fe</v>
      </c>
      <c r="D1679" s="30" t="str">
        <f ca="1">IFERROR(__xludf.DUMMYFUNCTION("""COMPUTED_VALUE"""),"82")</f>
        <v>82</v>
      </c>
      <c r="E1679" s="30" t="str">
        <f ca="1">IFERROR(__xludf.DUMMYFUNCTION("""COMPUTED_VALUE"""),"")</f>
        <v/>
      </c>
      <c r="F1679" s="29"/>
      <c r="G1679" s="29"/>
      <c r="H1679" s="30" t="str">
        <f ca="1">IFERROR(__xludf.DUMMYFUNCTION("""COMPUTED_VALUE"""),"activo")</f>
        <v>activo</v>
      </c>
      <c r="I1679" s="29"/>
      <c r="J1679" s="29"/>
      <c r="K1679" s="29"/>
      <c r="L1679" s="30" t="str">
        <f ca="1">IFERROR(__xludf.DUMMYFUNCTION("""COMPUTED_VALUE"""),"No")</f>
        <v>No</v>
      </c>
      <c r="M1679" s="30" t="str">
        <f ca="1">IFERROR(__xludf.DUMMYFUNCTION("""COMPUTED_VALUE"""),"82049180000")</f>
        <v>82049180000</v>
      </c>
      <c r="N1679" s="30" t="str">
        <f ca="1">IFERROR(__xludf.DUMMYFUNCTION("""COMPUTED_VALUE"""),"RECONQUISTA")</f>
        <v>RECONQUISTA</v>
      </c>
      <c r="O1679" s="30" t="str">
        <f ca="1">IFERROR(__xludf.DUMMYFUNCTION("""COMPUTED_VALUE"""),"8249")</f>
        <v>8249</v>
      </c>
      <c r="P1679" s="30" t="str">
        <f ca="1">IFERROR(__xludf.DUMMYFUNCTION("""COMPUTED_VALUE"""),"GENERAL OBLIGADO")</f>
        <v>GENERAL OBLIGADO</v>
      </c>
      <c r="Q1679" s="30" t="str">
        <f ca="1">IFERROR(__xludf.DUMMYFUNCTION("""COMPUTED_VALUE"""),"-29.18032")</f>
        <v>-29.18032</v>
      </c>
      <c r="R1679" s="30" t="str">
        <f ca="1">IFERROR(__xludf.DUMMYFUNCTION("""COMPUTED_VALUE"""),"-59.66748")</f>
        <v>-59.66748</v>
      </c>
      <c r="S1679" s="30" t="str">
        <f ca="1">IFERROR(__xludf.DUMMYFUNCTION("""COMPUTED_VALUE"""),"Provincial")</f>
        <v>Provincial</v>
      </c>
      <c r="T1679" s="30" t="str">
        <f ca="1">IFERROR(__xludf.DUMMYFUNCTION("""COMPUTED_VALUE"""),"-")</f>
        <v>-</v>
      </c>
    </row>
    <row r="1680" spans="1:20" ht="15.75" customHeight="1" x14ac:dyDescent="0.25">
      <c r="A1680" s="30" t="str">
        <f ca="1">IFERROR(__xludf.DUMMYFUNCTION("""COMPUTED_VALUE"""),"50820492185028")</f>
        <v>50820492185028</v>
      </c>
      <c r="B1680" s="30" t="str">
        <f ca="1">IFERROR(__xludf.DUMMYFUNCTION("""COMPUTED_VALUE"""),"CIC BARRIO AMERICA")</f>
        <v>CIC BARRIO AMERICA</v>
      </c>
      <c r="C1680" s="30" t="str">
        <f ca="1">IFERROR(__xludf.DUMMYFUNCTION("""COMPUTED_VALUE"""),"Santa Fe")</f>
        <v>Santa Fe</v>
      </c>
      <c r="D1680" s="30" t="str">
        <f ca="1">IFERROR(__xludf.DUMMYFUNCTION("""COMPUTED_VALUE"""),"82")</f>
        <v>82</v>
      </c>
      <c r="E1680" s="30" t="str">
        <f ca="1">IFERROR(__xludf.DUMMYFUNCTION("""COMPUTED_VALUE"""),"")</f>
        <v/>
      </c>
      <c r="F1680" s="29"/>
      <c r="G1680" s="29"/>
      <c r="H1680" s="30" t="str">
        <f ca="1">IFERROR(__xludf.DUMMYFUNCTION("""COMPUTED_VALUE"""),"activo")</f>
        <v>activo</v>
      </c>
      <c r="I1680" s="29"/>
      <c r="J1680" s="29"/>
      <c r="K1680" s="29"/>
      <c r="L1680" s="30" t="str">
        <f ca="1">IFERROR(__xludf.DUMMYFUNCTION("""COMPUTED_VALUE"""),"No")</f>
        <v>No</v>
      </c>
      <c r="M1680" s="30" t="str">
        <f ca="1">IFERROR(__xludf.DUMMYFUNCTION("""COMPUTED_VALUE"""),"82049180000")</f>
        <v>82049180000</v>
      </c>
      <c r="N1680" s="30" t="str">
        <f ca="1">IFERROR(__xludf.DUMMYFUNCTION("""COMPUTED_VALUE"""),"RECONQUISTA")</f>
        <v>RECONQUISTA</v>
      </c>
      <c r="O1680" s="30" t="str">
        <f ca="1">IFERROR(__xludf.DUMMYFUNCTION("""COMPUTED_VALUE"""),"8249")</f>
        <v>8249</v>
      </c>
      <c r="P1680" s="30" t="str">
        <f ca="1">IFERROR(__xludf.DUMMYFUNCTION("""COMPUTED_VALUE"""),"GENERAL OBLIGADO")</f>
        <v>GENERAL OBLIGADO</v>
      </c>
      <c r="Q1680" s="30" t="str">
        <f ca="1">IFERROR(__xludf.DUMMYFUNCTION("""COMPUTED_VALUE"""),"-29.14016723")</f>
        <v>-29.14016723</v>
      </c>
      <c r="R1680" s="30" t="str">
        <f ca="1">IFERROR(__xludf.DUMMYFUNCTION("""COMPUTED_VALUE"""),"-59.66400146")</f>
        <v>-59.66400146</v>
      </c>
      <c r="S1680" s="30" t="str">
        <f ca="1">IFERROR(__xludf.DUMMYFUNCTION("""COMPUTED_VALUE"""),"Municipal")</f>
        <v>Municipal</v>
      </c>
      <c r="T1680" s="29"/>
    </row>
    <row r="1681" spans="1:20" ht="15.75" customHeight="1" x14ac:dyDescent="0.25">
      <c r="A1681" s="30" t="str">
        <f ca="1">IFERROR(__xludf.DUMMYFUNCTION("""COMPUTED_VALUE"""),"50820492184530")</f>
        <v>50820492184530</v>
      </c>
      <c r="B1681" s="30" t="str">
        <f ca="1">IFERROR(__xludf.DUMMYFUNCTION("""COMPUTED_VALUE"""),"CENTRO DE SALUD BARRIO LA CORTADA")</f>
        <v>CENTRO DE SALUD BARRIO LA CORTADA</v>
      </c>
      <c r="C1681" s="30" t="str">
        <f ca="1">IFERROR(__xludf.DUMMYFUNCTION("""COMPUTED_VALUE"""),"Santa Fe")</f>
        <v>Santa Fe</v>
      </c>
      <c r="D1681" s="30" t="str">
        <f ca="1">IFERROR(__xludf.DUMMYFUNCTION("""COMPUTED_VALUE"""),"82")</f>
        <v>82</v>
      </c>
      <c r="E1681" s="30" t="str">
        <f ca="1">IFERROR(__xludf.DUMMYFUNCTION("""COMPUTED_VALUE"""),"")</f>
        <v/>
      </c>
      <c r="F1681" s="29"/>
      <c r="G1681" s="29"/>
      <c r="H1681" s="30" t="str">
        <f ca="1">IFERROR(__xludf.DUMMYFUNCTION("""COMPUTED_VALUE"""),"activo")</f>
        <v>activo</v>
      </c>
      <c r="I1681" s="29"/>
      <c r="J1681" s="29"/>
      <c r="K1681" s="29"/>
      <c r="L1681" s="30" t="str">
        <f ca="1">IFERROR(__xludf.DUMMYFUNCTION("""COMPUTED_VALUE"""),"No")</f>
        <v>No</v>
      </c>
      <c r="M1681" s="30" t="str">
        <f ca="1">IFERROR(__xludf.DUMMYFUNCTION("""COMPUTED_VALUE"""),"82049180000")</f>
        <v>82049180000</v>
      </c>
      <c r="N1681" s="30" t="str">
        <f ca="1">IFERROR(__xludf.DUMMYFUNCTION("""COMPUTED_VALUE"""),"RECONQUISTA")</f>
        <v>RECONQUISTA</v>
      </c>
      <c r="O1681" s="30" t="str">
        <f ca="1">IFERROR(__xludf.DUMMYFUNCTION("""COMPUTED_VALUE"""),"8249")</f>
        <v>8249</v>
      </c>
      <c r="P1681" s="30" t="str">
        <f ca="1">IFERROR(__xludf.DUMMYFUNCTION("""COMPUTED_VALUE"""),"GENERAL OBLIGADO")</f>
        <v>GENERAL OBLIGADO</v>
      </c>
      <c r="Q1681" s="30" t="str">
        <f ca="1">IFERROR(__xludf.DUMMYFUNCTION("""COMPUTED_VALUE"""),"-29.14531")</f>
        <v>-29.14531</v>
      </c>
      <c r="R1681" s="30" t="str">
        <f ca="1">IFERROR(__xludf.DUMMYFUNCTION("""COMPUTED_VALUE"""),"-59.63624")</f>
        <v>-59.63624</v>
      </c>
      <c r="S1681" s="30" t="str">
        <f ca="1">IFERROR(__xludf.DUMMYFUNCTION("""COMPUTED_VALUE"""),"Provincial")</f>
        <v>Provincial</v>
      </c>
      <c r="T1681" s="30" t="str">
        <f ca="1">IFERROR(__xludf.DUMMYFUNCTION("""COMPUTED_VALUE"""),"-")</f>
        <v>-</v>
      </c>
    </row>
    <row r="1682" spans="1:20" ht="15.75" customHeight="1" x14ac:dyDescent="0.25">
      <c r="A1682" s="30" t="str">
        <f ca="1">IFERROR(__xludf.DUMMYFUNCTION("""COMPUTED_VALUE"""),"50820632184916")</f>
        <v>50820632184916</v>
      </c>
      <c r="B1682" s="30" t="str">
        <f ca="1">IFERROR(__xludf.DUMMYFUNCTION("""COMPUTED_VALUE"""),"CENTRO DE SALUD RECREO")</f>
        <v>CENTRO DE SALUD RECREO</v>
      </c>
      <c r="C1682" s="30" t="str">
        <f ca="1">IFERROR(__xludf.DUMMYFUNCTION("""COMPUTED_VALUE"""),"Santa Fe")</f>
        <v>Santa Fe</v>
      </c>
      <c r="D1682" s="30" t="str">
        <f ca="1">IFERROR(__xludf.DUMMYFUNCTION("""COMPUTED_VALUE"""),"82")</f>
        <v>82</v>
      </c>
      <c r="E1682" s="30" t="str">
        <f ca="1">IFERROR(__xludf.DUMMYFUNCTION("""COMPUTED_VALUE"""),"")</f>
        <v/>
      </c>
      <c r="F1682" s="29"/>
      <c r="G1682" s="29"/>
      <c r="H1682" s="30" t="str">
        <f ca="1">IFERROR(__xludf.DUMMYFUNCTION("""COMPUTED_VALUE"""),"activo")</f>
        <v>activo</v>
      </c>
      <c r="I1682" s="29"/>
      <c r="J1682" s="29"/>
      <c r="K1682" s="29"/>
      <c r="L1682" s="30" t="str">
        <f ca="1">IFERROR(__xludf.DUMMYFUNCTION("""COMPUTED_VALUE"""),"No")</f>
        <v>No</v>
      </c>
      <c r="M1682" s="30" t="str">
        <f ca="1">IFERROR(__xludf.DUMMYFUNCTION("""COMPUTED_VALUE"""),"82063140000")</f>
        <v>82063140000</v>
      </c>
      <c r="N1682" s="30" t="str">
        <f ca="1">IFERROR(__xludf.DUMMYFUNCTION("""COMPUTED_VALUE"""),"RECREO")</f>
        <v>RECREO</v>
      </c>
      <c r="O1682" s="30" t="str">
        <f ca="1">IFERROR(__xludf.DUMMYFUNCTION("""COMPUTED_VALUE"""),"8263")</f>
        <v>8263</v>
      </c>
      <c r="P1682" s="30" t="str">
        <f ca="1">IFERROR(__xludf.DUMMYFUNCTION("""COMPUTED_VALUE"""),"LA CAPITAL")</f>
        <v>LA CAPITAL</v>
      </c>
      <c r="Q1682" s="30" t="str">
        <f ca="1">IFERROR(__xludf.DUMMYFUNCTION("""COMPUTED_VALUE"""),"-31.4917")</f>
        <v>-31.4917</v>
      </c>
      <c r="R1682" s="30" t="str">
        <f ca="1">IFERROR(__xludf.DUMMYFUNCTION("""COMPUTED_VALUE"""),"-60.73633333")</f>
        <v>-60.73633333</v>
      </c>
      <c r="S1682" s="30" t="str">
        <f ca="1">IFERROR(__xludf.DUMMYFUNCTION("""COMPUTED_VALUE"""),"Provincial")</f>
        <v>Provincial</v>
      </c>
      <c r="T1682" s="30" t="str">
        <f ca="1">IFERROR(__xludf.DUMMYFUNCTION("""COMPUTED_VALUE"""),"-")</f>
        <v>-</v>
      </c>
    </row>
    <row r="1683" spans="1:20" ht="15.75" customHeight="1" x14ac:dyDescent="0.25">
      <c r="A1683" s="30" t="str">
        <f ca="1">IFERROR(__xludf.DUMMYFUNCTION("""COMPUTED_VALUE"""),"50821192184951")</f>
        <v>50821192184951</v>
      </c>
      <c r="B1683" s="30" t="str">
        <f ca="1">IFERROR(__xludf.DUMMYFUNCTION("""COMPUTED_VALUE"""),"CENTRO DE SALUD SAN JUAN BAUTISTA")</f>
        <v>CENTRO DE SALUD SAN JUAN BAUTISTA</v>
      </c>
      <c r="C1683" s="30" t="str">
        <f ca="1">IFERROR(__xludf.DUMMYFUNCTION("""COMPUTED_VALUE"""),"Santa Fe")</f>
        <v>Santa Fe</v>
      </c>
      <c r="D1683" s="30" t="str">
        <f ca="1">IFERROR(__xludf.DUMMYFUNCTION("""COMPUTED_VALUE"""),"82")</f>
        <v>82</v>
      </c>
      <c r="E1683" s="30" t="str">
        <f ca="1">IFERROR(__xludf.DUMMYFUNCTION("""COMPUTED_VALUE"""),"")</f>
        <v/>
      </c>
      <c r="F1683" s="29"/>
      <c r="G1683" s="29"/>
      <c r="H1683" s="30" t="str">
        <f ca="1">IFERROR(__xludf.DUMMYFUNCTION("""COMPUTED_VALUE"""),"inactivo")</f>
        <v>inactivo</v>
      </c>
      <c r="I1683" s="30" t="str">
        <f ca="1">IFERROR(__xludf.DUMMYFUNCTION("""COMPUTED_VALUE"""),"se dio de baja a pedido de la provincia bajo nota del 28-7-2022")</f>
        <v>se dio de baja a pedido de la provincia bajo nota del 28-7-2022</v>
      </c>
      <c r="J1683" s="29"/>
      <c r="K1683" s="29"/>
      <c r="L1683" s="30" t="str">
        <f ca="1">IFERROR(__xludf.DUMMYFUNCTION("""COMPUTED_VALUE"""),"No")</f>
        <v>No</v>
      </c>
      <c r="M1683" s="30" t="str">
        <f ca="1">IFERROR(__xludf.DUMMYFUNCTION("""COMPUTED_VALUE"""),"82119100000")</f>
        <v>82119100000</v>
      </c>
      <c r="N1683" s="30" t="str">
        <f ca="1">IFERROR(__xludf.DUMMYFUNCTION("""COMPUTED_VALUE"""),"RICARDONE")</f>
        <v>RICARDONE</v>
      </c>
      <c r="O1683" s="30" t="str">
        <f ca="1">IFERROR(__xludf.DUMMYFUNCTION("""COMPUTED_VALUE"""),"82119")</f>
        <v>82119</v>
      </c>
      <c r="P1683" s="30" t="str">
        <f ca="1">IFERROR(__xludf.DUMMYFUNCTION("""COMPUTED_VALUE"""),"SAN LORENZO")</f>
        <v>SAN LORENZO</v>
      </c>
      <c r="Q1683" s="30" t="str">
        <f ca="1">IFERROR(__xludf.DUMMYFUNCTION("""COMPUTED_VALUE"""),"-32.77417204")</f>
        <v>-32.77417204</v>
      </c>
      <c r="R1683" s="30" t="str">
        <f ca="1">IFERROR(__xludf.DUMMYFUNCTION("""COMPUTED_VALUE"""),"-60.78733072")</f>
        <v>-60.78733072</v>
      </c>
      <c r="S1683" s="30" t="str">
        <f ca="1">IFERROR(__xludf.DUMMYFUNCTION("""COMPUTED_VALUE"""),"Provincial")</f>
        <v>Provincial</v>
      </c>
      <c r="T1683" s="30" t="str">
        <f ca="1">IFERROR(__xludf.DUMMYFUNCTION("""COMPUTED_VALUE"""),"-")</f>
        <v>-</v>
      </c>
    </row>
    <row r="1684" spans="1:20" ht="15.75" customHeight="1" x14ac:dyDescent="0.25">
      <c r="A1684" s="30" t="str">
        <f ca="1">IFERROR(__xludf.DUMMYFUNCTION("""COMPUTED_VALUE"""),"50820842284953")</f>
        <v>50820842284953</v>
      </c>
      <c r="B1684" s="30" t="str">
        <f ca="1">IFERROR(__xludf.DUMMYFUNCTION("""COMPUTED_VALUE"""),"CENTRO DE SALUD SAN MARTIN - ROSARIO")</f>
        <v>CENTRO DE SALUD SAN MARTIN - ROSARIO</v>
      </c>
      <c r="C1684" s="30" t="str">
        <f ca="1">IFERROR(__xludf.DUMMYFUNCTION("""COMPUTED_VALUE"""),"Santa Fe")</f>
        <v>Santa Fe</v>
      </c>
      <c r="D1684" s="30" t="str">
        <f ca="1">IFERROR(__xludf.DUMMYFUNCTION("""COMPUTED_VALUE"""),"82")</f>
        <v>82</v>
      </c>
      <c r="E1684" s="30" t="str">
        <f ca="1">IFERROR(__xludf.DUMMYFUNCTION("""COMPUTED_VALUE"""),"")</f>
        <v/>
      </c>
      <c r="F1684" s="29"/>
      <c r="G1684" s="29"/>
      <c r="H1684" s="30" t="str">
        <f ca="1">IFERROR(__xludf.DUMMYFUNCTION("""COMPUTED_VALUE"""),"activo")</f>
        <v>activo</v>
      </c>
      <c r="I1684" s="29"/>
      <c r="J1684" s="29"/>
      <c r="K1684" s="29"/>
      <c r="L1684" s="30" t="str">
        <f ca="1">IFERROR(__xludf.DUMMYFUNCTION("""COMPUTED_VALUE"""),"No")</f>
        <v>No</v>
      </c>
      <c r="M1684" s="30" t="str">
        <f ca="1">IFERROR(__xludf.DUMMYFUNCTION("""COMPUTED_VALUE"""),"82084270000")</f>
        <v>82084270000</v>
      </c>
      <c r="N1684" s="30" t="str">
        <f ca="1">IFERROR(__xludf.DUMMYFUNCTION("""COMPUTED_VALUE"""),"ROSARIO")</f>
        <v>ROSARIO</v>
      </c>
      <c r="O1684" s="30" t="str">
        <f ca="1">IFERROR(__xludf.DUMMYFUNCTION("""COMPUTED_VALUE"""),"8284")</f>
        <v>8284</v>
      </c>
      <c r="P1684" s="30" t="str">
        <f ca="1">IFERROR(__xludf.DUMMYFUNCTION("""COMPUTED_VALUE"""),"ROSARIO")</f>
        <v>ROSARIO</v>
      </c>
      <c r="Q1684" s="30" t="str">
        <f ca="1">IFERROR(__xludf.DUMMYFUNCTION("""COMPUTED_VALUE"""),"-32.946264")</f>
        <v>-32.946264</v>
      </c>
      <c r="R1684" s="30" t="str">
        <f ca="1">IFERROR(__xludf.DUMMYFUNCTION("""COMPUTED_VALUE"""),"-60.717553")</f>
        <v>-60.717553</v>
      </c>
      <c r="S1684" s="30" t="str">
        <f ca="1">IFERROR(__xludf.DUMMYFUNCTION("""COMPUTED_VALUE"""),"Municipal")</f>
        <v>Municipal</v>
      </c>
      <c r="T1684" s="29"/>
    </row>
    <row r="1685" spans="1:20" ht="15.75" customHeight="1" x14ac:dyDescent="0.25">
      <c r="A1685" s="30" t="str">
        <f ca="1">IFERROR(__xludf.DUMMYFUNCTION("""COMPUTED_VALUE"""),"50820842284471")</f>
        <v>50820842284471</v>
      </c>
      <c r="B1685" s="30" t="str">
        <f ca="1">IFERROR(__xludf.DUMMYFUNCTION("""COMPUTED_VALUE"""),"CENTRO DE SALUD JUANA AZURDUY")</f>
        <v>CENTRO DE SALUD JUANA AZURDUY</v>
      </c>
      <c r="C1685" s="30" t="str">
        <f ca="1">IFERROR(__xludf.DUMMYFUNCTION("""COMPUTED_VALUE"""),"Santa Fe")</f>
        <v>Santa Fe</v>
      </c>
      <c r="D1685" s="30" t="str">
        <f ca="1">IFERROR(__xludf.DUMMYFUNCTION("""COMPUTED_VALUE"""),"82")</f>
        <v>82</v>
      </c>
      <c r="E1685" s="30" t="str">
        <f ca="1">IFERROR(__xludf.DUMMYFUNCTION("""COMPUTED_VALUE"""),"")</f>
        <v/>
      </c>
      <c r="F1685" s="29"/>
      <c r="G1685" s="29"/>
      <c r="H1685" s="30" t="str">
        <f ca="1">IFERROR(__xludf.DUMMYFUNCTION("""COMPUTED_VALUE"""),"activo")</f>
        <v>activo</v>
      </c>
      <c r="I1685" s="29"/>
      <c r="J1685" s="29"/>
      <c r="K1685" s="29"/>
      <c r="L1685" s="30" t="str">
        <f ca="1">IFERROR(__xludf.DUMMYFUNCTION("""COMPUTED_VALUE"""),"No")</f>
        <v>No</v>
      </c>
      <c r="M1685" s="30" t="str">
        <f ca="1">IFERROR(__xludf.DUMMYFUNCTION("""COMPUTED_VALUE"""),"82084270000")</f>
        <v>82084270000</v>
      </c>
      <c r="N1685" s="30" t="str">
        <f ca="1">IFERROR(__xludf.DUMMYFUNCTION("""COMPUTED_VALUE"""),"ROSARIO")</f>
        <v>ROSARIO</v>
      </c>
      <c r="O1685" s="30" t="str">
        <f ca="1">IFERROR(__xludf.DUMMYFUNCTION("""COMPUTED_VALUE"""),"8284")</f>
        <v>8284</v>
      </c>
      <c r="P1685" s="30" t="str">
        <f ca="1">IFERROR(__xludf.DUMMYFUNCTION("""COMPUTED_VALUE"""),"ROSARIO")</f>
        <v>ROSARIO</v>
      </c>
      <c r="Q1685" s="30" t="str">
        <f ca="1">IFERROR(__xludf.DUMMYFUNCTION("""COMPUTED_VALUE"""),"-32.91584093")</f>
        <v>-32.91584093</v>
      </c>
      <c r="R1685" s="30" t="str">
        <f ca="1">IFERROR(__xludf.DUMMYFUNCTION("""COMPUTED_VALUE"""),"-60.71160686")</f>
        <v>-60.71160686</v>
      </c>
      <c r="S1685" s="30" t="str">
        <f ca="1">IFERROR(__xludf.DUMMYFUNCTION("""COMPUTED_VALUE"""),"Municipal")</f>
        <v>Municipal</v>
      </c>
      <c r="T1685" s="29"/>
    </row>
    <row r="1686" spans="1:20" ht="15.75" customHeight="1" x14ac:dyDescent="0.25">
      <c r="A1686" s="30" t="str">
        <f ca="1">IFERROR(__xludf.DUMMYFUNCTION("""COMPUTED_VALUE"""),"50820842284811")</f>
        <v>50820842284811</v>
      </c>
      <c r="B1686" s="30" t="str">
        <f ca="1">IFERROR(__xludf.DUMMYFUNCTION("""COMPUTED_VALUE"""),"CENTRO DE SALUD MAURICIO CASALS")</f>
        <v>CENTRO DE SALUD MAURICIO CASALS</v>
      </c>
      <c r="C1686" s="30" t="str">
        <f ca="1">IFERROR(__xludf.DUMMYFUNCTION("""COMPUTED_VALUE"""),"Santa Fe")</f>
        <v>Santa Fe</v>
      </c>
      <c r="D1686" s="30" t="str">
        <f ca="1">IFERROR(__xludf.DUMMYFUNCTION("""COMPUTED_VALUE"""),"82")</f>
        <v>82</v>
      </c>
      <c r="E1686" s="30" t="str">
        <f ca="1">IFERROR(__xludf.DUMMYFUNCTION("""COMPUTED_VALUE"""),"")</f>
        <v/>
      </c>
      <c r="F1686" s="29"/>
      <c r="G1686" s="29"/>
      <c r="H1686" s="30" t="str">
        <f ca="1">IFERROR(__xludf.DUMMYFUNCTION("""COMPUTED_VALUE"""),"activo")</f>
        <v>activo</v>
      </c>
      <c r="I1686" s="29"/>
      <c r="J1686" s="29"/>
      <c r="K1686" s="29"/>
      <c r="L1686" s="30" t="str">
        <f ca="1">IFERROR(__xludf.DUMMYFUNCTION("""COMPUTED_VALUE"""),"No")</f>
        <v>No</v>
      </c>
      <c r="M1686" s="30" t="str">
        <f ca="1">IFERROR(__xludf.DUMMYFUNCTION("""COMPUTED_VALUE"""),"82084270000")</f>
        <v>82084270000</v>
      </c>
      <c r="N1686" s="30" t="str">
        <f ca="1">IFERROR(__xludf.DUMMYFUNCTION("""COMPUTED_VALUE"""),"ROSARIO")</f>
        <v>ROSARIO</v>
      </c>
      <c r="O1686" s="30" t="str">
        <f ca="1">IFERROR(__xludf.DUMMYFUNCTION("""COMPUTED_VALUE"""),"8284")</f>
        <v>8284</v>
      </c>
      <c r="P1686" s="30" t="str">
        <f ca="1">IFERROR(__xludf.DUMMYFUNCTION("""COMPUTED_VALUE"""),"ROSARIO")</f>
        <v>ROSARIO</v>
      </c>
      <c r="Q1686" s="30" t="str">
        <f ca="1">IFERROR(__xludf.DUMMYFUNCTION("""COMPUTED_VALUE"""),"-32.97047378")</f>
        <v>-32.97047378</v>
      </c>
      <c r="R1686" s="30" t="str">
        <f ca="1">IFERROR(__xludf.DUMMYFUNCTION("""COMPUTED_VALUE"""),"-60.69548625")</f>
        <v>-60.69548625</v>
      </c>
      <c r="S1686" s="30" t="str">
        <f ca="1">IFERROR(__xludf.DUMMYFUNCTION("""COMPUTED_VALUE"""),"Municipal")</f>
        <v>Municipal</v>
      </c>
      <c r="T1686" s="29"/>
    </row>
    <row r="1687" spans="1:20" ht="15.75" customHeight="1" x14ac:dyDescent="0.25">
      <c r="A1687" s="30" t="str">
        <f ca="1">IFERROR(__xludf.DUMMYFUNCTION("""COMPUTED_VALUE"""),"50820842284639")</f>
        <v>50820842284639</v>
      </c>
      <c r="B1687" s="30" t="str">
        <f ca="1">IFERROR(__xludf.DUMMYFUNCTION("""COMPUTED_VALUE"""),"CENTRO DE SALUD DR. DAVID STAFFIERI")</f>
        <v>CENTRO DE SALUD DR. DAVID STAFFIERI</v>
      </c>
      <c r="C1687" s="30" t="str">
        <f ca="1">IFERROR(__xludf.DUMMYFUNCTION("""COMPUTED_VALUE"""),"Santa Fe")</f>
        <v>Santa Fe</v>
      </c>
      <c r="D1687" s="30" t="str">
        <f ca="1">IFERROR(__xludf.DUMMYFUNCTION("""COMPUTED_VALUE"""),"82")</f>
        <v>82</v>
      </c>
      <c r="E1687" s="30" t="str">
        <f ca="1">IFERROR(__xludf.DUMMYFUNCTION("""COMPUTED_VALUE"""),"")</f>
        <v/>
      </c>
      <c r="F1687" s="29"/>
      <c r="G1687" s="29"/>
      <c r="H1687" s="30" t="str">
        <f ca="1">IFERROR(__xludf.DUMMYFUNCTION("""COMPUTED_VALUE"""),"activo")</f>
        <v>activo</v>
      </c>
      <c r="I1687" s="29"/>
      <c r="J1687" s="29"/>
      <c r="K1687" s="29"/>
      <c r="L1687" s="30" t="str">
        <f ca="1">IFERROR(__xludf.DUMMYFUNCTION("""COMPUTED_VALUE"""),"No")</f>
        <v>No</v>
      </c>
      <c r="M1687" s="30" t="str">
        <f ca="1">IFERROR(__xludf.DUMMYFUNCTION("""COMPUTED_VALUE"""),"82084270000")</f>
        <v>82084270000</v>
      </c>
      <c r="N1687" s="30" t="str">
        <f ca="1">IFERROR(__xludf.DUMMYFUNCTION("""COMPUTED_VALUE"""),"ROSARIO")</f>
        <v>ROSARIO</v>
      </c>
      <c r="O1687" s="30" t="str">
        <f ca="1">IFERROR(__xludf.DUMMYFUNCTION("""COMPUTED_VALUE"""),"8284")</f>
        <v>8284</v>
      </c>
      <c r="P1687" s="30" t="str">
        <f ca="1">IFERROR(__xludf.DUMMYFUNCTION("""COMPUTED_VALUE"""),"ROSARIO")</f>
        <v>ROSARIO</v>
      </c>
      <c r="Q1687" s="30" t="str">
        <f ca="1">IFERROR(__xludf.DUMMYFUNCTION("""COMPUTED_VALUE"""),"-32.95821485")</f>
        <v>-32.95821485</v>
      </c>
      <c r="R1687" s="30" t="str">
        <f ca="1">IFERROR(__xludf.DUMMYFUNCTION("""COMPUTED_VALUE"""),"-60.69025487")</f>
        <v>-60.69025487</v>
      </c>
      <c r="S1687" s="30" t="str">
        <f ca="1">IFERROR(__xludf.DUMMYFUNCTION("""COMPUTED_VALUE"""),"Municipal")</f>
        <v>Municipal</v>
      </c>
      <c r="T1687" s="29"/>
    </row>
    <row r="1688" spans="1:20" ht="15.75" customHeight="1" x14ac:dyDescent="0.25">
      <c r="A1688" s="30" t="str">
        <f ca="1">IFERROR(__xludf.DUMMYFUNCTION("""COMPUTED_VALUE"""),"50820842284694")</f>
        <v>50820842284694</v>
      </c>
      <c r="B1688" s="30" t="str">
        <f ca="1">IFERROR(__xludf.DUMMYFUNCTION("""COMPUTED_VALUE"""),"CENTRO DE SALUD EVA DUARTE")</f>
        <v>CENTRO DE SALUD EVA DUARTE</v>
      </c>
      <c r="C1688" s="30" t="str">
        <f ca="1">IFERROR(__xludf.DUMMYFUNCTION("""COMPUTED_VALUE"""),"Santa Fe")</f>
        <v>Santa Fe</v>
      </c>
      <c r="D1688" s="30" t="str">
        <f ca="1">IFERROR(__xludf.DUMMYFUNCTION("""COMPUTED_VALUE"""),"82")</f>
        <v>82</v>
      </c>
      <c r="E1688" s="30" t="str">
        <f ca="1">IFERROR(__xludf.DUMMYFUNCTION("""COMPUTED_VALUE"""),"")</f>
        <v/>
      </c>
      <c r="F1688" s="29"/>
      <c r="G1688" s="29"/>
      <c r="H1688" s="30" t="str">
        <f ca="1">IFERROR(__xludf.DUMMYFUNCTION("""COMPUTED_VALUE"""),"activo")</f>
        <v>activo</v>
      </c>
      <c r="I1688" s="29"/>
      <c r="J1688" s="29"/>
      <c r="K1688" s="29"/>
      <c r="L1688" s="30" t="str">
        <f ca="1">IFERROR(__xludf.DUMMYFUNCTION("""COMPUTED_VALUE"""),"No")</f>
        <v>No</v>
      </c>
      <c r="M1688" s="30" t="str">
        <f ca="1">IFERROR(__xludf.DUMMYFUNCTION("""COMPUTED_VALUE"""),"82084270000")</f>
        <v>82084270000</v>
      </c>
      <c r="N1688" s="30" t="str">
        <f ca="1">IFERROR(__xludf.DUMMYFUNCTION("""COMPUTED_VALUE"""),"ROSARIO")</f>
        <v>ROSARIO</v>
      </c>
      <c r="O1688" s="30" t="str">
        <f ca="1">IFERROR(__xludf.DUMMYFUNCTION("""COMPUTED_VALUE"""),"8284")</f>
        <v>8284</v>
      </c>
      <c r="P1688" s="30" t="str">
        <f ca="1">IFERROR(__xludf.DUMMYFUNCTION("""COMPUTED_VALUE"""),"ROSARIO")</f>
        <v>ROSARIO</v>
      </c>
      <c r="Q1688" s="30" t="str">
        <f ca="1">IFERROR(__xludf.DUMMYFUNCTION("""COMPUTED_VALUE"""),"-32.95295515")</f>
        <v>-32.95295515</v>
      </c>
      <c r="R1688" s="30" t="str">
        <f ca="1">IFERROR(__xludf.DUMMYFUNCTION("""COMPUTED_VALUE"""),"-60.70161402")</f>
        <v>-60.70161402</v>
      </c>
      <c r="S1688" s="30" t="str">
        <f ca="1">IFERROR(__xludf.DUMMYFUNCTION("""COMPUTED_VALUE"""),"Municipal")</f>
        <v>Municipal</v>
      </c>
      <c r="T1688" s="29"/>
    </row>
    <row r="1689" spans="1:20" ht="15.75" customHeight="1" x14ac:dyDescent="0.25">
      <c r="A1689" s="30" t="str">
        <f ca="1">IFERROR(__xludf.DUMMYFUNCTION("""COMPUTED_VALUE"""),"50820842286260")</f>
        <v>50820842286260</v>
      </c>
      <c r="B1689" s="30" t="str">
        <f ca="1">IFERROR(__xludf.DUMMYFUNCTION("""COMPUTED_VALUE"""),"CENTRO DE SALUD DR. ESTEBAN MARADONA - ROSARIO")</f>
        <v>CENTRO DE SALUD DR. ESTEBAN MARADONA - ROSARIO</v>
      </c>
      <c r="C1689" s="30" t="str">
        <f ca="1">IFERROR(__xludf.DUMMYFUNCTION("""COMPUTED_VALUE"""),"Santa Fe")</f>
        <v>Santa Fe</v>
      </c>
      <c r="D1689" s="30" t="str">
        <f ca="1">IFERROR(__xludf.DUMMYFUNCTION("""COMPUTED_VALUE"""),"82")</f>
        <v>82</v>
      </c>
      <c r="E1689" s="30" t="str">
        <f ca="1">IFERROR(__xludf.DUMMYFUNCTION("""COMPUTED_VALUE"""),"")</f>
        <v/>
      </c>
      <c r="F1689" s="29"/>
      <c r="G1689" s="29"/>
      <c r="H1689" s="30" t="str">
        <f ca="1">IFERROR(__xludf.DUMMYFUNCTION("""COMPUTED_VALUE"""),"activo")</f>
        <v>activo</v>
      </c>
      <c r="I1689" s="29"/>
      <c r="J1689" s="29"/>
      <c r="K1689" s="29"/>
      <c r="L1689" s="30" t="str">
        <f ca="1">IFERROR(__xludf.DUMMYFUNCTION("""COMPUTED_VALUE"""),"No")</f>
        <v>No</v>
      </c>
      <c r="M1689" s="30" t="str">
        <f ca="1">IFERROR(__xludf.DUMMYFUNCTION("""COMPUTED_VALUE"""),"82084270000")</f>
        <v>82084270000</v>
      </c>
      <c r="N1689" s="30" t="str">
        <f ca="1">IFERROR(__xludf.DUMMYFUNCTION("""COMPUTED_VALUE"""),"ROSARIO")</f>
        <v>ROSARIO</v>
      </c>
      <c r="O1689" s="30" t="str">
        <f ca="1">IFERROR(__xludf.DUMMYFUNCTION("""COMPUTED_VALUE"""),"8284")</f>
        <v>8284</v>
      </c>
      <c r="P1689" s="30" t="str">
        <f ca="1">IFERROR(__xludf.DUMMYFUNCTION("""COMPUTED_VALUE"""),"ROSARIO")</f>
        <v>ROSARIO</v>
      </c>
      <c r="Q1689" s="30" t="str">
        <f ca="1">IFERROR(__xludf.DUMMYFUNCTION("""COMPUTED_VALUE"""),"-32.94939561")</f>
        <v>-32.94939561</v>
      </c>
      <c r="R1689" s="30" t="str">
        <f ca="1">IFERROR(__xludf.DUMMYFUNCTION("""COMPUTED_VALUE"""),"-60.69358349")</f>
        <v>-60.69358349</v>
      </c>
      <c r="S1689" s="30" t="str">
        <f ca="1">IFERROR(__xludf.DUMMYFUNCTION("""COMPUTED_VALUE"""),"Municipal")</f>
        <v>Municipal</v>
      </c>
      <c r="T1689" s="29"/>
    </row>
    <row r="1690" spans="1:20" ht="15.75" customHeight="1" x14ac:dyDescent="0.25">
      <c r="A1690" s="30" t="str">
        <f ca="1">IFERROR(__xludf.DUMMYFUNCTION("""COMPUTED_VALUE"""),"50820842284921")</f>
        <v>50820842284921</v>
      </c>
      <c r="B1690" s="30" t="str">
        <f ca="1">IFERROR(__xludf.DUMMYFUNCTION("""COMPUTED_VALUE"""),"CENTRO DE SALUD ROQUE COULIN")</f>
        <v>CENTRO DE SALUD ROQUE COULIN</v>
      </c>
      <c r="C1690" s="30" t="str">
        <f ca="1">IFERROR(__xludf.DUMMYFUNCTION("""COMPUTED_VALUE"""),"Santa Fe")</f>
        <v>Santa Fe</v>
      </c>
      <c r="D1690" s="30" t="str">
        <f ca="1">IFERROR(__xludf.DUMMYFUNCTION("""COMPUTED_VALUE"""),"82")</f>
        <v>82</v>
      </c>
      <c r="E1690" s="30" t="str">
        <f ca="1">IFERROR(__xludf.DUMMYFUNCTION("""COMPUTED_VALUE"""),"")</f>
        <v/>
      </c>
      <c r="F1690" s="29"/>
      <c r="G1690" s="29"/>
      <c r="H1690" s="30" t="str">
        <f ca="1">IFERROR(__xludf.DUMMYFUNCTION("""COMPUTED_VALUE"""),"activo")</f>
        <v>activo</v>
      </c>
      <c r="I1690" s="29"/>
      <c r="J1690" s="29"/>
      <c r="K1690" s="29"/>
      <c r="L1690" s="30" t="str">
        <f ca="1">IFERROR(__xludf.DUMMYFUNCTION("""COMPUTED_VALUE"""),"No")</f>
        <v>No</v>
      </c>
      <c r="M1690" s="30" t="str">
        <f ca="1">IFERROR(__xludf.DUMMYFUNCTION("""COMPUTED_VALUE"""),"82084270000")</f>
        <v>82084270000</v>
      </c>
      <c r="N1690" s="30" t="str">
        <f ca="1">IFERROR(__xludf.DUMMYFUNCTION("""COMPUTED_VALUE"""),"ROSARIO")</f>
        <v>ROSARIO</v>
      </c>
      <c r="O1690" s="30" t="str">
        <f ca="1">IFERROR(__xludf.DUMMYFUNCTION("""COMPUTED_VALUE"""),"8284")</f>
        <v>8284</v>
      </c>
      <c r="P1690" s="30" t="str">
        <f ca="1">IFERROR(__xludf.DUMMYFUNCTION("""COMPUTED_VALUE"""),"ROSARIO")</f>
        <v>ROSARIO</v>
      </c>
      <c r="Q1690" s="30" t="str">
        <f ca="1">IFERROR(__xludf.DUMMYFUNCTION("""COMPUTED_VALUE"""),"-32.9299568")</f>
        <v>-32.9299568</v>
      </c>
      <c r="R1690" s="30" t="str">
        <f ca="1">IFERROR(__xludf.DUMMYFUNCTION("""COMPUTED_VALUE"""),"-60.6917604")</f>
        <v>-60.6917604</v>
      </c>
      <c r="S1690" s="30" t="str">
        <f ca="1">IFERROR(__xludf.DUMMYFUNCTION("""COMPUTED_VALUE"""),"Municipal")</f>
        <v>Municipal</v>
      </c>
      <c r="T1690" s="29"/>
    </row>
    <row r="1691" spans="1:20" ht="15.75" customHeight="1" x14ac:dyDescent="0.25">
      <c r="A1691" s="30" t="str">
        <f ca="1">IFERROR(__xludf.DUMMYFUNCTION("""COMPUTED_VALUE"""),"50820842284791")</f>
        <v>50820842284791</v>
      </c>
      <c r="B1691" s="30" t="str">
        <f ca="1">IFERROR(__xludf.DUMMYFUNCTION("""COMPUTED_VALUE"""),"CENTRO DE SALUD LUCHEMOS POR LA VIDA")</f>
        <v>CENTRO DE SALUD LUCHEMOS POR LA VIDA</v>
      </c>
      <c r="C1691" s="30" t="str">
        <f ca="1">IFERROR(__xludf.DUMMYFUNCTION("""COMPUTED_VALUE"""),"Santa Fe")</f>
        <v>Santa Fe</v>
      </c>
      <c r="D1691" s="30" t="str">
        <f ca="1">IFERROR(__xludf.DUMMYFUNCTION("""COMPUTED_VALUE"""),"82")</f>
        <v>82</v>
      </c>
      <c r="E1691" s="30" t="str">
        <f ca="1">IFERROR(__xludf.DUMMYFUNCTION("""COMPUTED_VALUE"""),"")</f>
        <v/>
      </c>
      <c r="F1691" s="29"/>
      <c r="G1691" s="29"/>
      <c r="H1691" s="30" t="str">
        <f ca="1">IFERROR(__xludf.DUMMYFUNCTION("""COMPUTED_VALUE"""),"activo")</f>
        <v>activo</v>
      </c>
      <c r="I1691" s="29"/>
      <c r="J1691" s="29"/>
      <c r="K1691" s="29"/>
      <c r="L1691" s="30" t="str">
        <f ca="1">IFERROR(__xludf.DUMMYFUNCTION("""COMPUTED_VALUE"""),"No")</f>
        <v>No</v>
      </c>
      <c r="M1691" s="30" t="str">
        <f ca="1">IFERROR(__xludf.DUMMYFUNCTION("""COMPUTED_VALUE"""),"82084270000")</f>
        <v>82084270000</v>
      </c>
      <c r="N1691" s="30" t="str">
        <f ca="1">IFERROR(__xludf.DUMMYFUNCTION("""COMPUTED_VALUE"""),"ROSARIO")</f>
        <v>ROSARIO</v>
      </c>
      <c r="O1691" s="30" t="str">
        <f ca="1">IFERROR(__xludf.DUMMYFUNCTION("""COMPUTED_VALUE"""),"8284")</f>
        <v>8284</v>
      </c>
      <c r="P1691" s="30" t="str">
        <f ca="1">IFERROR(__xludf.DUMMYFUNCTION("""COMPUTED_VALUE"""),"ROSARIO")</f>
        <v>ROSARIO</v>
      </c>
      <c r="Q1691" s="30" t="str">
        <f ca="1">IFERROR(__xludf.DUMMYFUNCTION("""COMPUTED_VALUE"""),"-32.97086678")</f>
        <v>-32.97086678</v>
      </c>
      <c r="R1691" s="30" t="str">
        <f ca="1">IFERROR(__xludf.DUMMYFUNCTION("""COMPUTED_VALUE"""),"-60.70735717")</f>
        <v>-60.70735717</v>
      </c>
      <c r="S1691" s="30" t="str">
        <f ca="1">IFERROR(__xludf.DUMMYFUNCTION("""COMPUTED_VALUE"""),"Municipal")</f>
        <v>Municipal</v>
      </c>
      <c r="T1691" s="29"/>
    </row>
    <row r="1692" spans="1:20" ht="15.75" customHeight="1" x14ac:dyDescent="0.25">
      <c r="A1692" s="30" t="str">
        <f ca="1">IFERROR(__xludf.DUMMYFUNCTION("""COMPUTED_VALUE"""),"50820842284967")</f>
        <v>50820842284967</v>
      </c>
      <c r="B1692" s="30" t="str">
        <f ca="1">IFERROR(__xludf.DUMMYFUNCTION("""COMPUTED_VALUE"""),"CENTRO DE SALUD SANTA MARIA JOSEFA ROSELLO")</f>
        <v>CENTRO DE SALUD SANTA MARIA JOSEFA ROSELLO</v>
      </c>
      <c r="C1692" s="30" t="str">
        <f ca="1">IFERROR(__xludf.DUMMYFUNCTION("""COMPUTED_VALUE"""),"Santa Fe")</f>
        <v>Santa Fe</v>
      </c>
      <c r="D1692" s="30" t="str">
        <f ca="1">IFERROR(__xludf.DUMMYFUNCTION("""COMPUTED_VALUE"""),"82")</f>
        <v>82</v>
      </c>
      <c r="E1692" s="30" t="str">
        <f ca="1">IFERROR(__xludf.DUMMYFUNCTION("""COMPUTED_VALUE"""),"")</f>
        <v/>
      </c>
      <c r="F1692" s="29"/>
      <c r="G1692" s="29"/>
      <c r="H1692" s="30" t="str">
        <f ca="1">IFERROR(__xludf.DUMMYFUNCTION("""COMPUTED_VALUE"""),"activo")</f>
        <v>activo</v>
      </c>
      <c r="I1692" s="29"/>
      <c r="J1692" s="29"/>
      <c r="K1692" s="29"/>
      <c r="L1692" s="30" t="str">
        <f ca="1">IFERROR(__xludf.DUMMYFUNCTION("""COMPUTED_VALUE"""),"No")</f>
        <v>No</v>
      </c>
      <c r="M1692" s="30" t="str">
        <f ca="1">IFERROR(__xludf.DUMMYFUNCTION("""COMPUTED_VALUE"""),"82084270000")</f>
        <v>82084270000</v>
      </c>
      <c r="N1692" s="30" t="str">
        <f ca="1">IFERROR(__xludf.DUMMYFUNCTION("""COMPUTED_VALUE"""),"ROSARIO")</f>
        <v>ROSARIO</v>
      </c>
      <c r="O1692" s="30" t="str">
        <f ca="1">IFERROR(__xludf.DUMMYFUNCTION("""COMPUTED_VALUE"""),"8284")</f>
        <v>8284</v>
      </c>
      <c r="P1692" s="30" t="str">
        <f ca="1">IFERROR(__xludf.DUMMYFUNCTION("""COMPUTED_VALUE"""),"ROSARIO")</f>
        <v>ROSARIO</v>
      </c>
      <c r="Q1692" s="30" t="str">
        <f ca="1">IFERROR(__xludf.DUMMYFUNCTION("""COMPUTED_VALUE"""),"-32.965882")</f>
        <v>-32.965882</v>
      </c>
      <c r="R1692" s="30" t="str">
        <f ca="1">IFERROR(__xludf.DUMMYFUNCTION("""COMPUTED_VALUE"""),"-60.7165041")</f>
        <v>-60.7165041</v>
      </c>
      <c r="S1692" s="30" t="str">
        <f ca="1">IFERROR(__xludf.DUMMYFUNCTION("""COMPUTED_VALUE"""),"Municipal")</f>
        <v>Municipal</v>
      </c>
      <c r="T1692" s="29"/>
    </row>
    <row r="1693" spans="1:20" ht="15.75" customHeight="1" x14ac:dyDescent="0.25">
      <c r="A1693" s="30" t="str">
        <f ca="1">IFERROR(__xludf.DUMMYFUNCTION("""COMPUTED_VALUE"""),"50820842284562")</f>
        <v>50820842284562</v>
      </c>
      <c r="B1693" s="30" t="str">
        <f ca="1">IFERROR(__xludf.DUMMYFUNCTION("""COMPUTED_VALUE"""),"CENTRO DE SALUD BARRIO TOBA")</f>
        <v>CENTRO DE SALUD BARRIO TOBA</v>
      </c>
      <c r="C1693" s="30" t="str">
        <f ca="1">IFERROR(__xludf.DUMMYFUNCTION("""COMPUTED_VALUE"""),"Santa Fe")</f>
        <v>Santa Fe</v>
      </c>
      <c r="D1693" s="30" t="str">
        <f ca="1">IFERROR(__xludf.DUMMYFUNCTION("""COMPUTED_VALUE"""),"82")</f>
        <v>82</v>
      </c>
      <c r="E1693" s="30" t="str">
        <f ca="1">IFERROR(__xludf.DUMMYFUNCTION("""COMPUTED_VALUE"""),"si")</f>
        <v>si</v>
      </c>
      <c r="F1693" s="29"/>
      <c r="G1693" s="29"/>
      <c r="H1693" s="30" t="str">
        <f ca="1">IFERROR(__xludf.DUMMYFUNCTION("""COMPUTED_VALUE"""),"activo")</f>
        <v>activo</v>
      </c>
      <c r="I1693" s="29"/>
      <c r="J1693" s="29"/>
      <c r="K1693" s="29"/>
      <c r="L1693" s="30" t="str">
        <f ca="1">IFERROR(__xludf.DUMMYFUNCTION("""COMPUTED_VALUE"""),"No")</f>
        <v>No</v>
      </c>
      <c r="M1693" s="30" t="str">
        <f ca="1">IFERROR(__xludf.DUMMYFUNCTION("""COMPUTED_VALUE"""),"82084270000")</f>
        <v>82084270000</v>
      </c>
      <c r="N1693" s="30" t="str">
        <f ca="1">IFERROR(__xludf.DUMMYFUNCTION("""COMPUTED_VALUE"""),"ROSARIO")</f>
        <v>ROSARIO</v>
      </c>
      <c r="O1693" s="30" t="str">
        <f ca="1">IFERROR(__xludf.DUMMYFUNCTION("""COMPUTED_VALUE"""),"8284")</f>
        <v>8284</v>
      </c>
      <c r="P1693" s="30" t="str">
        <f ca="1">IFERROR(__xludf.DUMMYFUNCTION("""COMPUTED_VALUE"""),"ROSARIO")</f>
        <v>ROSARIO</v>
      </c>
      <c r="Q1693" s="30" t="str">
        <f ca="1">IFERROR(__xludf.DUMMYFUNCTION("""COMPUTED_VALUE"""),"-32.97854469")</f>
        <v>-32.97854469</v>
      </c>
      <c r="R1693" s="30" t="str">
        <f ca="1">IFERROR(__xludf.DUMMYFUNCTION("""COMPUTED_VALUE"""),"-60.70418787")</f>
        <v>-60.70418787</v>
      </c>
      <c r="S1693" s="30" t="str">
        <f ca="1">IFERROR(__xludf.DUMMYFUNCTION("""COMPUTED_VALUE"""),"Municipal")</f>
        <v>Municipal</v>
      </c>
      <c r="T1693" s="29"/>
    </row>
    <row r="1694" spans="1:20" ht="15.75" customHeight="1" x14ac:dyDescent="0.25">
      <c r="A1694" s="30" t="str">
        <f ca="1">IFERROR(__xludf.DUMMYFUNCTION("""COMPUTED_VALUE"""),"50820842284743")</f>
        <v>50820842284743</v>
      </c>
      <c r="B1694" s="30" t="str">
        <f ca="1">IFERROR(__xludf.DUMMYFUNCTION("""COMPUTED_VALUE"""),"CENTRO DE SALUD JUAN B. JUSTO")</f>
        <v>CENTRO DE SALUD JUAN B. JUSTO</v>
      </c>
      <c r="C1694" s="30" t="str">
        <f ca="1">IFERROR(__xludf.DUMMYFUNCTION("""COMPUTED_VALUE"""),"Santa Fe")</f>
        <v>Santa Fe</v>
      </c>
      <c r="D1694" s="30" t="str">
        <f ca="1">IFERROR(__xludf.DUMMYFUNCTION("""COMPUTED_VALUE"""),"82")</f>
        <v>82</v>
      </c>
      <c r="E1694" s="30" t="str">
        <f ca="1">IFERROR(__xludf.DUMMYFUNCTION("""COMPUTED_VALUE"""),"si")</f>
        <v>si</v>
      </c>
      <c r="F1694" s="29"/>
      <c r="G1694" s="29"/>
      <c r="H1694" s="30" t="str">
        <f ca="1">IFERROR(__xludf.DUMMYFUNCTION("""COMPUTED_VALUE"""),"activo")</f>
        <v>activo</v>
      </c>
      <c r="I1694" s="29"/>
      <c r="J1694" s="29"/>
      <c r="K1694" s="29"/>
      <c r="L1694" s="30" t="str">
        <f ca="1">IFERROR(__xludf.DUMMYFUNCTION("""COMPUTED_VALUE"""),"No")</f>
        <v>No</v>
      </c>
      <c r="M1694" s="30" t="str">
        <f ca="1">IFERROR(__xludf.DUMMYFUNCTION("""COMPUTED_VALUE"""),"82084270000")</f>
        <v>82084270000</v>
      </c>
      <c r="N1694" s="30" t="str">
        <f ca="1">IFERROR(__xludf.DUMMYFUNCTION("""COMPUTED_VALUE"""),"ROSARIO")</f>
        <v>ROSARIO</v>
      </c>
      <c r="O1694" s="30" t="str">
        <f ca="1">IFERROR(__xludf.DUMMYFUNCTION("""COMPUTED_VALUE"""),"8284")</f>
        <v>8284</v>
      </c>
      <c r="P1694" s="30" t="str">
        <f ca="1">IFERROR(__xludf.DUMMYFUNCTION("""COMPUTED_VALUE"""),"ROSARIO")</f>
        <v>ROSARIO</v>
      </c>
      <c r="Q1694" s="30" t="str">
        <f ca="1">IFERROR(__xludf.DUMMYFUNCTION("""COMPUTED_VALUE"""),"-32.9143684")</f>
        <v>-32.9143684</v>
      </c>
      <c r="R1694" s="30" t="str">
        <f ca="1">IFERROR(__xludf.DUMMYFUNCTION("""COMPUTED_VALUE"""),"-60.6935623")</f>
        <v>-60.6935623</v>
      </c>
      <c r="S1694" s="30" t="str">
        <f ca="1">IFERROR(__xludf.DUMMYFUNCTION("""COMPUTED_VALUE"""),"Municipal")</f>
        <v>Municipal</v>
      </c>
      <c r="T1694" s="29"/>
    </row>
    <row r="1695" spans="1:20" ht="15.75" customHeight="1" x14ac:dyDescent="0.25">
      <c r="A1695" s="30" t="str">
        <f ca="1">IFERROR(__xludf.DUMMYFUNCTION("""COMPUTED_VALUE"""),"50820842284642")</f>
        <v>50820842284642</v>
      </c>
      <c r="B1695" s="30" t="str">
        <f ca="1">IFERROR(__xludf.DUMMYFUNCTION("""COMPUTED_VALUE"""),"CS DEBORA FERRANDINI")</f>
        <v>CS DEBORA FERRANDINI</v>
      </c>
      <c r="C1695" s="30" t="str">
        <f ca="1">IFERROR(__xludf.DUMMYFUNCTION("""COMPUTED_VALUE"""),"Santa Fe")</f>
        <v>Santa Fe</v>
      </c>
      <c r="D1695" s="30" t="str">
        <f ca="1">IFERROR(__xludf.DUMMYFUNCTION("""COMPUTED_VALUE"""),"82")</f>
        <v>82</v>
      </c>
      <c r="E1695" s="30" t="str">
        <f ca="1">IFERROR(__xludf.DUMMYFUNCTION("""COMPUTED_VALUE"""),"")</f>
        <v/>
      </c>
      <c r="F1695" s="29"/>
      <c r="G1695" s="29"/>
      <c r="H1695" s="30" t="str">
        <f ca="1">IFERROR(__xludf.DUMMYFUNCTION("""COMPUTED_VALUE"""),"activo")</f>
        <v>activo</v>
      </c>
      <c r="I1695" s="29"/>
      <c r="J1695" s="29"/>
      <c r="K1695" s="29"/>
      <c r="L1695" s="30" t="str">
        <f ca="1">IFERROR(__xludf.DUMMYFUNCTION("""COMPUTED_VALUE"""),"No")</f>
        <v>No</v>
      </c>
      <c r="M1695" s="30" t="str">
        <f ca="1">IFERROR(__xludf.DUMMYFUNCTION("""COMPUTED_VALUE"""),"82084270000")</f>
        <v>82084270000</v>
      </c>
      <c r="N1695" s="30" t="str">
        <f ca="1">IFERROR(__xludf.DUMMYFUNCTION("""COMPUTED_VALUE"""),"ROSARIO")</f>
        <v>ROSARIO</v>
      </c>
      <c r="O1695" s="30" t="str">
        <f ca="1">IFERROR(__xludf.DUMMYFUNCTION("""COMPUTED_VALUE"""),"8284")</f>
        <v>8284</v>
      </c>
      <c r="P1695" s="30" t="str">
        <f ca="1">IFERROR(__xludf.DUMMYFUNCTION("""COMPUTED_VALUE"""),"ROSARIO")</f>
        <v>ROSARIO</v>
      </c>
      <c r="Q1695" s="30" t="str">
        <f ca="1">IFERROR(__xludf.DUMMYFUNCTION("""COMPUTED_VALUE"""),"-32.92963269")</f>
        <v>-32.92963269</v>
      </c>
      <c r="R1695" s="30" t="str">
        <f ca="1">IFERROR(__xludf.DUMMYFUNCTION("""COMPUTED_VALUE"""),"-60.71222216")</f>
        <v>-60.71222216</v>
      </c>
      <c r="S1695" s="30" t="str">
        <f ca="1">IFERROR(__xludf.DUMMYFUNCTION("""COMPUTED_VALUE"""),"Municipal")</f>
        <v>Municipal</v>
      </c>
      <c r="T1695" s="29"/>
    </row>
    <row r="1696" spans="1:20" ht="15.75" customHeight="1" x14ac:dyDescent="0.25">
      <c r="A1696" s="30" t="str">
        <f ca="1">IFERROR(__xludf.DUMMYFUNCTION("""COMPUTED_VALUE"""),"50820842284965")</f>
        <v>50820842284965</v>
      </c>
      <c r="B1696" s="30" t="str">
        <f ca="1">IFERROR(__xludf.DUMMYFUNCTION("""COMPUTED_VALUE"""),"CENTRO DE SALUD SANTA LUCIA - ROSARIO")</f>
        <v>CENTRO DE SALUD SANTA LUCIA - ROSARIO</v>
      </c>
      <c r="C1696" s="30" t="str">
        <f ca="1">IFERROR(__xludf.DUMMYFUNCTION("""COMPUTED_VALUE"""),"Santa Fe")</f>
        <v>Santa Fe</v>
      </c>
      <c r="D1696" s="30" t="str">
        <f ca="1">IFERROR(__xludf.DUMMYFUNCTION("""COMPUTED_VALUE"""),"82")</f>
        <v>82</v>
      </c>
      <c r="E1696" s="30" t="str">
        <f ca="1">IFERROR(__xludf.DUMMYFUNCTION("""COMPUTED_VALUE"""),"")</f>
        <v/>
      </c>
      <c r="F1696" s="29"/>
      <c r="G1696" s="29"/>
      <c r="H1696" s="30" t="str">
        <f ca="1">IFERROR(__xludf.DUMMYFUNCTION("""COMPUTED_VALUE"""),"activo")</f>
        <v>activo</v>
      </c>
      <c r="I1696" s="29"/>
      <c r="J1696" s="29"/>
      <c r="K1696" s="29"/>
      <c r="L1696" s="30" t="str">
        <f ca="1">IFERROR(__xludf.DUMMYFUNCTION("""COMPUTED_VALUE"""),"No")</f>
        <v>No</v>
      </c>
      <c r="M1696" s="30" t="str">
        <f ca="1">IFERROR(__xludf.DUMMYFUNCTION("""COMPUTED_VALUE"""),"82084270000")</f>
        <v>82084270000</v>
      </c>
      <c r="N1696" s="30" t="str">
        <f ca="1">IFERROR(__xludf.DUMMYFUNCTION("""COMPUTED_VALUE"""),"ROSARIO")</f>
        <v>ROSARIO</v>
      </c>
      <c r="O1696" s="30" t="str">
        <f ca="1">IFERROR(__xludf.DUMMYFUNCTION("""COMPUTED_VALUE"""),"8284")</f>
        <v>8284</v>
      </c>
      <c r="P1696" s="30" t="str">
        <f ca="1">IFERROR(__xludf.DUMMYFUNCTION("""COMPUTED_VALUE"""),"ROSARIO")</f>
        <v>ROSARIO</v>
      </c>
      <c r="Q1696" s="30" t="str">
        <f ca="1">IFERROR(__xludf.DUMMYFUNCTION("""COMPUTED_VALUE"""),"-32.96293211")</f>
        <v>-32.96293211</v>
      </c>
      <c r="R1696" s="30" t="str">
        <f ca="1">IFERROR(__xludf.DUMMYFUNCTION("""COMPUTED_VALUE"""),"-60.72352982")</f>
        <v>-60.72352982</v>
      </c>
      <c r="S1696" s="30" t="str">
        <f ca="1">IFERROR(__xludf.DUMMYFUNCTION("""COMPUTED_VALUE"""),"Municipal")</f>
        <v>Municipal</v>
      </c>
      <c r="T1696" s="29"/>
    </row>
    <row r="1697" spans="1:20" ht="15.75" customHeight="1" x14ac:dyDescent="0.25">
      <c r="A1697" s="30" t="str">
        <f ca="1">IFERROR(__xludf.DUMMYFUNCTION("""COMPUTED_VALUE"""),"50820842184853")</f>
        <v>50820842184853</v>
      </c>
      <c r="B1697" s="30" t="str">
        <f ca="1">IFERROR(__xludf.DUMMYFUNCTION("""COMPUTED_VALUE"""),"CENTRO DE SALUD N° 3 - 7 DE SEPTIEMBRE")</f>
        <v>CENTRO DE SALUD N° 3 - 7 DE SEPTIEMBRE</v>
      </c>
      <c r="C1697" s="30" t="str">
        <f ca="1">IFERROR(__xludf.DUMMYFUNCTION("""COMPUTED_VALUE"""),"Santa Fe")</f>
        <v>Santa Fe</v>
      </c>
      <c r="D1697" s="30" t="str">
        <f ca="1">IFERROR(__xludf.DUMMYFUNCTION("""COMPUTED_VALUE"""),"82")</f>
        <v>82</v>
      </c>
      <c r="E1697" s="30" t="str">
        <f ca="1">IFERROR(__xludf.DUMMYFUNCTION("""COMPUTED_VALUE"""),"")</f>
        <v/>
      </c>
      <c r="F1697" s="29"/>
      <c r="G1697" s="29"/>
      <c r="H1697" s="30" t="str">
        <f ca="1">IFERROR(__xludf.DUMMYFUNCTION("""COMPUTED_VALUE"""),"activo")</f>
        <v>activo</v>
      </c>
      <c r="I1697" s="29"/>
      <c r="J1697" s="29"/>
      <c r="K1697" s="29"/>
      <c r="L1697" s="30" t="str">
        <f ca="1">IFERROR(__xludf.DUMMYFUNCTION("""COMPUTED_VALUE"""),"No")</f>
        <v>No</v>
      </c>
      <c r="M1697" s="30" t="str">
        <f ca="1">IFERROR(__xludf.DUMMYFUNCTION("""COMPUTED_VALUE"""),"82084270000")</f>
        <v>82084270000</v>
      </c>
      <c r="N1697" s="30" t="str">
        <f ca="1">IFERROR(__xludf.DUMMYFUNCTION("""COMPUTED_VALUE"""),"ROSARIO")</f>
        <v>ROSARIO</v>
      </c>
      <c r="O1697" s="30" t="str">
        <f ca="1">IFERROR(__xludf.DUMMYFUNCTION("""COMPUTED_VALUE"""),"8284")</f>
        <v>8284</v>
      </c>
      <c r="P1697" s="30" t="str">
        <f ca="1">IFERROR(__xludf.DUMMYFUNCTION("""COMPUTED_VALUE"""),"ROSARIO")</f>
        <v>ROSARIO</v>
      </c>
      <c r="Q1697" s="30" t="str">
        <f ca="1">IFERROR(__xludf.DUMMYFUNCTION("""COMPUTED_VALUE"""),"-32.91251025")</f>
        <v>-32.91251025</v>
      </c>
      <c r="R1697" s="30" t="str">
        <f ca="1">IFERROR(__xludf.DUMMYFUNCTION("""COMPUTED_VALUE"""),"-60.73421413")</f>
        <v>-60.73421413</v>
      </c>
      <c r="S1697" s="30" t="str">
        <f ca="1">IFERROR(__xludf.DUMMYFUNCTION("""COMPUTED_VALUE"""),"Provincial")</f>
        <v>Provincial</v>
      </c>
      <c r="T1697" s="30" t="str">
        <f ca="1">IFERROR(__xludf.DUMMYFUNCTION("""COMPUTED_VALUE"""),"-")</f>
        <v>-</v>
      </c>
    </row>
    <row r="1698" spans="1:20" ht="15.75" customHeight="1" x14ac:dyDescent="0.25">
      <c r="A1698" s="30" t="str">
        <f ca="1">IFERROR(__xludf.DUMMYFUNCTION("""COMPUTED_VALUE"""),"50820842184850")</f>
        <v>50820842184850</v>
      </c>
      <c r="B1698" s="30" t="str">
        <f ca="1">IFERROR(__xludf.DUMMYFUNCTION("""COMPUTED_VALUE"""),"CENTRO DE SALUD N° 27 RAMON CARRILLO")</f>
        <v>CENTRO DE SALUD N° 27 RAMON CARRILLO</v>
      </c>
      <c r="C1698" s="30" t="str">
        <f ca="1">IFERROR(__xludf.DUMMYFUNCTION("""COMPUTED_VALUE"""),"Santa Fe")</f>
        <v>Santa Fe</v>
      </c>
      <c r="D1698" s="30" t="str">
        <f ca="1">IFERROR(__xludf.DUMMYFUNCTION("""COMPUTED_VALUE"""),"82")</f>
        <v>82</v>
      </c>
      <c r="E1698" s="30" t="str">
        <f ca="1">IFERROR(__xludf.DUMMYFUNCTION("""COMPUTED_VALUE"""),"")</f>
        <v/>
      </c>
      <c r="F1698" s="29"/>
      <c r="G1698" s="29"/>
      <c r="H1698" s="30" t="str">
        <f ca="1">IFERROR(__xludf.DUMMYFUNCTION("""COMPUTED_VALUE"""),"activo")</f>
        <v>activo</v>
      </c>
      <c r="I1698" s="29"/>
      <c r="J1698" s="29"/>
      <c r="K1698" s="29"/>
      <c r="L1698" s="30" t="str">
        <f ca="1">IFERROR(__xludf.DUMMYFUNCTION("""COMPUTED_VALUE"""),"No")</f>
        <v>No</v>
      </c>
      <c r="M1698" s="30" t="str">
        <f ca="1">IFERROR(__xludf.DUMMYFUNCTION("""COMPUTED_VALUE"""),"82084270000")</f>
        <v>82084270000</v>
      </c>
      <c r="N1698" s="30" t="str">
        <f ca="1">IFERROR(__xludf.DUMMYFUNCTION("""COMPUTED_VALUE"""),"ROSARIO")</f>
        <v>ROSARIO</v>
      </c>
      <c r="O1698" s="30" t="str">
        <f ca="1">IFERROR(__xludf.DUMMYFUNCTION("""COMPUTED_VALUE"""),"8284")</f>
        <v>8284</v>
      </c>
      <c r="P1698" s="30" t="str">
        <f ca="1">IFERROR(__xludf.DUMMYFUNCTION("""COMPUTED_VALUE"""),"ROSARIO")</f>
        <v>ROSARIO</v>
      </c>
      <c r="Q1698" s="30" t="str">
        <f ca="1">IFERROR(__xludf.DUMMYFUNCTION("""COMPUTED_VALUE"""),"-32.93003454")</f>
        <v>-32.93003454</v>
      </c>
      <c r="R1698" s="30" t="str">
        <f ca="1">IFERROR(__xludf.DUMMYFUNCTION("""COMPUTED_VALUE"""),"-60.70004761")</f>
        <v>-60.70004761</v>
      </c>
      <c r="S1698" s="30" t="str">
        <f ca="1">IFERROR(__xludf.DUMMYFUNCTION("""COMPUTED_VALUE"""),"Provincial")</f>
        <v>Provincial</v>
      </c>
      <c r="T1698" s="30" t="str">
        <f ca="1">IFERROR(__xludf.DUMMYFUNCTION("""COMPUTED_VALUE"""),"-")</f>
        <v>-</v>
      </c>
    </row>
    <row r="1699" spans="1:20" ht="15.75" customHeight="1" x14ac:dyDescent="0.25">
      <c r="A1699" s="30" t="str">
        <f ca="1">IFERROR(__xludf.DUMMYFUNCTION("""COMPUTED_VALUE"""),"50820842184872")</f>
        <v>50820842184872</v>
      </c>
      <c r="B1699" s="30" t="str">
        <f ca="1">IFERROR(__xludf.DUMMYFUNCTION("""COMPUTED_VALUE"""),"CENTRO DE SALUD N° 9 SAN FRANCISQUITO")</f>
        <v>CENTRO DE SALUD N° 9 SAN FRANCISQUITO</v>
      </c>
      <c r="C1699" s="30" t="str">
        <f ca="1">IFERROR(__xludf.DUMMYFUNCTION("""COMPUTED_VALUE"""),"Santa Fe")</f>
        <v>Santa Fe</v>
      </c>
      <c r="D1699" s="30" t="str">
        <f ca="1">IFERROR(__xludf.DUMMYFUNCTION("""COMPUTED_VALUE"""),"82")</f>
        <v>82</v>
      </c>
      <c r="E1699" s="30" t="str">
        <f ca="1">IFERROR(__xludf.DUMMYFUNCTION("""COMPUTED_VALUE"""),"")</f>
        <v/>
      </c>
      <c r="F1699" s="29"/>
      <c r="G1699" s="29"/>
      <c r="H1699" s="30" t="str">
        <f ca="1">IFERROR(__xludf.DUMMYFUNCTION("""COMPUTED_VALUE"""),"activo")</f>
        <v>activo</v>
      </c>
      <c r="I1699" s="29"/>
      <c r="J1699" s="29"/>
      <c r="K1699" s="29"/>
      <c r="L1699" s="30" t="str">
        <f ca="1">IFERROR(__xludf.DUMMYFUNCTION("""COMPUTED_VALUE"""),"No")</f>
        <v>No</v>
      </c>
      <c r="M1699" s="30" t="str">
        <f ca="1">IFERROR(__xludf.DUMMYFUNCTION("""COMPUTED_VALUE"""),"82084270000")</f>
        <v>82084270000</v>
      </c>
      <c r="N1699" s="30" t="str">
        <f ca="1">IFERROR(__xludf.DUMMYFUNCTION("""COMPUTED_VALUE"""),"ROSARIO")</f>
        <v>ROSARIO</v>
      </c>
      <c r="O1699" s="30" t="str">
        <f ca="1">IFERROR(__xludf.DUMMYFUNCTION("""COMPUTED_VALUE"""),"8284")</f>
        <v>8284</v>
      </c>
      <c r="P1699" s="30" t="str">
        <f ca="1">IFERROR(__xludf.DUMMYFUNCTION("""COMPUTED_VALUE"""),"ROSARIO")</f>
        <v>ROSARIO</v>
      </c>
      <c r="Q1699" s="30" t="str">
        <f ca="1">IFERROR(__xludf.DUMMYFUNCTION("""COMPUTED_VALUE"""),"-32.9628999")</f>
        <v>-32.9628999</v>
      </c>
      <c r="R1699" s="30" t="str">
        <f ca="1">IFERROR(__xludf.DUMMYFUNCTION("""COMPUTED_VALUE"""),"-60.6766114")</f>
        <v>-60.6766114</v>
      </c>
      <c r="S1699" s="30" t="str">
        <f ca="1">IFERROR(__xludf.DUMMYFUNCTION("""COMPUTED_VALUE"""),"Provincial")</f>
        <v>Provincial</v>
      </c>
      <c r="T1699" s="30" t="str">
        <f ca="1">IFERROR(__xludf.DUMMYFUNCTION("""COMPUTED_VALUE"""),"-")</f>
        <v>-</v>
      </c>
    </row>
    <row r="1700" spans="1:20" ht="15.75" customHeight="1" x14ac:dyDescent="0.25">
      <c r="A1700" s="30" t="str">
        <f ca="1">IFERROR(__xludf.DUMMYFUNCTION("""COMPUTED_VALUE"""),"50820842184836")</f>
        <v>50820842184836</v>
      </c>
      <c r="B1700" s="30" t="str">
        <f ca="1">IFERROR(__xludf.DUMMYFUNCTION("""COMPUTED_VALUE"""),"CENTRO DE SALUD N° 17 CARITAS GUADALUPE")</f>
        <v>CENTRO DE SALUD N° 17 CARITAS GUADALUPE</v>
      </c>
      <c r="C1700" s="30" t="str">
        <f ca="1">IFERROR(__xludf.DUMMYFUNCTION("""COMPUTED_VALUE"""),"Santa Fe")</f>
        <v>Santa Fe</v>
      </c>
      <c r="D1700" s="30" t="str">
        <f ca="1">IFERROR(__xludf.DUMMYFUNCTION("""COMPUTED_VALUE"""),"82")</f>
        <v>82</v>
      </c>
      <c r="E1700" s="30" t="str">
        <f ca="1">IFERROR(__xludf.DUMMYFUNCTION("""COMPUTED_VALUE"""),"")</f>
        <v/>
      </c>
      <c r="F1700" s="29"/>
      <c r="G1700" s="29"/>
      <c r="H1700" s="30" t="str">
        <f ca="1">IFERROR(__xludf.DUMMYFUNCTION("""COMPUTED_VALUE"""),"activo")</f>
        <v>activo</v>
      </c>
      <c r="I1700" s="29"/>
      <c r="J1700" s="29"/>
      <c r="K1700" s="29"/>
      <c r="L1700" s="30" t="str">
        <f ca="1">IFERROR(__xludf.DUMMYFUNCTION("""COMPUTED_VALUE"""),"No")</f>
        <v>No</v>
      </c>
      <c r="M1700" s="30" t="str">
        <f ca="1">IFERROR(__xludf.DUMMYFUNCTION("""COMPUTED_VALUE"""),"82084270000")</f>
        <v>82084270000</v>
      </c>
      <c r="N1700" s="30" t="str">
        <f ca="1">IFERROR(__xludf.DUMMYFUNCTION("""COMPUTED_VALUE"""),"ROSARIO")</f>
        <v>ROSARIO</v>
      </c>
      <c r="O1700" s="30" t="str">
        <f ca="1">IFERROR(__xludf.DUMMYFUNCTION("""COMPUTED_VALUE"""),"8284")</f>
        <v>8284</v>
      </c>
      <c r="P1700" s="30" t="str">
        <f ca="1">IFERROR(__xludf.DUMMYFUNCTION("""COMPUTED_VALUE"""),"ROSARIO")</f>
        <v>ROSARIO</v>
      </c>
      <c r="Q1700" s="30" t="str">
        <f ca="1">IFERROR(__xludf.DUMMYFUNCTION("""COMPUTED_VALUE"""),"-32.92144417")</f>
        <v>-32.92144417</v>
      </c>
      <c r="R1700" s="30" t="str">
        <f ca="1">IFERROR(__xludf.DUMMYFUNCTION("""COMPUTED_VALUE"""),"-60.69924349")</f>
        <v>-60.69924349</v>
      </c>
      <c r="S1700" s="30" t="str">
        <f ca="1">IFERROR(__xludf.DUMMYFUNCTION("""COMPUTED_VALUE"""),"Provincial")</f>
        <v>Provincial</v>
      </c>
      <c r="T1700" s="30" t="str">
        <f ca="1">IFERROR(__xludf.DUMMYFUNCTION("""COMPUTED_VALUE"""),"-")</f>
        <v>-</v>
      </c>
    </row>
    <row r="1701" spans="1:20" ht="15.75" customHeight="1" x14ac:dyDescent="0.25">
      <c r="A1701" s="30" t="str">
        <f ca="1">IFERROR(__xludf.DUMMYFUNCTION("""COMPUTED_VALUE"""),"50820842184649")</f>
        <v>50820842184649</v>
      </c>
      <c r="B1701" s="30" t="str">
        <f ca="1">IFERROR(__xludf.DUMMYFUNCTION("""COMPUTED_VALUE"""),"CENTRO DE SALUD DR. ERNESTO CHE GUEVARA")</f>
        <v>CENTRO DE SALUD DR. ERNESTO CHE GUEVARA</v>
      </c>
      <c r="C1701" s="30" t="str">
        <f ca="1">IFERROR(__xludf.DUMMYFUNCTION("""COMPUTED_VALUE"""),"Santa Fe")</f>
        <v>Santa Fe</v>
      </c>
      <c r="D1701" s="30" t="str">
        <f ca="1">IFERROR(__xludf.DUMMYFUNCTION("""COMPUTED_VALUE"""),"82")</f>
        <v>82</v>
      </c>
      <c r="E1701" s="30" t="str">
        <f ca="1">IFERROR(__xludf.DUMMYFUNCTION("""COMPUTED_VALUE"""),"")</f>
        <v/>
      </c>
      <c r="F1701" s="29"/>
      <c r="G1701" s="29"/>
      <c r="H1701" s="30" t="str">
        <f ca="1">IFERROR(__xludf.DUMMYFUNCTION("""COMPUTED_VALUE"""),"activo")</f>
        <v>activo</v>
      </c>
      <c r="I1701" s="29"/>
      <c r="J1701" s="29"/>
      <c r="K1701" s="29"/>
      <c r="L1701" s="30" t="str">
        <f ca="1">IFERROR(__xludf.DUMMYFUNCTION("""COMPUTED_VALUE"""),"No")</f>
        <v>No</v>
      </c>
      <c r="M1701" s="30" t="str">
        <f ca="1">IFERROR(__xludf.DUMMYFUNCTION("""COMPUTED_VALUE"""),"82084270000")</f>
        <v>82084270000</v>
      </c>
      <c r="N1701" s="30" t="str">
        <f ca="1">IFERROR(__xludf.DUMMYFUNCTION("""COMPUTED_VALUE"""),"ROSARIO")</f>
        <v>ROSARIO</v>
      </c>
      <c r="O1701" s="30" t="str">
        <f ca="1">IFERROR(__xludf.DUMMYFUNCTION("""COMPUTED_VALUE"""),"8284")</f>
        <v>8284</v>
      </c>
      <c r="P1701" s="30" t="str">
        <f ca="1">IFERROR(__xludf.DUMMYFUNCTION("""COMPUTED_VALUE"""),"ROSARIO")</f>
        <v>ROSARIO</v>
      </c>
      <c r="Q1701" s="30" t="str">
        <f ca="1">IFERROR(__xludf.DUMMYFUNCTION("""COMPUTED_VALUE"""),"-32.96102192")</f>
        <v>-32.96102192</v>
      </c>
      <c r="R1701" s="30" t="str">
        <f ca="1">IFERROR(__xludf.DUMMYFUNCTION("""COMPUTED_VALUE"""),"-60.72194624")</f>
        <v>-60.72194624</v>
      </c>
      <c r="S1701" s="30" t="str">
        <f ca="1">IFERROR(__xludf.DUMMYFUNCTION("""COMPUTED_VALUE"""),"Provincial")</f>
        <v>Provincial</v>
      </c>
      <c r="T1701" s="30" t="str">
        <f ca="1">IFERROR(__xludf.DUMMYFUNCTION("""COMPUTED_VALUE"""),"-")</f>
        <v>-</v>
      </c>
    </row>
    <row r="1702" spans="1:20" ht="15.75" customHeight="1" x14ac:dyDescent="0.25">
      <c r="A1702" s="30" t="str">
        <f ca="1">IFERROR(__xludf.DUMMYFUNCTION("""COMPUTED_VALUE"""),"50820842184749")</f>
        <v>50820842184749</v>
      </c>
      <c r="B1702" s="30" t="str">
        <f ca="1">IFERROR(__xludf.DUMMYFUNCTION("""COMPUTED_VALUE"""),"CENTRO DE SALUD JUNTOS PODEMOS KOLPING")</f>
        <v>CENTRO DE SALUD JUNTOS PODEMOS KOLPING</v>
      </c>
      <c r="C1702" s="30" t="str">
        <f ca="1">IFERROR(__xludf.DUMMYFUNCTION("""COMPUTED_VALUE"""),"Santa Fe")</f>
        <v>Santa Fe</v>
      </c>
      <c r="D1702" s="30" t="str">
        <f ca="1">IFERROR(__xludf.DUMMYFUNCTION("""COMPUTED_VALUE"""),"82")</f>
        <v>82</v>
      </c>
      <c r="E1702" s="30" t="str">
        <f ca="1">IFERROR(__xludf.DUMMYFUNCTION("""COMPUTED_VALUE"""),"")</f>
        <v/>
      </c>
      <c r="F1702" s="29"/>
      <c r="G1702" s="29"/>
      <c r="H1702" s="30" t="str">
        <f ca="1">IFERROR(__xludf.DUMMYFUNCTION("""COMPUTED_VALUE"""),"activo")</f>
        <v>activo</v>
      </c>
      <c r="I1702" s="29"/>
      <c r="J1702" s="29"/>
      <c r="K1702" s="29"/>
      <c r="L1702" s="30" t="str">
        <f ca="1">IFERROR(__xludf.DUMMYFUNCTION("""COMPUTED_VALUE"""),"No")</f>
        <v>No</v>
      </c>
      <c r="M1702" s="30" t="str">
        <f ca="1">IFERROR(__xludf.DUMMYFUNCTION("""COMPUTED_VALUE"""),"82084270000")</f>
        <v>82084270000</v>
      </c>
      <c r="N1702" s="30" t="str">
        <f ca="1">IFERROR(__xludf.DUMMYFUNCTION("""COMPUTED_VALUE"""),"ROSARIO")</f>
        <v>ROSARIO</v>
      </c>
      <c r="O1702" s="30" t="str">
        <f ca="1">IFERROR(__xludf.DUMMYFUNCTION("""COMPUTED_VALUE"""),"8284")</f>
        <v>8284</v>
      </c>
      <c r="P1702" s="30" t="str">
        <f ca="1">IFERROR(__xludf.DUMMYFUNCTION("""COMPUTED_VALUE"""),"ROSARIO")</f>
        <v>ROSARIO</v>
      </c>
      <c r="Q1702" s="30" t="str">
        <f ca="1">IFERROR(__xludf.DUMMYFUNCTION("""COMPUTED_VALUE"""),"-32.9360233")</f>
        <v>-32.9360233</v>
      </c>
      <c r="R1702" s="30" t="str">
        <f ca="1">IFERROR(__xludf.DUMMYFUNCTION("""COMPUTED_VALUE"""),"-60.7459507")</f>
        <v>-60.7459507</v>
      </c>
      <c r="S1702" s="30" t="str">
        <f ca="1">IFERROR(__xludf.DUMMYFUNCTION("""COMPUTED_VALUE"""),"Provincial")</f>
        <v>Provincial</v>
      </c>
      <c r="T1702" s="30" t="str">
        <f ca="1">IFERROR(__xludf.DUMMYFUNCTION("""COMPUTED_VALUE"""),"-")</f>
        <v>-</v>
      </c>
    </row>
    <row r="1703" spans="1:20" ht="15.75" customHeight="1" x14ac:dyDescent="0.25">
      <c r="A1703" s="30" t="str">
        <f ca="1">IFERROR(__xludf.DUMMYFUNCTION("""COMPUTED_VALUE"""),"50820842284772")</f>
        <v>50820842284772</v>
      </c>
      <c r="B1703" s="30" t="str">
        <f ca="1">IFERROR(__xludf.DUMMYFUNCTION("""COMPUTED_VALUE"""),"CENTRO DE SALUD LAS FLORES")</f>
        <v>CENTRO DE SALUD LAS FLORES</v>
      </c>
      <c r="C1703" s="30" t="str">
        <f ca="1">IFERROR(__xludf.DUMMYFUNCTION("""COMPUTED_VALUE"""),"Santa Fe")</f>
        <v>Santa Fe</v>
      </c>
      <c r="D1703" s="30" t="str">
        <f ca="1">IFERROR(__xludf.DUMMYFUNCTION("""COMPUTED_VALUE"""),"82")</f>
        <v>82</v>
      </c>
      <c r="E1703" s="30" t="str">
        <f ca="1">IFERROR(__xludf.DUMMYFUNCTION("""COMPUTED_VALUE"""),"")</f>
        <v/>
      </c>
      <c r="F1703" s="29"/>
      <c r="G1703" s="29"/>
      <c r="H1703" s="30" t="str">
        <f ca="1">IFERROR(__xludf.DUMMYFUNCTION("""COMPUTED_VALUE"""),"activo")</f>
        <v>activo</v>
      </c>
      <c r="I1703" s="29"/>
      <c r="J1703" s="29"/>
      <c r="K1703" s="29"/>
      <c r="L1703" s="30" t="str">
        <f ca="1">IFERROR(__xludf.DUMMYFUNCTION("""COMPUTED_VALUE"""),"No")</f>
        <v>No</v>
      </c>
      <c r="M1703" s="30" t="str">
        <f ca="1">IFERROR(__xludf.DUMMYFUNCTION("""COMPUTED_VALUE"""),"82084270000")</f>
        <v>82084270000</v>
      </c>
      <c r="N1703" s="30" t="str">
        <f ca="1">IFERROR(__xludf.DUMMYFUNCTION("""COMPUTED_VALUE"""),"ROSARIO")</f>
        <v>ROSARIO</v>
      </c>
      <c r="O1703" s="30" t="str">
        <f ca="1">IFERROR(__xludf.DUMMYFUNCTION("""COMPUTED_VALUE"""),"8284")</f>
        <v>8284</v>
      </c>
      <c r="P1703" s="30" t="str">
        <f ca="1">IFERROR(__xludf.DUMMYFUNCTION("""COMPUTED_VALUE"""),"ROSARIO")</f>
        <v>ROSARIO</v>
      </c>
      <c r="Q1703" s="30" t="str">
        <f ca="1">IFERROR(__xludf.DUMMYFUNCTION("""COMPUTED_VALUE"""),"-33.0179706")</f>
        <v>-33.0179706</v>
      </c>
      <c r="R1703" s="30" t="str">
        <f ca="1">IFERROR(__xludf.DUMMYFUNCTION("""COMPUTED_VALUE"""),"-60.6605486")</f>
        <v>-60.6605486</v>
      </c>
      <c r="S1703" s="30" t="str">
        <f ca="1">IFERROR(__xludf.DUMMYFUNCTION("""COMPUTED_VALUE"""),"Municipal")</f>
        <v>Municipal</v>
      </c>
      <c r="T1703" s="29"/>
    </row>
    <row r="1704" spans="1:20" ht="15.75" customHeight="1" x14ac:dyDescent="0.25">
      <c r="A1704" s="30" t="str">
        <f ca="1">IFERROR(__xludf.DUMMYFUNCTION("""COMPUTED_VALUE"""),"50820842284667")</f>
        <v>50820842284667</v>
      </c>
      <c r="B1704" s="30" t="str">
        <f ca="1">IFERROR(__xludf.DUMMYFUNCTION("""COMPUTED_VALUE"""),"CENTRO DE SALUD EL MANGRULLO")</f>
        <v>CENTRO DE SALUD EL MANGRULLO</v>
      </c>
      <c r="C1704" s="30" t="str">
        <f ca="1">IFERROR(__xludf.DUMMYFUNCTION("""COMPUTED_VALUE"""),"Santa Fe")</f>
        <v>Santa Fe</v>
      </c>
      <c r="D1704" s="30" t="str">
        <f ca="1">IFERROR(__xludf.DUMMYFUNCTION("""COMPUTED_VALUE"""),"82")</f>
        <v>82</v>
      </c>
      <c r="E1704" s="30" t="str">
        <f ca="1">IFERROR(__xludf.DUMMYFUNCTION("""COMPUTED_VALUE"""),"")</f>
        <v/>
      </c>
      <c r="F1704" s="29"/>
      <c r="G1704" s="29"/>
      <c r="H1704" s="30" t="str">
        <f ca="1">IFERROR(__xludf.DUMMYFUNCTION("""COMPUTED_VALUE"""),"activo")</f>
        <v>activo</v>
      </c>
      <c r="I1704" s="29"/>
      <c r="J1704" s="29"/>
      <c r="K1704" s="29"/>
      <c r="L1704" s="30" t="str">
        <f ca="1">IFERROR(__xludf.DUMMYFUNCTION("""COMPUTED_VALUE"""),"No")</f>
        <v>No</v>
      </c>
      <c r="M1704" s="30" t="str">
        <f ca="1">IFERROR(__xludf.DUMMYFUNCTION("""COMPUTED_VALUE"""),"82084270000")</f>
        <v>82084270000</v>
      </c>
      <c r="N1704" s="30" t="str">
        <f ca="1">IFERROR(__xludf.DUMMYFUNCTION("""COMPUTED_VALUE"""),"ROSARIO")</f>
        <v>ROSARIO</v>
      </c>
      <c r="O1704" s="30" t="str">
        <f ca="1">IFERROR(__xludf.DUMMYFUNCTION("""COMPUTED_VALUE"""),"8284")</f>
        <v>8284</v>
      </c>
      <c r="P1704" s="30" t="str">
        <f ca="1">IFERROR(__xludf.DUMMYFUNCTION("""COMPUTED_VALUE"""),"ROSARIO")</f>
        <v>ROSARIO</v>
      </c>
      <c r="Q1704" s="30" t="str">
        <f ca="1">IFERROR(__xludf.DUMMYFUNCTION("""COMPUTED_VALUE"""),"-32.9982996")</f>
        <v>-32.9982996</v>
      </c>
      <c r="R1704" s="30" t="str">
        <f ca="1">IFERROR(__xludf.DUMMYFUNCTION("""COMPUTED_VALUE"""),"-60.6148636")</f>
        <v>-60.6148636</v>
      </c>
      <c r="S1704" s="30" t="str">
        <f ca="1">IFERROR(__xludf.DUMMYFUNCTION("""COMPUTED_VALUE"""),"Municipal")</f>
        <v>Municipal</v>
      </c>
      <c r="T1704" s="29"/>
    </row>
    <row r="1705" spans="1:20" ht="15.75" customHeight="1" x14ac:dyDescent="0.25">
      <c r="A1705" s="30" t="str">
        <f ca="1">IFERROR(__xludf.DUMMYFUNCTION("""COMPUTED_VALUE"""),"50820842284795")</f>
        <v>50820842284795</v>
      </c>
      <c r="B1705" s="30" t="str">
        <f ca="1">IFERROR(__xludf.DUMMYFUNCTION("""COMPUTED_VALUE"""),"CENTRO DE SALUD LUIS PASTEUR")</f>
        <v>CENTRO DE SALUD LUIS PASTEUR</v>
      </c>
      <c r="C1705" s="30" t="str">
        <f ca="1">IFERROR(__xludf.DUMMYFUNCTION("""COMPUTED_VALUE"""),"Santa Fe")</f>
        <v>Santa Fe</v>
      </c>
      <c r="D1705" s="30" t="str">
        <f ca="1">IFERROR(__xludf.DUMMYFUNCTION("""COMPUTED_VALUE"""),"82")</f>
        <v>82</v>
      </c>
      <c r="E1705" s="30" t="str">
        <f ca="1">IFERROR(__xludf.DUMMYFUNCTION("""COMPUTED_VALUE"""),"")</f>
        <v/>
      </c>
      <c r="F1705" s="29"/>
      <c r="G1705" s="29"/>
      <c r="H1705" s="30" t="str">
        <f ca="1">IFERROR(__xludf.DUMMYFUNCTION("""COMPUTED_VALUE"""),"activo")</f>
        <v>activo</v>
      </c>
      <c r="I1705" s="29"/>
      <c r="J1705" s="29"/>
      <c r="K1705" s="29"/>
      <c r="L1705" s="30" t="str">
        <f ca="1">IFERROR(__xludf.DUMMYFUNCTION("""COMPUTED_VALUE"""),"No")</f>
        <v>No</v>
      </c>
      <c r="M1705" s="30" t="str">
        <f ca="1">IFERROR(__xludf.DUMMYFUNCTION("""COMPUTED_VALUE"""),"82084270000")</f>
        <v>82084270000</v>
      </c>
      <c r="N1705" s="30" t="str">
        <f ca="1">IFERROR(__xludf.DUMMYFUNCTION("""COMPUTED_VALUE"""),"ROSARIO")</f>
        <v>ROSARIO</v>
      </c>
      <c r="O1705" s="30" t="str">
        <f ca="1">IFERROR(__xludf.DUMMYFUNCTION("""COMPUTED_VALUE"""),"8284")</f>
        <v>8284</v>
      </c>
      <c r="P1705" s="30" t="str">
        <f ca="1">IFERROR(__xludf.DUMMYFUNCTION("""COMPUTED_VALUE"""),"ROSARIO")</f>
        <v>ROSARIO</v>
      </c>
      <c r="Q1705" s="30" t="str">
        <f ca="1">IFERROR(__xludf.DUMMYFUNCTION("""COMPUTED_VALUE"""),"-32.9788679")</f>
        <v>-32.9788679</v>
      </c>
      <c r="R1705" s="30" t="str">
        <f ca="1">IFERROR(__xludf.DUMMYFUNCTION("""COMPUTED_VALUE"""),"-60.6341311")</f>
        <v>-60.6341311</v>
      </c>
      <c r="S1705" s="30" t="str">
        <f ca="1">IFERROR(__xludf.DUMMYFUNCTION("""COMPUTED_VALUE"""),"Municipal")</f>
        <v>Municipal</v>
      </c>
      <c r="T1705" s="29"/>
    </row>
    <row r="1706" spans="1:20" ht="15.75" customHeight="1" x14ac:dyDescent="0.25">
      <c r="A1706" s="30" t="str">
        <f ca="1">IFERROR(__xludf.DUMMYFUNCTION("""COMPUTED_VALUE"""),"50820842284659")</f>
        <v>50820842284659</v>
      </c>
      <c r="B1706" s="30" t="str">
        <f ca="1">IFERROR(__xludf.DUMMYFUNCTION("""COMPUTED_VALUE"""),"CENTRO DE SALUD DR. SALVADOR MAZZA")</f>
        <v>CENTRO DE SALUD DR. SALVADOR MAZZA</v>
      </c>
      <c r="C1706" s="30" t="str">
        <f ca="1">IFERROR(__xludf.DUMMYFUNCTION("""COMPUTED_VALUE"""),"Santa Fe")</f>
        <v>Santa Fe</v>
      </c>
      <c r="D1706" s="30" t="str">
        <f ca="1">IFERROR(__xludf.DUMMYFUNCTION("""COMPUTED_VALUE"""),"82")</f>
        <v>82</v>
      </c>
      <c r="E1706" s="30" t="str">
        <f ca="1">IFERROR(__xludf.DUMMYFUNCTION("""COMPUTED_VALUE"""),"")</f>
        <v/>
      </c>
      <c r="F1706" s="29"/>
      <c r="G1706" s="29"/>
      <c r="H1706" s="30" t="str">
        <f ca="1">IFERROR(__xludf.DUMMYFUNCTION("""COMPUTED_VALUE"""),"activo")</f>
        <v>activo</v>
      </c>
      <c r="I1706" s="29"/>
      <c r="J1706" s="29"/>
      <c r="K1706" s="29"/>
      <c r="L1706" s="30" t="str">
        <f ca="1">IFERROR(__xludf.DUMMYFUNCTION("""COMPUTED_VALUE"""),"No")</f>
        <v>No</v>
      </c>
      <c r="M1706" s="30" t="str">
        <f ca="1">IFERROR(__xludf.DUMMYFUNCTION("""COMPUTED_VALUE"""),"82084270000")</f>
        <v>82084270000</v>
      </c>
      <c r="N1706" s="30" t="str">
        <f ca="1">IFERROR(__xludf.DUMMYFUNCTION("""COMPUTED_VALUE"""),"ROSARIO")</f>
        <v>ROSARIO</v>
      </c>
      <c r="O1706" s="30" t="str">
        <f ca="1">IFERROR(__xludf.DUMMYFUNCTION("""COMPUTED_VALUE"""),"8284")</f>
        <v>8284</v>
      </c>
      <c r="P1706" s="30" t="str">
        <f ca="1">IFERROR(__xludf.DUMMYFUNCTION("""COMPUTED_VALUE"""),"ROSARIO")</f>
        <v>ROSARIO</v>
      </c>
      <c r="Q1706" s="30" t="str">
        <f ca="1">IFERROR(__xludf.DUMMYFUNCTION("""COMPUTED_VALUE"""),"-32.88726017")</f>
        <v>-32.88726017</v>
      </c>
      <c r="R1706" s="30" t="str">
        <f ca="1">IFERROR(__xludf.DUMMYFUNCTION("""COMPUTED_VALUE"""),"-60.73398024")</f>
        <v>-60.73398024</v>
      </c>
      <c r="S1706" s="30" t="str">
        <f ca="1">IFERROR(__xludf.DUMMYFUNCTION("""COMPUTED_VALUE"""),"Municipal")</f>
        <v>Municipal</v>
      </c>
      <c r="T1706" s="29"/>
    </row>
    <row r="1707" spans="1:20" ht="15.75" customHeight="1" x14ac:dyDescent="0.25">
      <c r="A1707" s="30" t="str">
        <f ca="1">IFERROR(__xludf.DUMMYFUNCTION("""COMPUTED_VALUE"""),"50820842284979")</f>
        <v>50820842284979</v>
      </c>
      <c r="B1707" s="30" t="str">
        <f ca="1">IFERROR(__xludf.DUMMYFUNCTION("""COMPUTED_VALUE"""),"CENTRO DE SALUD SUR - ROSARIO")</f>
        <v>CENTRO DE SALUD SUR - ROSARIO</v>
      </c>
      <c r="C1707" s="30" t="str">
        <f ca="1">IFERROR(__xludf.DUMMYFUNCTION("""COMPUTED_VALUE"""),"Santa Fe")</f>
        <v>Santa Fe</v>
      </c>
      <c r="D1707" s="30" t="str">
        <f ca="1">IFERROR(__xludf.DUMMYFUNCTION("""COMPUTED_VALUE"""),"82")</f>
        <v>82</v>
      </c>
      <c r="E1707" s="30" t="str">
        <f ca="1">IFERROR(__xludf.DUMMYFUNCTION("""COMPUTED_VALUE"""),"")</f>
        <v/>
      </c>
      <c r="F1707" s="29"/>
      <c r="G1707" s="29"/>
      <c r="H1707" s="30" t="str">
        <f ca="1">IFERROR(__xludf.DUMMYFUNCTION("""COMPUTED_VALUE"""),"activo")</f>
        <v>activo</v>
      </c>
      <c r="I1707" s="29"/>
      <c r="J1707" s="29"/>
      <c r="K1707" s="29"/>
      <c r="L1707" s="30" t="str">
        <f ca="1">IFERROR(__xludf.DUMMYFUNCTION("""COMPUTED_VALUE"""),"No")</f>
        <v>No</v>
      </c>
      <c r="M1707" s="30" t="str">
        <f ca="1">IFERROR(__xludf.DUMMYFUNCTION("""COMPUTED_VALUE"""),"82084270000")</f>
        <v>82084270000</v>
      </c>
      <c r="N1707" s="30" t="str">
        <f ca="1">IFERROR(__xludf.DUMMYFUNCTION("""COMPUTED_VALUE"""),"ROSARIO")</f>
        <v>ROSARIO</v>
      </c>
      <c r="O1707" s="30" t="str">
        <f ca="1">IFERROR(__xludf.DUMMYFUNCTION("""COMPUTED_VALUE"""),"8284")</f>
        <v>8284</v>
      </c>
      <c r="P1707" s="30" t="str">
        <f ca="1">IFERROR(__xludf.DUMMYFUNCTION("""COMPUTED_VALUE"""),"ROSARIO")</f>
        <v>ROSARIO</v>
      </c>
      <c r="Q1707" s="30" t="str">
        <f ca="1">IFERROR(__xludf.DUMMYFUNCTION("""COMPUTED_VALUE"""),"-33.0096267")</f>
        <v>-33.0096267</v>
      </c>
      <c r="R1707" s="30" t="str">
        <f ca="1">IFERROR(__xludf.DUMMYFUNCTION("""COMPUTED_VALUE"""),"-60.635749")</f>
        <v>-60.635749</v>
      </c>
      <c r="S1707" s="30" t="str">
        <f ca="1">IFERROR(__xludf.DUMMYFUNCTION("""COMPUTED_VALUE"""),"Municipal")</f>
        <v>Municipal</v>
      </c>
      <c r="T1707" s="29"/>
    </row>
    <row r="1708" spans="1:20" ht="15.75" customHeight="1" x14ac:dyDescent="0.25">
      <c r="A1708" s="30" t="str">
        <f ca="1">IFERROR(__xludf.DUMMYFUNCTION("""COMPUTED_VALUE"""),"50820842284597")</f>
        <v>50820842284597</v>
      </c>
      <c r="B1708" s="30" t="str">
        <f ca="1">IFERROR(__xludf.DUMMYFUNCTION("""COMPUTED_VALUE"""),"CENTRO DE SALUD CASIANO CASAS")</f>
        <v>CENTRO DE SALUD CASIANO CASAS</v>
      </c>
      <c r="C1708" s="30" t="str">
        <f ca="1">IFERROR(__xludf.DUMMYFUNCTION("""COMPUTED_VALUE"""),"Santa Fe")</f>
        <v>Santa Fe</v>
      </c>
      <c r="D1708" s="30" t="str">
        <f ca="1">IFERROR(__xludf.DUMMYFUNCTION("""COMPUTED_VALUE"""),"82")</f>
        <v>82</v>
      </c>
      <c r="E1708" s="30" t="str">
        <f ca="1">IFERROR(__xludf.DUMMYFUNCTION("""COMPUTED_VALUE"""),"")</f>
        <v/>
      </c>
      <c r="F1708" s="29"/>
      <c r="G1708" s="29"/>
      <c r="H1708" s="30" t="str">
        <f ca="1">IFERROR(__xludf.DUMMYFUNCTION("""COMPUTED_VALUE"""),"activo")</f>
        <v>activo</v>
      </c>
      <c r="I1708" s="29"/>
      <c r="J1708" s="29"/>
      <c r="K1708" s="29"/>
      <c r="L1708" s="30" t="str">
        <f ca="1">IFERROR(__xludf.DUMMYFUNCTION("""COMPUTED_VALUE"""),"No")</f>
        <v>No</v>
      </c>
      <c r="M1708" s="30" t="str">
        <f ca="1">IFERROR(__xludf.DUMMYFUNCTION("""COMPUTED_VALUE"""),"82084270000")</f>
        <v>82084270000</v>
      </c>
      <c r="N1708" s="30" t="str">
        <f ca="1">IFERROR(__xludf.DUMMYFUNCTION("""COMPUTED_VALUE"""),"ROSARIO")</f>
        <v>ROSARIO</v>
      </c>
      <c r="O1708" s="30" t="str">
        <f ca="1">IFERROR(__xludf.DUMMYFUNCTION("""COMPUTED_VALUE"""),"8284")</f>
        <v>8284</v>
      </c>
      <c r="P1708" s="30" t="str">
        <f ca="1">IFERROR(__xludf.DUMMYFUNCTION("""COMPUTED_VALUE"""),"ROSARIO")</f>
        <v>ROSARIO</v>
      </c>
      <c r="Q1708" s="30" t="str">
        <f ca="1">IFERROR(__xludf.DUMMYFUNCTION("""COMPUTED_VALUE"""),"-32.90501374")</f>
        <v>-32.90501374</v>
      </c>
      <c r="R1708" s="30" t="str">
        <f ca="1">IFERROR(__xludf.DUMMYFUNCTION("""COMPUTED_VALUE"""),"-60.69846511")</f>
        <v>-60.69846511</v>
      </c>
      <c r="S1708" s="30" t="str">
        <f ca="1">IFERROR(__xludf.DUMMYFUNCTION("""COMPUTED_VALUE"""),"Municipal")</f>
        <v>Municipal</v>
      </c>
      <c r="T1708" s="29"/>
    </row>
    <row r="1709" spans="1:20" ht="15.75" customHeight="1" x14ac:dyDescent="0.25">
      <c r="A1709" s="30" t="str">
        <f ca="1">IFERROR(__xludf.DUMMYFUNCTION("""COMPUTED_VALUE"""),"50820842186095")</f>
        <v>50820842186095</v>
      </c>
      <c r="B1709" s="30" t="str">
        <f ca="1">IFERROR(__xludf.DUMMYFUNCTION("""COMPUTED_VALUE"""),"CENTRO DE SALUD ALFONSINA STORNI")</f>
        <v>CENTRO DE SALUD ALFONSINA STORNI</v>
      </c>
      <c r="C1709" s="30" t="str">
        <f ca="1">IFERROR(__xludf.DUMMYFUNCTION("""COMPUTED_VALUE"""),"Santa Fe")</f>
        <v>Santa Fe</v>
      </c>
      <c r="D1709" s="30" t="str">
        <f ca="1">IFERROR(__xludf.DUMMYFUNCTION("""COMPUTED_VALUE"""),"82")</f>
        <v>82</v>
      </c>
      <c r="E1709" s="30" t="str">
        <f ca="1">IFERROR(__xludf.DUMMYFUNCTION("""COMPUTED_VALUE"""),"")</f>
        <v/>
      </c>
      <c r="F1709" s="29"/>
      <c r="G1709" s="29"/>
      <c r="H1709" s="30" t="str">
        <f ca="1">IFERROR(__xludf.DUMMYFUNCTION("""COMPUTED_VALUE"""),"activo")</f>
        <v>activo</v>
      </c>
      <c r="I1709" s="29"/>
      <c r="J1709" s="29"/>
      <c r="K1709" s="29"/>
      <c r="L1709" s="30" t="str">
        <f ca="1">IFERROR(__xludf.DUMMYFUNCTION("""COMPUTED_VALUE"""),"No")</f>
        <v>No</v>
      </c>
      <c r="M1709" s="30" t="str">
        <f ca="1">IFERROR(__xludf.DUMMYFUNCTION("""COMPUTED_VALUE"""),"82084270000")</f>
        <v>82084270000</v>
      </c>
      <c r="N1709" s="30" t="str">
        <f ca="1">IFERROR(__xludf.DUMMYFUNCTION("""COMPUTED_VALUE"""),"ROSARIO")</f>
        <v>ROSARIO</v>
      </c>
      <c r="O1709" s="30" t="str">
        <f ca="1">IFERROR(__xludf.DUMMYFUNCTION("""COMPUTED_VALUE"""),"8284")</f>
        <v>8284</v>
      </c>
      <c r="P1709" s="30" t="str">
        <f ca="1">IFERROR(__xludf.DUMMYFUNCTION("""COMPUTED_VALUE"""),"ROSARIO")</f>
        <v>ROSARIO</v>
      </c>
      <c r="Q1709" s="30" t="str">
        <f ca="1">IFERROR(__xludf.DUMMYFUNCTION("""COMPUTED_VALUE"""),"-33.01047639")</f>
        <v>-33.01047639</v>
      </c>
      <c r="R1709" s="30" t="str">
        <f ca="1">IFERROR(__xludf.DUMMYFUNCTION("""COMPUTED_VALUE"""),"-60.64236939")</f>
        <v>-60.64236939</v>
      </c>
      <c r="S1709" s="30" t="str">
        <f ca="1">IFERROR(__xludf.DUMMYFUNCTION("""COMPUTED_VALUE"""),"Provincial")</f>
        <v>Provincial</v>
      </c>
      <c r="T1709" s="30" t="str">
        <f ca="1">IFERROR(__xludf.DUMMYFUNCTION("""COMPUTED_VALUE"""),"-")</f>
        <v>-</v>
      </c>
    </row>
    <row r="1710" spans="1:20" ht="15.75" customHeight="1" x14ac:dyDescent="0.25">
      <c r="A1710" s="30" t="str">
        <f ca="1">IFERROR(__xludf.DUMMYFUNCTION("""COMPUTED_VALUE"""),"50820842184834")</f>
        <v>50820842184834</v>
      </c>
      <c r="B1710" s="30" t="str">
        <f ca="1">IFERROR(__xludf.DUMMYFUNCTION("""COMPUTED_VALUE"""),"CENTRO DE SALUD N° 15 JUAN DOMINGO PERON")</f>
        <v>CENTRO DE SALUD N° 15 JUAN DOMINGO PERON</v>
      </c>
      <c r="C1710" s="30" t="str">
        <f ca="1">IFERROR(__xludf.DUMMYFUNCTION("""COMPUTED_VALUE"""),"Santa Fe")</f>
        <v>Santa Fe</v>
      </c>
      <c r="D1710" s="30" t="str">
        <f ca="1">IFERROR(__xludf.DUMMYFUNCTION("""COMPUTED_VALUE"""),"82")</f>
        <v>82</v>
      </c>
      <c r="E1710" s="30" t="str">
        <f ca="1">IFERROR(__xludf.DUMMYFUNCTION("""COMPUTED_VALUE"""),"")</f>
        <v/>
      </c>
      <c r="F1710" s="29"/>
      <c r="G1710" s="29"/>
      <c r="H1710" s="30" t="str">
        <f ca="1">IFERROR(__xludf.DUMMYFUNCTION("""COMPUTED_VALUE"""),"activo")</f>
        <v>activo</v>
      </c>
      <c r="I1710" s="29"/>
      <c r="J1710" s="29"/>
      <c r="K1710" s="29"/>
      <c r="L1710" s="30" t="str">
        <f ca="1">IFERROR(__xludf.DUMMYFUNCTION("""COMPUTED_VALUE"""),"No")</f>
        <v>No</v>
      </c>
      <c r="M1710" s="30" t="str">
        <f ca="1">IFERROR(__xludf.DUMMYFUNCTION("""COMPUTED_VALUE"""),"82084270000")</f>
        <v>82084270000</v>
      </c>
      <c r="N1710" s="30" t="str">
        <f ca="1">IFERROR(__xludf.DUMMYFUNCTION("""COMPUTED_VALUE"""),"ROSARIO")</f>
        <v>ROSARIO</v>
      </c>
      <c r="O1710" s="30" t="str">
        <f ca="1">IFERROR(__xludf.DUMMYFUNCTION("""COMPUTED_VALUE"""),"8284")</f>
        <v>8284</v>
      </c>
      <c r="P1710" s="30" t="str">
        <f ca="1">IFERROR(__xludf.DUMMYFUNCTION("""COMPUTED_VALUE"""),"ROSARIO")</f>
        <v>ROSARIO</v>
      </c>
      <c r="Q1710" s="30" t="str">
        <f ca="1">IFERROR(__xludf.DUMMYFUNCTION("""COMPUTED_VALUE"""),"-33.0204347")</f>
        <v>-33.0204347</v>
      </c>
      <c r="R1710" s="30" t="str">
        <f ca="1">IFERROR(__xludf.DUMMYFUNCTION("""COMPUTED_VALUE"""),"-60.6586162")</f>
        <v>-60.6586162</v>
      </c>
      <c r="S1710" s="30" t="str">
        <f ca="1">IFERROR(__xludf.DUMMYFUNCTION("""COMPUTED_VALUE"""),"Provincial")</f>
        <v>Provincial</v>
      </c>
      <c r="T1710" s="30" t="str">
        <f ca="1">IFERROR(__xludf.DUMMYFUNCTION("""COMPUTED_VALUE"""),"-")</f>
        <v>-</v>
      </c>
    </row>
    <row r="1711" spans="1:20" ht="15.75" customHeight="1" x14ac:dyDescent="0.25">
      <c r="A1711" s="30" t="str">
        <f ca="1">IFERROR(__xludf.DUMMYFUNCTION("""COMPUTED_VALUE"""),"50820842284738")</f>
        <v>50820842284738</v>
      </c>
      <c r="B1711" s="30" t="str">
        <f ca="1">IFERROR(__xludf.DUMMYFUNCTION("""COMPUTED_VALUE"""),"CENTRO DE SALUD JEAN HENRY DUNNANT")</f>
        <v>CENTRO DE SALUD JEAN HENRY DUNNANT</v>
      </c>
      <c r="C1711" s="30" t="str">
        <f ca="1">IFERROR(__xludf.DUMMYFUNCTION("""COMPUTED_VALUE"""),"Santa Fe")</f>
        <v>Santa Fe</v>
      </c>
      <c r="D1711" s="30" t="str">
        <f ca="1">IFERROR(__xludf.DUMMYFUNCTION("""COMPUTED_VALUE"""),"82")</f>
        <v>82</v>
      </c>
      <c r="E1711" s="30" t="str">
        <f ca="1">IFERROR(__xludf.DUMMYFUNCTION("""COMPUTED_VALUE"""),"")</f>
        <v/>
      </c>
      <c r="F1711" s="29"/>
      <c r="G1711" s="29"/>
      <c r="H1711" s="30" t="str">
        <f ca="1">IFERROR(__xludf.DUMMYFUNCTION("""COMPUTED_VALUE"""),"activo")</f>
        <v>activo</v>
      </c>
      <c r="I1711" s="29"/>
      <c r="J1711" s="29"/>
      <c r="K1711" s="29"/>
      <c r="L1711" s="30" t="str">
        <f ca="1">IFERROR(__xludf.DUMMYFUNCTION("""COMPUTED_VALUE"""),"No")</f>
        <v>No</v>
      </c>
      <c r="M1711" s="30" t="str">
        <f ca="1">IFERROR(__xludf.DUMMYFUNCTION("""COMPUTED_VALUE"""),"82084270000")</f>
        <v>82084270000</v>
      </c>
      <c r="N1711" s="30" t="str">
        <f ca="1">IFERROR(__xludf.DUMMYFUNCTION("""COMPUTED_VALUE"""),"ROSARIO")</f>
        <v>ROSARIO</v>
      </c>
      <c r="O1711" s="30" t="str">
        <f ca="1">IFERROR(__xludf.DUMMYFUNCTION("""COMPUTED_VALUE"""),"8284")</f>
        <v>8284</v>
      </c>
      <c r="P1711" s="30" t="str">
        <f ca="1">IFERROR(__xludf.DUMMYFUNCTION("""COMPUTED_VALUE"""),"ROSARIO")</f>
        <v>ROSARIO</v>
      </c>
      <c r="Q1711" s="30" t="str">
        <f ca="1">IFERROR(__xludf.DUMMYFUNCTION("""COMPUTED_VALUE"""),"-32.94460751")</f>
        <v>-32.94460751</v>
      </c>
      <c r="R1711" s="30" t="str">
        <f ca="1">IFERROR(__xludf.DUMMYFUNCTION("""COMPUTED_VALUE"""),"-60.69958225")</f>
        <v>-60.69958225</v>
      </c>
      <c r="S1711" s="30" t="str">
        <f ca="1">IFERROR(__xludf.DUMMYFUNCTION("""COMPUTED_VALUE"""),"Municipal")</f>
        <v>Municipal</v>
      </c>
      <c r="T1711" s="29"/>
    </row>
    <row r="1712" spans="1:20" ht="15.75" customHeight="1" x14ac:dyDescent="0.25">
      <c r="A1712" s="30" t="str">
        <f ca="1">IFERROR(__xludf.DUMMYFUNCTION("""COMPUTED_VALUE"""),"50820842284799")</f>
        <v>50820842284799</v>
      </c>
      <c r="B1712" s="30" t="str">
        <f ca="1">IFERROR(__xludf.DUMMYFUNCTION("""COMPUTED_VALUE"""),"CENTRO DE SALUD MARCELINO CHAMPAGNAT")</f>
        <v>CENTRO DE SALUD MARCELINO CHAMPAGNAT</v>
      </c>
      <c r="C1712" s="30" t="str">
        <f ca="1">IFERROR(__xludf.DUMMYFUNCTION("""COMPUTED_VALUE"""),"Santa Fe")</f>
        <v>Santa Fe</v>
      </c>
      <c r="D1712" s="30" t="str">
        <f ca="1">IFERROR(__xludf.DUMMYFUNCTION("""COMPUTED_VALUE"""),"82")</f>
        <v>82</v>
      </c>
      <c r="E1712" s="30" t="str">
        <f ca="1">IFERROR(__xludf.DUMMYFUNCTION("""COMPUTED_VALUE"""),"")</f>
        <v/>
      </c>
      <c r="F1712" s="29"/>
      <c r="G1712" s="29"/>
      <c r="H1712" s="30" t="str">
        <f ca="1">IFERROR(__xludf.DUMMYFUNCTION("""COMPUTED_VALUE"""),"activo")</f>
        <v>activo</v>
      </c>
      <c r="I1712" s="29"/>
      <c r="J1712" s="29"/>
      <c r="K1712" s="29"/>
      <c r="L1712" s="30" t="str">
        <f ca="1">IFERROR(__xludf.DUMMYFUNCTION("""COMPUTED_VALUE"""),"No")</f>
        <v>No</v>
      </c>
      <c r="M1712" s="30" t="str">
        <f ca="1">IFERROR(__xludf.DUMMYFUNCTION("""COMPUTED_VALUE"""),"82084270000")</f>
        <v>82084270000</v>
      </c>
      <c r="N1712" s="30" t="str">
        <f ca="1">IFERROR(__xludf.DUMMYFUNCTION("""COMPUTED_VALUE"""),"ROSARIO")</f>
        <v>ROSARIO</v>
      </c>
      <c r="O1712" s="30" t="str">
        <f ca="1">IFERROR(__xludf.DUMMYFUNCTION("""COMPUTED_VALUE"""),"8284")</f>
        <v>8284</v>
      </c>
      <c r="P1712" s="30" t="str">
        <f ca="1">IFERROR(__xludf.DUMMYFUNCTION("""COMPUTED_VALUE"""),"ROSARIO")</f>
        <v>ROSARIO</v>
      </c>
      <c r="Q1712" s="30" t="str">
        <f ca="1">IFERROR(__xludf.DUMMYFUNCTION("""COMPUTED_VALUE"""),"-32.9763212")</f>
        <v>-32.9763212</v>
      </c>
      <c r="R1712" s="30" t="str">
        <f ca="1">IFERROR(__xludf.DUMMYFUNCTION("""COMPUTED_VALUE"""),"-60.684235")</f>
        <v>-60.684235</v>
      </c>
      <c r="S1712" s="30" t="str">
        <f ca="1">IFERROR(__xludf.DUMMYFUNCTION("""COMPUTED_VALUE"""),"Municipal")</f>
        <v>Municipal</v>
      </c>
      <c r="T1712" s="29"/>
    </row>
    <row r="1713" spans="1:20" ht="15.75" customHeight="1" x14ac:dyDescent="0.25">
      <c r="A1713" s="30" t="str">
        <f ca="1">IFERROR(__xludf.DUMMYFUNCTION("""COMPUTED_VALUE"""),"50820842285009")</f>
        <v>50820842285009</v>
      </c>
      <c r="B1713" s="30" t="str">
        <f ca="1">IFERROR(__xludf.DUMMYFUNCTION("""COMPUTED_VALUE"""),"CENTRO DE SALUD PRIMERO DE MAYO")</f>
        <v>CENTRO DE SALUD PRIMERO DE MAYO</v>
      </c>
      <c r="C1713" s="30" t="str">
        <f ca="1">IFERROR(__xludf.DUMMYFUNCTION("""COMPUTED_VALUE"""),"Santa Fe")</f>
        <v>Santa Fe</v>
      </c>
      <c r="D1713" s="30" t="str">
        <f ca="1">IFERROR(__xludf.DUMMYFUNCTION("""COMPUTED_VALUE"""),"82")</f>
        <v>82</v>
      </c>
      <c r="E1713" s="30" t="str">
        <f ca="1">IFERROR(__xludf.DUMMYFUNCTION("""COMPUTED_VALUE"""),"")</f>
        <v/>
      </c>
      <c r="F1713" s="29"/>
      <c r="G1713" s="29"/>
      <c r="H1713" s="30" t="str">
        <f ca="1">IFERROR(__xludf.DUMMYFUNCTION("""COMPUTED_VALUE"""),"activo")</f>
        <v>activo</v>
      </c>
      <c r="I1713" s="29"/>
      <c r="J1713" s="29"/>
      <c r="K1713" s="29"/>
      <c r="L1713" s="30" t="str">
        <f ca="1">IFERROR(__xludf.DUMMYFUNCTION("""COMPUTED_VALUE"""),"No")</f>
        <v>No</v>
      </c>
      <c r="M1713" s="30" t="str">
        <f ca="1">IFERROR(__xludf.DUMMYFUNCTION("""COMPUTED_VALUE"""),"82084270000")</f>
        <v>82084270000</v>
      </c>
      <c r="N1713" s="30" t="str">
        <f ca="1">IFERROR(__xludf.DUMMYFUNCTION("""COMPUTED_VALUE"""),"ROSARIO")</f>
        <v>ROSARIO</v>
      </c>
      <c r="O1713" s="30" t="str">
        <f ca="1">IFERROR(__xludf.DUMMYFUNCTION("""COMPUTED_VALUE"""),"8284")</f>
        <v>8284</v>
      </c>
      <c r="P1713" s="30" t="str">
        <f ca="1">IFERROR(__xludf.DUMMYFUNCTION("""COMPUTED_VALUE"""),"ROSARIO")</f>
        <v>ROSARIO</v>
      </c>
      <c r="Q1713" s="30" t="str">
        <f ca="1">IFERROR(__xludf.DUMMYFUNCTION("""COMPUTED_VALUE"""),"-32.88783542")</f>
        <v>-32.88783542</v>
      </c>
      <c r="R1713" s="30" t="str">
        <f ca="1">IFERROR(__xludf.DUMMYFUNCTION("""COMPUTED_VALUE"""),"-60.712919")</f>
        <v>-60.712919</v>
      </c>
      <c r="S1713" s="30" t="str">
        <f ca="1">IFERROR(__xludf.DUMMYFUNCTION("""COMPUTED_VALUE"""),"Municipal")</f>
        <v>Municipal</v>
      </c>
      <c r="T1713" s="29"/>
    </row>
    <row r="1714" spans="1:20" ht="15.75" customHeight="1" x14ac:dyDescent="0.25">
      <c r="A1714" s="30" t="str">
        <f ca="1">IFERROR(__xludf.DUMMYFUNCTION("""COMPUTED_VALUE"""),"50820842284673")</f>
        <v>50820842284673</v>
      </c>
      <c r="B1714" s="30" t="str">
        <f ca="1">IFERROR(__xludf.DUMMYFUNCTION("""COMPUTED_VALUE"""),"CENTRO DE SALUD EMAUS - ROSARIO")</f>
        <v>CENTRO DE SALUD EMAUS - ROSARIO</v>
      </c>
      <c r="C1714" s="30" t="str">
        <f ca="1">IFERROR(__xludf.DUMMYFUNCTION("""COMPUTED_VALUE"""),"Santa Fe")</f>
        <v>Santa Fe</v>
      </c>
      <c r="D1714" s="30" t="str">
        <f ca="1">IFERROR(__xludf.DUMMYFUNCTION("""COMPUTED_VALUE"""),"82")</f>
        <v>82</v>
      </c>
      <c r="E1714" s="30" t="str">
        <f ca="1">IFERROR(__xludf.DUMMYFUNCTION("""COMPUTED_VALUE"""),"")</f>
        <v/>
      </c>
      <c r="F1714" s="29"/>
      <c r="G1714" s="29"/>
      <c r="H1714" s="30" t="str">
        <f ca="1">IFERROR(__xludf.DUMMYFUNCTION("""COMPUTED_VALUE"""),"activo")</f>
        <v>activo</v>
      </c>
      <c r="I1714" s="29"/>
      <c r="J1714" s="29"/>
      <c r="K1714" s="29"/>
      <c r="L1714" s="30" t="str">
        <f ca="1">IFERROR(__xludf.DUMMYFUNCTION("""COMPUTED_VALUE"""),"No")</f>
        <v>No</v>
      </c>
      <c r="M1714" s="30" t="str">
        <f ca="1">IFERROR(__xludf.DUMMYFUNCTION("""COMPUTED_VALUE"""),"82084270000")</f>
        <v>82084270000</v>
      </c>
      <c r="N1714" s="30" t="str">
        <f ca="1">IFERROR(__xludf.DUMMYFUNCTION("""COMPUTED_VALUE"""),"ROSARIO")</f>
        <v>ROSARIO</v>
      </c>
      <c r="O1714" s="30" t="str">
        <f ca="1">IFERROR(__xludf.DUMMYFUNCTION("""COMPUTED_VALUE"""),"8284")</f>
        <v>8284</v>
      </c>
      <c r="P1714" s="30" t="str">
        <f ca="1">IFERROR(__xludf.DUMMYFUNCTION("""COMPUTED_VALUE"""),"ROSARIO")</f>
        <v>ROSARIO</v>
      </c>
      <c r="Q1714" s="30" t="str">
        <f ca="1">IFERROR(__xludf.DUMMYFUNCTION("""COMPUTED_VALUE"""),"-32.917123")</f>
        <v>-32.917123</v>
      </c>
      <c r="R1714" s="30" t="str">
        <f ca="1">IFERROR(__xludf.DUMMYFUNCTION("""COMPUTED_VALUE"""),"-60.7350876")</f>
        <v>-60.7350876</v>
      </c>
      <c r="S1714" s="30" t="str">
        <f ca="1">IFERROR(__xludf.DUMMYFUNCTION("""COMPUTED_VALUE"""),"Municipal")</f>
        <v>Municipal</v>
      </c>
      <c r="T1714" s="29"/>
    </row>
    <row r="1715" spans="1:20" ht="15.75" customHeight="1" x14ac:dyDescent="0.25">
      <c r="A1715" s="30" t="str">
        <f ca="1">IFERROR(__xludf.DUMMYFUNCTION("""COMPUTED_VALUE"""),"50820842284469")</f>
        <v>50820842284469</v>
      </c>
      <c r="B1715" s="30" t="str">
        <f ca="1">IFERROR(__xludf.DUMMYFUNCTION("""COMPUTED_VALUE"""),"CENTRO DE SALUD CEFERINO NAMUNCURA - ROSARIO")</f>
        <v>CENTRO DE SALUD CEFERINO NAMUNCURA - ROSARIO</v>
      </c>
      <c r="C1715" s="30" t="str">
        <f ca="1">IFERROR(__xludf.DUMMYFUNCTION("""COMPUTED_VALUE"""),"Santa Fe")</f>
        <v>Santa Fe</v>
      </c>
      <c r="D1715" s="30" t="str">
        <f ca="1">IFERROR(__xludf.DUMMYFUNCTION("""COMPUTED_VALUE"""),"82")</f>
        <v>82</v>
      </c>
      <c r="E1715" s="30" t="str">
        <f ca="1">IFERROR(__xludf.DUMMYFUNCTION("""COMPUTED_VALUE"""),"")</f>
        <v/>
      </c>
      <c r="F1715" s="29"/>
      <c r="G1715" s="29"/>
      <c r="H1715" s="30" t="str">
        <f ca="1">IFERROR(__xludf.DUMMYFUNCTION("""COMPUTED_VALUE"""),"activo")</f>
        <v>activo</v>
      </c>
      <c r="I1715" s="29"/>
      <c r="J1715" s="29"/>
      <c r="K1715" s="29"/>
      <c r="L1715" s="30" t="str">
        <f ca="1">IFERROR(__xludf.DUMMYFUNCTION("""COMPUTED_VALUE"""),"No")</f>
        <v>No</v>
      </c>
      <c r="M1715" s="30" t="str">
        <f ca="1">IFERROR(__xludf.DUMMYFUNCTION("""COMPUTED_VALUE"""),"82084270000")</f>
        <v>82084270000</v>
      </c>
      <c r="N1715" s="30" t="str">
        <f ca="1">IFERROR(__xludf.DUMMYFUNCTION("""COMPUTED_VALUE"""),"ROSARIO")</f>
        <v>ROSARIO</v>
      </c>
      <c r="O1715" s="30" t="str">
        <f ca="1">IFERROR(__xludf.DUMMYFUNCTION("""COMPUTED_VALUE"""),"8284")</f>
        <v>8284</v>
      </c>
      <c r="P1715" s="30" t="str">
        <f ca="1">IFERROR(__xludf.DUMMYFUNCTION("""COMPUTED_VALUE"""),"ROSARIO")</f>
        <v>ROSARIO</v>
      </c>
      <c r="Q1715" s="30" t="str">
        <f ca="1">IFERROR(__xludf.DUMMYFUNCTION("""COMPUTED_VALUE"""),"-32.9180662")</f>
        <v>-32.9180662</v>
      </c>
      <c r="R1715" s="30" t="str">
        <f ca="1">IFERROR(__xludf.DUMMYFUNCTION("""COMPUTED_VALUE"""),"-60.7488295")</f>
        <v>-60.7488295</v>
      </c>
      <c r="S1715" s="30" t="str">
        <f ca="1">IFERROR(__xludf.DUMMYFUNCTION("""COMPUTED_VALUE"""),"Municipal")</f>
        <v>Municipal</v>
      </c>
      <c r="T1715" s="29"/>
    </row>
    <row r="1716" spans="1:20" ht="15.75" customHeight="1" x14ac:dyDescent="0.25">
      <c r="A1716" s="30" t="str">
        <f ca="1">IFERROR(__xludf.DUMMYFUNCTION("""COMPUTED_VALUE"""),"50820842184831")</f>
        <v>50820842184831</v>
      </c>
      <c r="B1716" s="30" t="str">
        <f ca="1">IFERROR(__xludf.DUMMYFUNCTION("""COMPUTED_VALUE"""),"CENTRO DE SALUD N° 13 FONAVI")</f>
        <v>CENTRO DE SALUD N° 13 FONAVI</v>
      </c>
      <c r="C1716" s="30" t="str">
        <f ca="1">IFERROR(__xludf.DUMMYFUNCTION("""COMPUTED_VALUE"""),"Santa Fe")</f>
        <v>Santa Fe</v>
      </c>
      <c r="D1716" s="30" t="str">
        <f ca="1">IFERROR(__xludf.DUMMYFUNCTION("""COMPUTED_VALUE"""),"82")</f>
        <v>82</v>
      </c>
      <c r="E1716" s="30" t="str">
        <f ca="1">IFERROR(__xludf.DUMMYFUNCTION("""COMPUTED_VALUE"""),"")</f>
        <v/>
      </c>
      <c r="F1716" s="29"/>
      <c r="G1716" s="29"/>
      <c r="H1716" s="30" t="str">
        <f ca="1">IFERROR(__xludf.DUMMYFUNCTION("""COMPUTED_VALUE"""),"activo")</f>
        <v>activo</v>
      </c>
      <c r="I1716" s="29"/>
      <c r="J1716" s="29"/>
      <c r="K1716" s="29"/>
      <c r="L1716" s="30" t="str">
        <f ca="1">IFERROR(__xludf.DUMMYFUNCTION("""COMPUTED_VALUE"""),"No")</f>
        <v>No</v>
      </c>
      <c r="M1716" s="30" t="str">
        <f ca="1">IFERROR(__xludf.DUMMYFUNCTION("""COMPUTED_VALUE"""),"82084270000")</f>
        <v>82084270000</v>
      </c>
      <c r="N1716" s="30" t="str">
        <f ca="1">IFERROR(__xludf.DUMMYFUNCTION("""COMPUTED_VALUE"""),"ROSARIO")</f>
        <v>ROSARIO</v>
      </c>
      <c r="O1716" s="30" t="str">
        <f ca="1">IFERROR(__xludf.DUMMYFUNCTION("""COMPUTED_VALUE"""),"8284")</f>
        <v>8284</v>
      </c>
      <c r="P1716" s="30" t="str">
        <f ca="1">IFERROR(__xludf.DUMMYFUNCTION("""COMPUTED_VALUE"""),"ROSARIO")</f>
        <v>ROSARIO</v>
      </c>
      <c r="Q1716" s="30" t="str">
        <f ca="1">IFERROR(__xludf.DUMMYFUNCTION("""COMPUTED_VALUE"""),"-32.97011385")</f>
        <v>-32.97011385</v>
      </c>
      <c r="R1716" s="30" t="str">
        <f ca="1">IFERROR(__xludf.DUMMYFUNCTION("""COMPUTED_VALUE"""),"-60.70089519")</f>
        <v>-60.70089519</v>
      </c>
      <c r="S1716" s="30" t="str">
        <f ca="1">IFERROR(__xludf.DUMMYFUNCTION("""COMPUTED_VALUE"""),"Provincial")</f>
        <v>Provincial</v>
      </c>
      <c r="T1716" s="30" t="str">
        <f ca="1">IFERROR(__xludf.DUMMYFUNCTION("""COMPUTED_VALUE"""),"-")</f>
        <v>-</v>
      </c>
    </row>
    <row r="1717" spans="1:20" ht="15.75" customHeight="1" x14ac:dyDescent="0.25">
      <c r="A1717" s="30" t="str">
        <f ca="1">IFERROR(__xludf.DUMMYFUNCTION("""COMPUTED_VALUE"""),"50820842284961")</f>
        <v>50820842284961</v>
      </c>
      <c r="B1717" s="30" t="str">
        <f ca="1">IFERROR(__xludf.DUMMYFUNCTION("""COMPUTED_VALUE"""),"CENTRO DE SALUD SAN VICENTE DE PAUL")</f>
        <v>CENTRO DE SALUD SAN VICENTE DE PAUL</v>
      </c>
      <c r="C1717" s="30" t="str">
        <f ca="1">IFERROR(__xludf.DUMMYFUNCTION("""COMPUTED_VALUE"""),"Santa Fe")</f>
        <v>Santa Fe</v>
      </c>
      <c r="D1717" s="30" t="str">
        <f ca="1">IFERROR(__xludf.DUMMYFUNCTION("""COMPUTED_VALUE"""),"82")</f>
        <v>82</v>
      </c>
      <c r="E1717" s="30" t="str">
        <f ca="1">IFERROR(__xludf.DUMMYFUNCTION("""COMPUTED_VALUE"""),"")</f>
        <v/>
      </c>
      <c r="F1717" s="29"/>
      <c r="G1717" s="29"/>
      <c r="H1717" s="30" t="str">
        <f ca="1">IFERROR(__xludf.DUMMYFUNCTION("""COMPUTED_VALUE"""),"inactivo")</f>
        <v>inactivo</v>
      </c>
      <c r="I1717" s="30" t="str">
        <f ca="1">IFERROR(__xludf.DUMMYFUNCTION("""COMPUTED_VALUE"""),"Este efector se dio de baja durante el CAI 2022.")</f>
        <v>Este efector se dio de baja durante el CAI 2022.</v>
      </c>
      <c r="J1717" s="29"/>
      <c r="K1717" s="29"/>
      <c r="L1717" s="30" t="str">
        <f ca="1">IFERROR(__xludf.DUMMYFUNCTION("""COMPUTED_VALUE"""),"No")</f>
        <v>No</v>
      </c>
      <c r="M1717" s="30" t="str">
        <f ca="1">IFERROR(__xludf.DUMMYFUNCTION("""COMPUTED_VALUE"""),"82084270000")</f>
        <v>82084270000</v>
      </c>
      <c r="N1717" s="30" t="str">
        <f ca="1">IFERROR(__xludf.DUMMYFUNCTION("""COMPUTED_VALUE"""),"ROSARIO")</f>
        <v>ROSARIO</v>
      </c>
      <c r="O1717" s="30" t="str">
        <f ca="1">IFERROR(__xludf.DUMMYFUNCTION("""COMPUTED_VALUE"""),"8284")</f>
        <v>8284</v>
      </c>
      <c r="P1717" s="30" t="str">
        <f ca="1">IFERROR(__xludf.DUMMYFUNCTION("""COMPUTED_VALUE"""),"ROSARIO")</f>
        <v>ROSARIO</v>
      </c>
      <c r="Q1717" s="30" t="str">
        <f ca="1">IFERROR(__xludf.DUMMYFUNCTION("""COMPUTED_VALUE"""),"-33.0280168")</f>
        <v>-33.0280168</v>
      </c>
      <c r="R1717" s="30" t="str">
        <f ca="1">IFERROR(__xludf.DUMMYFUNCTION("""COMPUTED_VALUE"""),"-60.6872598")</f>
        <v>-60.6872598</v>
      </c>
      <c r="S1717" s="30" t="str">
        <f ca="1">IFERROR(__xludf.DUMMYFUNCTION("""COMPUTED_VALUE"""),"Municipal")</f>
        <v>Municipal</v>
      </c>
      <c r="T1717" s="29"/>
    </row>
    <row r="1718" spans="1:20" ht="15.75" customHeight="1" x14ac:dyDescent="0.25">
      <c r="A1718" s="30" t="str">
        <f ca="1">IFERROR(__xludf.DUMMYFUNCTION("""COMPUTED_VALUE"""),"50820842185968")</f>
        <v>50820842185968</v>
      </c>
      <c r="B1718" s="30" t="str">
        <f ca="1">IFERROR(__xludf.DUMMYFUNCTION("""COMPUTED_VALUE"""),"CENTRO DE SALUD LIBERTAD")</f>
        <v>CENTRO DE SALUD LIBERTAD</v>
      </c>
      <c r="C1718" s="30" t="str">
        <f ca="1">IFERROR(__xludf.DUMMYFUNCTION("""COMPUTED_VALUE"""),"Santa Fe")</f>
        <v>Santa Fe</v>
      </c>
      <c r="D1718" s="30" t="str">
        <f ca="1">IFERROR(__xludf.DUMMYFUNCTION("""COMPUTED_VALUE"""),"82")</f>
        <v>82</v>
      </c>
      <c r="E1718" s="30" t="str">
        <f ca="1">IFERROR(__xludf.DUMMYFUNCTION("""COMPUTED_VALUE"""),"")</f>
        <v/>
      </c>
      <c r="F1718" s="29"/>
      <c r="G1718" s="29"/>
      <c r="H1718" s="30" t="str">
        <f ca="1">IFERROR(__xludf.DUMMYFUNCTION("""COMPUTED_VALUE"""),"activo")</f>
        <v>activo</v>
      </c>
      <c r="I1718" s="29"/>
      <c r="J1718" s="29"/>
      <c r="K1718" s="29"/>
      <c r="L1718" s="30" t="str">
        <f ca="1">IFERROR(__xludf.DUMMYFUNCTION("""COMPUTED_VALUE"""),"No")</f>
        <v>No</v>
      </c>
      <c r="M1718" s="30" t="str">
        <f ca="1">IFERROR(__xludf.DUMMYFUNCTION("""COMPUTED_VALUE"""),"82084270000")</f>
        <v>82084270000</v>
      </c>
      <c r="N1718" s="30" t="str">
        <f ca="1">IFERROR(__xludf.DUMMYFUNCTION("""COMPUTED_VALUE"""),"ROSARIO")</f>
        <v>ROSARIO</v>
      </c>
      <c r="O1718" s="30" t="str">
        <f ca="1">IFERROR(__xludf.DUMMYFUNCTION("""COMPUTED_VALUE"""),"8284")</f>
        <v>8284</v>
      </c>
      <c r="P1718" s="30" t="str">
        <f ca="1">IFERROR(__xludf.DUMMYFUNCTION("""COMPUTED_VALUE"""),"ROSARIO")</f>
        <v>ROSARIO</v>
      </c>
      <c r="Q1718" s="30" t="str">
        <f ca="1">IFERROR(__xludf.DUMMYFUNCTION("""COMPUTED_VALUE"""),"-32.9826693")</f>
        <v>-32.9826693</v>
      </c>
      <c r="R1718" s="30" t="str">
        <f ca="1">IFERROR(__xludf.DUMMYFUNCTION("""COMPUTED_VALUE"""),"-60.7079897")</f>
        <v>-60.7079897</v>
      </c>
      <c r="S1718" s="30" t="str">
        <f ca="1">IFERROR(__xludf.DUMMYFUNCTION("""COMPUTED_VALUE"""),"Provincial")</f>
        <v>Provincial</v>
      </c>
      <c r="T1718" s="30" t="str">
        <f ca="1">IFERROR(__xludf.DUMMYFUNCTION("""COMPUTED_VALUE"""),"-")</f>
        <v>-</v>
      </c>
    </row>
    <row r="1719" spans="1:20" ht="15.75" customHeight="1" x14ac:dyDescent="0.25">
      <c r="A1719" s="30" t="str">
        <f ca="1">IFERROR(__xludf.DUMMYFUNCTION("""COMPUTED_VALUE"""),"50820842284747")</f>
        <v>50820842284747</v>
      </c>
      <c r="B1719" s="30" t="str">
        <f ca="1">IFERROR(__xludf.DUMMYFUNCTION("""COMPUTED_VALUE"""),"CENTRO DE SALUD JULIO MAIZTEGUI (EX SAN ROQUE)")</f>
        <v>CENTRO DE SALUD JULIO MAIZTEGUI (EX SAN ROQUE)</v>
      </c>
      <c r="C1719" s="30" t="str">
        <f ca="1">IFERROR(__xludf.DUMMYFUNCTION("""COMPUTED_VALUE"""),"Santa Fe")</f>
        <v>Santa Fe</v>
      </c>
      <c r="D1719" s="30" t="str">
        <f ca="1">IFERROR(__xludf.DUMMYFUNCTION("""COMPUTED_VALUE"""),"82")</f>
        <v>82</v>
      </c>
      <c r="E1719" s="30" t="str">
        <f ca="1">IFERROR(__xludf.DUMMYFUNCTION("""COMPUTED_VALUE"""),"")</f>
        <v/>
      </c>
      <c r="F1719" s="29"/>
      <c r="G1719" s="29"/>
      <c r="H1719" s="30" t="str">
        <f ca="1">IFERROR(__xludf.DUMMYFUNCTION("""COMPUTED_VALUE"""),"activo")</f>
        <v>activo</v>
      </c>
      <c r="I1719" s="29"/>
      <c r="J1719" s="29"/>
      <c r="K1719" s="29"/>
      <c r="L1719" s="30" t="str">
        <f ca="1">IFERROR(__xludf.DUMMYFUNCTION("""COMPUTED_VALUE"""),"No")</f>
        <v>No</v>
      </c>
      <c r="M1719" s="30" t="str">
        <f ca="1">IFERROR(__xludf.DUMMYFUNCTION("""COMPUTED_VALUE"""),"82084270000")</f>
        <v>82084270000</v>
      </c>
      <c r="N1719" s="30" t="str">
        <f ca="1">IFERROR(__xludf.DUMMYFUNCTION("""COMPUTED_VALUE"""),"ROSARIO")</f>
        <v>ROSARIO</v>
      </c>
      <c r="O1719" s="30" t="str">
        <f ca="1">IFERROR(__xludf.DUMMYFUNCTION("""COMPUTED_VALUE"""),"8284")</f>
        <v>8284</v>
      </c>
      <c r="P1719" s="30" t="str">
        <f ca="1">IFERROR(__xludf.DUMMYFUNCTION("""COMPUTED_VALUE"""),"ROSARIO")</f>
        <v>ROSARIO</v>
      </c>
      <c r="Q1719" s="30" t="str">
        <f ca="1">IFERROR(__xludf.DUMMYFUNCTION("""COMPUTED_VALUE"""),"-33.0168885")</f>
        <v>-33.0168885</v>
      </c>
      <c r="R1719" s="30" t="str">
        <f ca="1">IFERROR(__xludf.DUMMYFUNCTION("""COMPUTED_VALUE"""),"-60.6545474")</f>
        <v>-60.6545474</v>
      </c>
      <c r="S1719" s="30" t="str">
        <f ca="1">IFERROR(__xludf.DUMMYFUNCTION("""COMPUTED_VALUE"""),"Municipal")</f>
        <v>Municipal</v>
      </c>
      <c r="T1719" s="29"/>
    </row>
    <row r="1720" spans="1:20" ht="15.75" customHeight="1" x14ac:dyDescent="0.25">
      <c r="A1720" s="30" t="str">
        <f ca="1">IFERROR(__xludf.DUMMYFUNCTION("""COMPUTED_VALUE"""),"50820842284922")</f>
        <v>50820842284922</v>
      </c>
      <c r="B1720" s="30" t="str">
        <f ca="1">IFERROR(__xludf.DUMMYFUNCTION("""COMPUTED_VALUE"""),"CENTRO DE SALUD RUBEN NARANJO (EX LAS HERAS)")</f>
        <v>CENTRO DE SALUD RUBEN NARANJO (EX LAS HERAS)</v>
      </c>
      <c r="C1720" s="30" t="str">
        <f ca="1">IFERROR(__xludf.DUMMYFUNCTION("""COMPUTED_VALUE"""),"Santa Fe")</f>
        <v>Santa Fe</v>
      </c>
      <c r="D1720" s="30" t="str">
        <f ca="1">IFERROR(__xludf.DUMMYFUNCTION("""COMPUTED_VALUE"""),"82")</f>
        <v>82</v>
      </c>
      <c r="E1720" s="30" t="str">
        <f ca="1">IFERROR(__xludf.DUMMYFUNCTION("""COMPUTED_VALUE"""),"")</f>
        <v/>
      </c>
      <c r="F1720" s="29"/>
      <c r="G1720" s="29"/>
      <c r="H1720" s="30" t="str">
        <f ca="1">IFERROR(__xludf.DUMMYFUNCTION("""COMPUTED_VALUE"""),"activo")</f>
        <v>activo</v>
      </c>
      <c r="I1720" s="29"/>
      <c r="J1720" s="29"/>
      <c r="K1720" s="29"/>
      <c r="L1720" s="30" t="str">
        <f ca="1">IFERROR(__xludf.DUMMYFUNCTION("""COMPUTED_VALUE"""),"No")</f>
        <v>No</v>
      </c>
      <c r="M1720" s="30" t="str">
        <f ca="1">IFERROR(__xludf.DUMMYFUNCTION("""COMPUTED_VALUE"""),"82084270000")</f>
        <v>82084270000</v>
      </c>
      <c r="N1720" s="30" t="str">
        <f ca="1">IFERROR(__xludf.DUMMYFUNCTION("""COMPUTED_VALUE"""),"ROSARIO")</f>
        <v>ROSARIO</v>
      </c>
      <c r="O1720" s="30" t="str">
        <f ca="1">IFERROR(__xludf.DUMMYFUNCTION("""COMPUTED_VALUE"""),"8284")</f>
        <v>8284</v>
      </c>
      <c r="P1720" s="30" t="str">
        <f ca="1">IFERROR(__xludf.DUMMYFUNCTION("""COMPUTED_VALUE"""),"ROSARIO")</f>
        <v>ROSARIO</v>
      </c>
      <c r="Q1720" s="30" t="str">
        <f ca="1">IFERROR(__xludf.DUMMYFUNCTION("""COMPUTED_VALUE"""),"-32.992723")</f>
        <v>-32.992723</v>
      </c>
      <c r="R1720" s="30" t="str">
        <f ca="1">IFERROR(__xludf.DUMMYFUNCTION("""COMPUTED_VALUE"""),"-60.628861")</f>
        <v>-60.628861</v>
      </c>
      <c r="S1720" s="30" t="str">
        <f ca="1">IFERROR(__xludf.DUMMYFUNCTION("""COMPUTED_VALUE"""),"Municipal")</f>
        <v>Municipal</v>
      </c>
      <c r="T1720" s="29"/>
    </row>
    <row r="1721" spans="1:20" ht="15.75" customHeight="1" x14ac:dyDescent="0.25">
      <c r="A1721" s="30" t="str">
        <f ca="1">IFERROR(__xludf.DUMMYFUNCTION("""COMPUTED_VALUE"""),"50820842284665")</f>
        <v>50820842284665</v>
      </c>
      <c r="B1721" s="30" t="str">
        <f ca="1">IFERROR(__xludf.DUMMYFUNCTION("""COMPUTED_VALUE"""),"CENTRO DE SALUD EL GAUCHO")</f>
        <v>CENTRO DE SALUD EL GAUCHO</v>
      </c>
      <c r="C1721" s="30" t="str">
        <f ca="1">IFERROR(__xludf.DUMMYFUNCTION("""COMPUTED_VALUE"""),"Santa Fe")</f>
        <v>Santa Fe</v>
      </c>
      <c r="D1721" s="30" t="str">
        <f ca="1">IFERROR(__xludf.DUMMYFUNCTION("""COMPUTED_VALUE"""),"82")</f>
        <v>82</v>
      </c>
      <c r="E1721" s="30" t="str">
        <f ca="1">IFERROR(__xludf.DUMMYFUNCTION("""COMPUTED_VALUE"""),"")</f>
        <v/>
      </c>
      <c r="F1721" s="29"/>
      <c r="G1721" s="29"/>
      <c r="H1721" s="30" t="str">
        <f ca="1">IFERROR(__xludf.DUMMYFUNCTION("""COMPUTED_VALUE"""),"activo")</f>
        <v>activo</v>
      </c>
      <c r="I1721" s="29"/>
      <c r="J1721" s="29"/>
      <c r="K1721" s="29"/>
      <c r="L1721" s="30" t="str">
        <f ca="1">IFERROR(__xludf.DUMMYFUNCTION("""COMPUTED_VALUE"""),"No")</f>
        <v>No</v>
      </c>
      <c r="M1721" s="30" t="str">
        <f ca="1">IFERROR(__xludf.DUMMYFUNCTION("""COMPUTED_VALUE"""),"82084270000")</f>
        <v>82084270000</v>
      </c>
      <c r="N1721" s="30" t="str">
        <f ca="1">IFERROR(__xludf.DUMMYFUNCTION("""COMPUTED_VALUE"""),"ROSARIO")</f>
        <v>ROSARIO</v>
      </c>
      <c r="O1721" s="30" t="str">
        <f ca="1">IFERROR(__xludf.DUMMYFUNCTION("""COMPUTED_VALUE"""),"8284")</f>
        <v>8284</v>
      </c>
      <c r="P1721" s="30" t="str">
        <f ca="1">IFERROR(__xludf.DUMMYFUNCTION("""COMPUTED_VALUE"""),"ROSARIO")</f>
        <v>ROSARIO</v>
      </c>
      <c r="Q1721" s="30" t="str">
        <f ca="1">IFERROR(__xludf.DUMMYFUNCTION("""COMPUTED_VALUE"""),"-33.00403708")</f>
        <v>-33.00403708</v>
      </c>
      <c r="R1721" s="30" t="str">
        <f ca="1">IFERROR(__xludf.DUMMYFUNCTION("""COMPUTED_VALUE"""),"-60.68903017")</f>
        <v>-60.68903017</v>
      </c>
      <c r="S1721" s="30" t="str">
        <f ca="1">IFERROR(__xludf.DUMMYFUNCTION("""COMPUTED_VALUE"""),"Municipal")</f>
        <v>Municipal</v>
      </c>
      <c r="T1721" s="29"/>
    </row>
    <row r="1722" spans="1:20" ht="15.75" customHeight="1" x14ac:dyDescent="0.25">
      <c r="A1722" s="30" t="str">
        <f ca="1">IFERROR(__xludf.DUMMYFUNCTION("""COMPUTED_VALUE"""),"50820842284898")</f>
        <v>50820842284898</v>
      </c>
      <c r="B1722" s="30" t="str">
        <f ca="1">IFERROR(__xludf.DUMMYFUNCTION("""COMPUTED_VALUE"""),"CENTRO DE SALUD POCHO LEPRATTI")</f>
        <v>CENTRO DE SALUD POCHO LEPRATTI</v>
      </c>
      <c r="C1722" s="30" t="str">
        <f ca="1">IFERROR(__xludf.DUMMYFUNCTION("""COMPUTED_VALUE"""),"Santa Fe")</f>
        <v>Santa Fe</v>
      </c>
      <c r="D1722" s="30" t="str">
        <f ca="1">IFERROR(__xludf.DUMMYFUNCTION("""COMPUTED_VALUE"""),"82")</f>
        <v>82</v>
      </c>
      <c r="E1722" s="30" t="str">
        <f ca="1">IFERROR(__xludf.DUMMYFUNCTION("""COMPUTED_VALUE"""),"")</f>
        <v/>
      </c>
      <c r="F1722" s="29"/>
      <c r="G1722" s="30" t="str">
        <f ca="1">IFERROR(__xludf.DUMMYFUNCTION("""COMPUTED_VALUE"""),"50820492186539")</f>
        <v>50820492186539</v>
      </c>
      <c r="H1722" s="30" t="str">
        <f ca="1">IFERROR(__xludf.DUMMYFUNCTION("""COMPUTED_VALUE"""),"inactivo")</f>
        <v>inactivo</v>
      </c>
      <c r="I1722" s="29"/>
      <c r="J1722" s="29"/>
      <c r="K1722" s="29"/>
      <c r="L1722" s="30" t="str">
        <f ca="1">IFERROR(__xludf.DUMMYFUNCTION("""COMPUTED_VALUE"""),"No")</f>
        <v>No</v>
      </c>
      <c r="M1722" s="30" t="str">
        <f ca="1">IFERROR(__xludf.DUMMYFUNCTION("""COMPUTED_VALUE"""),"82084270000")</f>
        <v>82084270000</v>
      </c>
      <c r="N1722" s="30" t="str">
        <f ca="1">IFERROR(__xludf.DUMMYFUNCTION("""COMPUTED_VALUE"""),"ROSARIO")</f>
        <v>ROSARIO</v>
      </c>
      <c r="O1722" s="30" t="str">
        <f ca="1">IFERROR(__xludf.DUMMYFUNCTION("""COMPUTED_VALUE"""),"8284")</f>
        <v>8284</v>
      </c>
      <c r="P1722" s="30" t="str">
        <f ca="1">IFERROR(__xludf.DUMMYFUNCTION("""COMPUTED_VALUE"""),"ROSARIO")</f>
        <v>ROSARIO</v>
      </c>
      <c r="Q1722" s="30" t="str">
        <f ca="1">IFERROR(__xludf.DUMMYFUNCTION("""COMPUTED_VALUE"""),"-33.01515689")</f>
        <v>-33.01515689</v>
      </c>
      <c r="R1722" s="30" t="str">
        <f ca="1">IFERROR(__xludf.DUMMYFUNCTION("""COMPUTED_VALUE"""),"-60.65669239")</f>
        <v>-60.65669239</v>
      </c>
      <c r="S1722" s="30" t="str">
        <f ca="1">IFERROR(__xludf.DUMMYFUNCTION("""COMPUTED_VALUE"""),"Municipal")</f>
        <v>Municipal</v>
      </c>
      <c r="T1722" s="29"/>
    </row>
    <row r="1723" spans="1:20" ht="15.75" customHeight="1" x14ac:dyDescent="0.25">
      <c r="A1723" s="30" t="str">
        <f ca="1">IFERROR(__xludf.DUMMYFUNCTION("""COMPUTED_VALUE"""),"50820842284971")</f>
        <v>50820842284971</v>
      </c>
      <c r="B1723" s="30" t="str">
        <f ca="1">IFERROR(__xludf.DUMMYFUNCTION("""COMPUTED_VALUE"""),"CENTRO DE SALUD SANTA TERESITA")</f>
        <v>CENTRO DE SALUD SANTA TERESITA</v>
      </c>
      <c r="C1723" s="30" t="str">
        <f ca="1">IFERROR(__xludf.DUMMYFUNCTION("""COMPUTED_VALUE"""),"Santa Fe")</f>
        <v>Santa Fe</v>
      </c>
      <c r="D1723" s="30" t="str">
        <f ca="1">IFERROR(__xludf.DUMMYFUNCTION("""COMPUTED_VALUE"""),"82")</f>
        <v>82</v>
      </c>
      <c r="E1723" s="30" t="str">
        <f ca="1">IFERROR(__xludf.DUMMYFUNCTION("""COMPUTED_VALUE"""),"")</f>
        <v/>
      </c>
      <c r="F1723" s="29"/>
      <c r="G1723" s="29"/>
      <c r="H1723" s="30" t="str">
        <f ca="1">IFERROR(__xludf.DUMMYFUNCTION("""COMPUTED_VALUE"""),"activo")</f>
        <v>activo</v>
      </c>
      <c r="I1723" s="29"/>
      <c r="J1723" s="29"/>
      <c r="K1723" s="29"/>
      <c r="L1723" s="30" t="str">
        <f ca="1">IFERROR(__xludf.DUMMYFUNCTION("""COMPUTED_VALUE"""),"No")</f>
        <v>No</v>
      </c>
      <c r="M1723" s="30" t="str">
        <f ca="1">IFERROR(__xludf.DUMMYFUNCTION("""COMPUTED_VALUE"""),"82084270000")</f>
        <v>82084270000</v>
      </c>
      <c r="N1723" s="30" t="str">
        <f ca="1">IFERROR(__xludf.DUMMYFUNCTION("""COMPUTED_VALUE"""),"ROSARIO")</f>
        <v>ROSARIO</v>
      </c>
      <c r="O1723" s="30" t="str">
        <f ca="1">IFERROR(__xludf.DUMMYFUNCTION("""COMPUTED_VALUE"""),"8284")</f>
        <v>8284</v>
      </c>
      <c r="P1723" s="30" t="str">
        <f ca="1">IFERROR(__xludf.DUMMYFUNCTION("""COMPUTED_VALUE"""),"ROSARIO")</f>
        <v>ROSARIO</v>
      </c>
      <c r="Q1723" s="30" t="str">
        <f ca="1">IFERROR(__xludf.DUMMYFUNCTION("""COMPUTED_VALUE"""),"-32.9831009")</f>
        <v>-32.9831009</v>
      </c>
      <c r="R1723" s="30" t="str">
        <f ca="1">IFERROR(__xludf.DUMMYFUNCTION("""COMPUTED_VALUE"""),"-60.67936993")</f>
        <v>-60.67936993</v>
      </c>
      <c r="S1723" s="30" t="str">
        <f ca="1">IFERROR(__xludf.DUMMYFUNCTION("""COMPUTED_VALUE"""),"Municipal")</f>
        <v>Municipal</v>
      </c>
      <c r="T1723" s="29"/>
    </row>
    <row r="1724" spans="1:20" ht="15.75" customHeight="1" x14ac:dyDescent="0.25">
      <c r="A1724" s="30" t="str">
        <f ca="1">IFERROR(__xludf.DUMMYFUNCTION("""COMPUTED_VALUE"""),"50820842284983")</f>
        <v>50820842284983</v>
      </c>
      <c r="B1724" s="30" t="str">
        <f ca="1">IFERROR(__xludf.DUMMYFUNCTION("""COMPUTED_VALUE"""),"CENTRO DE SALUD TIO ROLO")</f>
        <v>CENTRO DE SALUD TIO ROLO</v>
      </c>
      <c r="C1724" s="30" t="str">
        <f ca="1">IFERROR(__xludf.DUMMYFUNCTION("""COMPUTED_VALUE"""),"Santa Fe")</f>
        <v>Santa Fe</v>
      </c>
      <c r="D1724" s="30" t="str">
        <f ca="1">IFERROR(__xludf.DUMMYFUNCTION("""COMPUTED_VALUE"""),"82")</f>
        <v>82</v>
      </c>
      <c r="E1724" s="30" t="str">
        <f ca="1">IFERROR(__xludf.DUMMYFUNCTION("""COMPUTED_VALUE"""),"")</f>
        <v/>
      </c>
      <c r="F1724" s="29"/>
      <c r="G1724" s="29"/>
      <c r="H1724" s="30" t="str">
        <f ca="1">IFERROR(__xludf.DUMMYFUNCTION("""COMPUTED_VALUE"""),"inactivo")</f>
        <v>inactivo</v>
      </c>
      <c r="I1724" s="30" t="str">
        <f ca="1">IFERROR(__xludf.DUMMYFUNCTION("""COMPUTED_VALUE"""),"se dio de baja a pedido de la provincia bajo nota del 28-7-2022")</f>
        <v>se dio de baja a pedido de la provincia bajo nota del 28-7-2022</v>
      </c>
      <c r="J1724" s="29"/>
      <c r="K1724" s="29"/>
      <c r="L1724" s="30" t="str">
        <f ca="1">IFERROR(__xludf.DUMMYFUNCTION("""COMPUTED_VALUE"""),"No")</f>
        <v>No</v>
      </c>
      <c r="M1724" s="30" t="str">
        <f ca="1">IFERROR(__xludf.DUMMYFUNCTION("""COMPUTED_VALUE"""),"82084270000")</f>
        <v>82084270000</v>
      </c>
      <c r="N1724" s="30" t="str">
        <f ca="1">IFERROR(__xludf.DUMMYFUNCTION("""COMPUTED_VALUE"""),"ROSARIO")</f>
        <v>ROSARIO</v>
      </c>
      <c r="O1724" s="30" t="str">
        <f ca="1">IFERROR(__xludf.DUMMYFUNCTION("""COMPUTED_VALUE"""),"8284")</f>
        <v>8284</v>
      </c>
      <c r="P1724" s="30" t="str">
        <f ca="1">IFERROR(__xludf.DUMMYFUNCTION("""COMPUTED_VALUE"""),"ROSARIO")</f>
        <v>ROSARIO</v>
      </c>
      <c r="Q1724" s="30" t="str">
        <f ca="1">IFERROR(__xludf.DUMMYFUNCTION("""COMPUTED_VALUE"""),"-33.00961538")</f>
        <v>-33.00961538</v>
      </c>
      <c r="R1724" s="30" t="str">
        <f ca="1">IFERROR(__xludf.DUMMYFUNCTION("""COMPUTED_VALUE"""),"-60.68935847")</f>
        <v>-60.68935847</v>
      </c>
      <c r="S1724" s="30" t="str">
        <f ca="1">IFERROR(__xludf.DUMMYFUNCTION("""COMPUTED_VALUE"""),"Municipal")</f>
        <v>Municipal</v>
      </c>
      <c r="T1724" s="29"/>
    </row>
    <row r="1725" spans="1:20" ht="15.75" customHeight="1" x14ac:dyDescent="0.25">
      <c r="A1725" s="30" t="str">
        <f ca="1">IFERROR(__xludf.DUMMYFUNCTION("""COMPUTED_VALUE"""),"50820842284988")</f>
        <v>50820842284988</v>
      </c>
      <c r="B1725" s="30" t="str">
        <f ca="1">IFERROR(__xludf.DUMMYFUNCTION("""COMPUTED_VALUE"""),"CENTRO DE SALUD VECINAL DOMINGO MATHEU")</f>
        <v>CENTRO DE SALUD VECINAL DOMINGO MATHEU</v>
      </c>
      <c r="C1725" s="30" t="str">
        <f ca="1">IFERROR(__xludf.DUMMYFUNCTION("""COMPUTED_VALUE"""),"Santa Fe")</f>
        <v>Santa Fe</v>
      </c>
      <c r="D1725" s="30" t="str">
        <f ca="1">IFERROR(__xludf.DUMMYFUNCTION("""COMPUTED_VALUE"""),"82")</f>
        <v>82</v>
      </c>
      <c r="E1725" s="30" t="str">
        <f ca="1">IFERROR(__xludf.DUMMYFUNCTION("""COMPUTED_VALUE"""),"")</f>
        <v/>
      </c>
      <c r="F1725" s="29"/>
      <c r="G1725" s="29"/>
      <c r="H1725" s="30" t="str">
        <f ca="1">IFERROR(__xludf.DUMMYFUNCTION("""COMPUTED_VALUE"""),"inactivo")</f>
        <v>inactivo</v>
      </c>
      <c r="I1725" s="30" t="str">
        <f ca="1">IFERROR(__xludf.DUMMYFUNCTION("""COMPUTED_VALUE"""),"Este efector se dio de baja durante el CAI 2022.")</f>
        <v>Este efector se dio de baja durante el CAI 2022.</v>
      </c>
      <c r="J1725" s="29"/>
      <c r="K1725" s="29"/>
      <c r="L1725" s="30" t="str">
        <f ca="1">IFERROR(__xludf.DUMMYFUNCTION("""COMPUTED_VALUE"""),"No")</f>
        <v>No</v>
      </c>
      <c r="M1725" s="30" t="str">
        <f ca="1">IFERROR(__xludf.DUMMYFUNCTION("""COMPUTED_VALUE"""),"82084270000")</f>
        <v>82084270000</v>
      </c>
      <c r="N1725" s="30" t="str">
        <f ca="1">IFERROR(__xludf.DUMMYFUNCTION("""COMPUTED_VALUE"""),"ROSARIO")</f>
        <v>ROSARIO</v>
      </c>
      <c r="O1725" s="30" t="str">
        <f ca="1">IFERROR(__xludf.DUMMYFUNCTION("""COMPUTED_VALUE"""),"8284")</f>
        <v>8284</v>
      </c>
      <c r="P1725" s="30" t="str">
        <f ca="1">IFERROR(__xludf.DUMMYFUNCTION("""COMPUTED_VALUE"""),"ROSARIO")</f>
        <v>ROSARIO</v>
      </c>
      <c r="Q1725" s="30" t="str">
        <f ca="1">IFERROR(__xludf.DUMMYFUNCTION("""COMPUTED_VALUE"""),"-32.9814457")</f>
        <v>-32.9814457</v>
      </c>
      <c r="R1725" s="30" t="str">
        <f ca="1">IFERROR(__xludf.DUMMYFUNCTION("""COMPUTED_VALUE"""),"-60.6514275")</f>
        <v>-60.6514275</v>
      </c>
      <c r="S1725" s="30" t="str">
        <f ca="1">IFERROR(__xludf.DUMMYFUNCTION("""COMPUTED_VALUE"""),"Municipal")</f>
        <v>Municipal</v>
      </c>
      <c r="T1725" s="29"/>
    </row>
    <row r="1726" spans="1:20" ht="15.75" customHeight="1" x14ac:dyDescent="0.25">
      <c r="A1726" s="30" t="str">
        <f ca="1">IFERROR(__xludf.DUMMYFUNCTION("""COMPUTED_VALUE"""),"50820842184827")</f>
        <v>50820842184827</v>
      </c>
      <c r="B1726" s="30" t="str">
        <f ca="1">IFERROR(__xludf.DUMMYFUNCTION("""COMPUTED_VALUE"""),"CENTRO DE SALUD N° 10 VILLA MANUELITA")</f>
        <v>CENTRO DE SALUD N° 10 VILLA MANUELITA</v>
      </c>
      <c r="C1726" s="30" t="str">
        <f ca="1">IFERROR(__xludf.DUMMYFUNCTION("""COMPUTED_VALUE"""),"Santa Fe")</f>
        <v>Santa Fe</v>
      </c>
      <c r="D1726" s="30" t="str">
        <f ca="1">IFERROR(__xludf.DUMMYFUNCTION("""COMPUTED_VALUE"""),"82")</f>
        <v>82</v>
      </c>
      <c r="E1726" s="30" t="str">
        <f ca="1">IFERROR(__xludf.DUMMYFUNCTION("""COMPUTED_VALUE"""),"")</f>
        <v/>
      </c>
      <c r="F1726" s="29"/>
      <c r="G1726" s="29"/>
      <c r="H1726" s="30" t="str">
        <f ca="1">IFERROR(__xludf.DUMMYFUNCTION("""COMPUTED_VALUE"""),"activo")</f>
        <v>activo</v>
      </c>
      <c r="I1726" s="29"/>
      <c r="J1726" s="29"/>
      <c r="K1726" s="29"/>
      <c r="L1726" s="30" t="str">
        <f ca="1">IFERROR(__xludf.DUMMYFUNCTION("""COMPUTED_VALUE"""),"No")</f>
        <v>No</v>
      </c>
      <c r="M1726" s="30" t="str">
        <f ca="1">IFERROR(__xludf.DUMMYFUNCTION("""COMPUTED_VALUE"""),"82084270000")</f>
        <v>82084270000</v>
      </c>
      <c r="N1726" s="30" t="str">
        <f ca="1">IFERROR(__xludf.DUMMYFUNCTION("""COMPUTED_VALUE"""),"ROSARIO")</f>
        <v>ROSARIO</v>
      </c>
      <c r="O1726" s="30" t="str">
        <f ca="1">IFERROR(__xludf.DUMMYFUNCTION("""COMPUTED_VALUE"""),"8284")</f>
        <v>8284</v>
      </c>
      <c r="P1726" s="30" t="str">
        <f ca="1">IFERROR(__xludf.DUMMYFUNCTION("""COMPUTED_VALUE"""),"ROSARIO")</f>
        <v>ROSARIO</v>
      </c>
      <c r="Q1726" s="30" t="str">
        <f ca="1">IFERROR(__xludf.DUMMYFUNCTION("""COMPUTED_VALUE"""),"-32.98633645")</f>
        <v>-32.98633645</v>
      </c>
      <c r="R1726" s="30" t="str">
        <f ca="1">IFERROR(__xludf.DUMMYFUNCTION("""COMPUTED_VALUE"""),"-60.6273458")</f>
        <v>-60.6273458</v>
      </c>
      <c r="S1726" s="30" t="str">
        <f ca="1">IFERROR(__xludf.DUMMYFUNCTION("""COMPUTED_VALUE"""),"Provincial")</f>
        <v>Provincial</v>
      </c>
      <c r="T1726" s="30" t="str">
        <f ca="1">IFERROR(__xludf.DUMMYFUNCTION("""COMPUTED_VALUE"""),"-")</f>
        <v>-</v>
      </c>
    </row>
    <row r="1727" spans="1:20" ht="15.75" customHeight="1" x14ac:dyDescent="0.25">
      <c r="A1727" s="30" t="str">
        <f ca="1">IFERROR(__xludf.DUMMYFUNCTION("""COMPUTED_VALUE"""),"50820842184840")</f>
        <v>50820842184840</v>
      </c>
      <c r="B1727" s="30" t="str">
        <f ca="1">IFERROR(__xludf.DUMMYFUNCTION("""COMPUTED_VALUE"""),"CENTRO DE SALUD N° 2 FONAVI SUPER CEMENTO")</f>
        <v>CENTRO DE SALUD N° 2 FONAVI SUPER CEMENTO</v>
      </c>
      <c r="C1727" s="30" t="str">
        <f ca="1">IFERROR(__xludf.DUMMYFUNCTION("""COMPUTED_VALUE"""),"Santa Fe")</f>
        <v>Santa Fe</v>
      </c>
      <c r="D1727" s="30" t="str">
        <f ca="1">IFERROR(__xludf.DUMMYFUNCTION("""COMPUTED_VALUE"""),"82")</f>
        <v>82</v>
      </c>
      <c r="E1727" s="30" t="str">
        <f ca="1">IFERROR(__xludf.DUMMYFUNCTION("""COMPUTED_VALUE"""),"")</f>
        <v/>
      </c>
      <c r="F1727" s="29"/>
      <c r="G1727" s="29"/>
      <c r="H1727" s="30" t="str">
        <f ca="1">IFERROR(__xludf.DUMMYFUNCTION("""COMPUTED_VALUE"""),"activo")</f>
        <v>activo</v>
      </c>
      <c r="I1727" s="29"/>
      <c r="J1727" s="29"/>
      <c r="K1727" s="29"/>
      <c r="L1727" s="30" t="str">
        <f ca="1">IFERROR(__xludf.DUMMYFUNCTION("""COMPUTED_VALUE"""),"No")</f>
        <v>No</v>
      </c>
      <c r="M1727" s="30" t="str">
        <f ca="1">IFERROR(__xludf.DUMMYFUNCTION("""COMPUTED_VALUE"""),"82084270000")</f>
        <v>82084270000</v>
      </c>
      <c r="N1727" s="30" t="str">
        <f ca="1">IFERROR(__xludf.DUMMYFUNCTION("""COMPUTED_VALUE"""),"ROSARIO")</f>
        <v>ROSARIO</v>
      </c>
      <c r="O1727" s="30" t="str">
        <f ca="1">IFERROR(__xludf.DUMMYFUNCTION("""COMPUTED_VALUE"""),"8284")</f>
        <v>8284</v>
      </c>
      <c r="P1727" s="30" t="str">
        <f ca="1">IFERROR(__xludf.DUMMYFUNCTION("""COMPUTED_VALUE"""),"ROSARIO")</f>
        <v>ROSARIO</v>
      </c>
      <c r="Q1727" s="30" t="str">
        <f ca="1">IFERROR(__xludf.DUMMYFUNCTION("""COMPUTED_VALUE"""),"-32.9185399")</f>
        <v>-32.9185399</v>
      </c>
      <c r="R1727" s="30" t="str">
        <f ca="1">IFERROR(__xludf.DUMMYFUNCTION("""COMPUTED_VALUE"""),"-60.7279955")</f>
        <v>-60.7279955</v>
      </c>
      <c r="S1727" s="30" t="str">
        <f ca="1">IFERROR(__xludf.DUMMYFUNCTION("""COMPUTED_VALUE"""),"Provincial")</f>
        <v>Provincial</v>
      </c>
      <c r="T1727" s="30" t="str">
        <f ca="1">IFERROR(__xludf.DUMMYFUNCTION("""COMPUTED_VALUE"""),"-")</f>
        <v>-</v>
      </c>
    </row>
    <row r="1728" spans="1:20" ht="15.75" customHeight="1" x14ac:dyDescent="0.25">
      <c r="A1728" s="30" t="str">
        <f ca="1">IFERROR(__xludf.DUMMYFUNCTION("""COMPUTED_VALUE"""),"50820842284991")</f>
        <v>50820842284991</v>
      </c>
      <c r="B1728" s="30" t="str">
        <f ca="1">IFERROR(__xludf.DUMMYFUNCTION("""COMPUTED_VALUE"""),"CENTRO DE SALUD VECINAL SAN MARTIN A")</f>
        <v>CENTRO DE SALUD VECINAL SAN MARTIN A</v>
      </c>
      <c r="C1728" s="30" t="str">
        <f ca="1">IFERROR(__xludf.DUMMYFUNCTION("""COMPUTED_VALUE"""),"Santa Fe")</f>
        <v>Santa Fe</v>
      </c>
      <c r="D1728" s="30" t="str">
        <f ca="1">IFERROR(__xludf.DUMMYFUNCTION("""COMPUTED_VALUE"""),"82")</f>
        <v>82</v>
      </c>
      <c r="E1728" s="30" t="str">
        <f ca="1">IFERROR(__xludf.DUMMYFUNCTION("""COMPUTED_VALUE"""),"")</f>
        <v/>
      </c>
      <c r="F1728" s="29"/>
      <c r="G1728" s="29"/>
      <c r="H1728" s="30" t="str">
        <f ca="1">IFERROR(__xludf.DUMMYFUNCTION("""COMPUTED_VALUE"""),"inactivo")</f>
        <v>inactivo</v>
      </c>
      <c r="I1728" s="30" t="str">
        <f ca="1">IFERROR(__xludf.DUMMYFUNCTION("""COMPUTED_VALUE"""),"se dio de baja a pedido de la provincia bajo nota del 28-7-2022")</f>
        <v>se dio de baja a pedido de la provincia bajo nota del 28-7-2022</v>
      </c>
      <c r="J1728" s="29"/>
      <c r="K1728" s="29"/>
      <c r="L1728" s="30" t="str">
        <f ca="1">IFERROR(__xludf.DUMMYFUNCTION("""COMPUTED_VALUE"""),"No")</f>
        <v>No</v>
      </c>
      <c r="M1728" s="30" t="str">
        <f ca="1">IFERROR(__xludf.DUMMYFUNCTION("""COMPUTED_VALUE"""),"82084270000")</f>
        <v>82084270000</v>
      </c>
      <c r="N1728" s="30" t="str">
        <f ca="1">IFERROR(__xludf.DUMMYFUNCTION("""COMPUTED_VALUE"""),"ROSARIO")</f>
        <v>ROSARIO</v>
      </c>
      <c r="O1728" s="30" t="str">
        <f ca="1">IFERROR(__xludf.DUMMYFUNCTION("""COMPUTED_VALUE"""),"8284")</f>
        <v>8284</v>
      </c>
      <c r="P1728" s="30" t="str">
        <f ca="1">IFERROR(__xludf.DUMMYFUNCTION("""COMPUTED_VALUE"""),"ROSARIO")</f>
        <v>ROSARIO</v>
      </c>
      <c r="Q1728" s="30" t="str">
        <f ca="1">IFERROR(__xludf.DUMMYFUNCTION("""COMPUTED_VALUE"""),"-33.0072432")</f>
        <v>-33.0072432</v>
      </c>
      <c r="R1728" s="30" t="str">
        <f ca="1">IFERROR(__xludf.DUMMYFUNCTION("""COMPUTED_VALUE"""),"-60.65412")</f>
        <v>-60.65412</v>
      </c>
      <c r="S1728" s="30" t="str">
        <f ca="1">IFERROR(__xludf.DUMMYFUNCTION("""COMPUTED_VALUE"""),"Municipal")</f>
        <v>Municipal</v>
      </c>
      <c r="T1728" s="29"/>
    </row>
    <row r="1729" spans="1:20" ht="15.75" customHeight="1" x14ac:dyDescent="0.25">
      <c r="A1729" s="30" t="str">
        <f ca="1">IFERROR(__xludf.DUMMYFUNCTION("""COMPUTED_VALUE"""),"50820842284758")</f>
        <v>50820842284758</v>
      </c>
      <c r="B1729" s="30" t="str">
        <f ca="1">IFERROR(__xludf.DUMMYFUNCTION("""COMPUTED_VALUE"""),"CENTRO DE SALUD LA FLORIDA")</f>
        <v>CENTRO DE SALUD LA FLORIDA</v>
      </c>
      <c r="C1729" s="30" t="str">
        <f ca="1">IFERROR(__xludf.DUMMYFUNCTION("""COMPUTED_VALUE"""),"Santa Fe")</f>
        <v>Santa Fe</v>
      </c>
      <c r="D1729" s="30" t="str">
        <f ca="1">IFERROR(__xludf.DUMMYFUNCTION("""COMPUTED_VALUE"""),"82")</f>
        <v>82</v>
      </c>
      <c r="E1729" s="30" t="str">
        <f ca="1">IFERROR(__xludf.DUMMYFUNCTION("""COMPUTED_VALUE"""),"")</f>
        <v/>
      </c>
      <c r="F1729" s="29"/>
      <c r="G1729" s="29"/>
      <c r="H1729" s="30" t="str">
        <f ca="1">IFERROR(__xludf.DUMMYFUNCTION("""COMPUTED_VALUE"""),"activo")</f>
        <v>activo</v>
      </c>
      <c r="I1729" s="29"/>
      <c r="J1729" s="29"/>
      <c r="K1729" s="29"/>
      <c r="L1729" s="30" t="str">
        <f ca="1">IFERROR(__xludf.DUMMYFUNCTION("""COMPUTED_VALUE"""),"No")</f>
        <v>No</v>
      </c>
      <c r="M1729" s="30" t="str">
        <f ca="1">IFERROR(__xludf.DUMMYFUNCTION("""COMPUTED_VALUE"""),"82084270000")</f>
        <v>82084270000</v>
      </c>
      <c r="N1729" s="30" t="str">
        <f ca="1">IFERROR(__xludf.DUMMYFUNCTION("""COMPUTED_VALUE"""),"ROSARIO")</f>
        <v>ROSARIO</v>
      </c>
      <c r="O1729" s="30" t="str">
        <f ca="1">IFERROR(__xludf.DUMMYFUNCTION("""COMPUTED_VALUE"""),"8284")</f>
        <v>8284</v>
      </c>
      <c r="P1729" s="30" t="str">
        <f ca="1">IFERROR(__xludf.DUMMYFUNCTION("""COMPUTED_VALUE"""),"ROSARIO")</f>
        <v>ROSARIO</v>
      </c>
      <c r="Q1729" s="30" t="str">
        <f ca="1">IFERROR(__xludf.DUMMYFUNCTION("""COMPUTED_VALUE"""),"-32.88311235")</f>
        <v>-32.88311235</v>
      </c>
      <c r="R1729" s="30" t="str">
        <f ca="1">IFERROR(__xludf.DUMMYFUNCTION("""COMPUTED_VALUE"""),"-60.70076108")</f>
        <v>-60.70076108</v>
      </c>
      <c r="S1729" s="30" t="str">
        <f ca="1">IFERROR(__xludf.DUMMYFUNCTION("""COMPUTED_VALUE"""),"Municipal")</f>
        <v>Municipal</v>
      </c>
      <c r="T1729" s="29"/>
    </row>
    <row r="1730" spans="1:20" ht="15.75" customHeight="1" x14ac:dyDescent="0.25">
      <c r="A1730" s="30" t="str">
        <f ca="1">IFERROR(__xludf.DUMMYFUNCTION("""COMPUTED_VALUE"""),"50820842284808")</f>
        <v>50820842284808</v>
      </c>
      <c r="B1730" s="30" t="str">
        <f ca="1">IFERROR(__xludf.DUMMYFUNCTION("""COMPUTED_VALUE"""),"CENTRO DE SALUD MARTIN")</f>
        <v>CENTRO DE SALUD MARTIN</v>
      </c>
      <c r="C1730" s="30" t="str">
        <f ca="1">IFERROR(__xludf.DUMMYFUNCTION("""COMPUTED_VALUE"""),"Santa Fe")</f>
        <v>Santa Fe</v>
      </c>
      <c r="D1730" s="30" t="str">
        <f ca="1">IFERROR(__xludf.DUMMYFUNCTION("""COMPUTED_VALUE"""),"82")</f>
        <v>82</v>
      </c>
      <c r="E1730" s="30" t="str">
        <f ca="1">IFERROR(__xludf.DUMMYFUNCTION("""COMPUTED_VALUE"""),"")</f>
        <v/>
      </c>
      <c r="F1730" s="29"/>
      <c r="G1730" s="29"/>
      <c r="H1730" s="30" t="str">
        <f ca="1">IFERROR(__xludf.DUMMYFUNCTION("""COMPUTED_VALUE"""),"activo")</f>
        <v>activo</v>
      </c>
      <c r="I1730" s="29"/>
      <c r="J1730" s="29"/>
      <c r="K1730" s="29"/>
      <c r="L1730" s="30" t="str">
        <f ca="1">IFERROR(__xludf.DUMMYFUNCTION("""COMPUTED_VALUE"""),"No")</f>
        <v>No</v>
      </c>
      <c r="M1730" s="30" t="str">
        <f ca="1">IFERROR(__xludf.DUMMYFUNCTION("""COMPUTED_VALUE"""),"82084270000")</f>
        <v>82084270000</v>
      </c>
      <c r="N1730" s="30" t="str">
        <f ca="1">IFERROR(__xludf.DUMMYFUNCTION("""COMPUTED_VALUE"""),"ROSARIO")</f>
        <v>ROSARIO</v>
      </c>
      <c r="O1730" s="30" t="str">
        <f ca="1">IFERROR(__xludf.DUMMYFUNCTION("""COMPUTED_VALUE"""),"8284")</f>
        <v>8284</v>
      </c>
      <c r="P1730" s="30" t="str">
        <f ca="1">IFERROR(__xludf.DUMMYFUNCTION("""COMPUTED_VALUE"""),"ROSARIO")</f>
        <v>ROSARIO</v>
      </c>
      <c r="Q1730" s="30" t="str">
        <f ca="1">IFERROR(__xludf.DUMMYFUNCTION("""COMPUTED_VALUE"""),"-32.94593047")</f>
        <v>-32.94593047</v>
      </c>
      <c r="R1730" s="30" t="str">
        <f ca="1">IFERROR(__xludf.DUMMYFUNCTION("""COMPUTED_VALUE"""),"-60.65130383")</f>
        <v>-60.65130383</v>
      </c>
      <c r="S1730" s="30" t="str">
        <f ca="1">IFERROR(__xludf.DUMMYFUNCTION("""COMPUTED_VALUE"""),"Municipal")</f>
        <v>Municipal</v>
      </c>
      <c r="T1730" s="29"/>
    </row>
    <row r="1731" spans="1:20" ht="15.75" customHeight="1" x14ac:dyDescent="0.25">
      <c r="A1731" s="30" t="str">
        <f ca="1">IFERROR(__xludf.DUMMYFUNCTION("""COMPUTED_VALUE"""),"50820842184829")</f>
        <v>50820842184829</v>
      </c>
      <c r="B1731" s="30" t="str">
        <f ca="1">IFERROR(__xludf.DUMMYFUNCTION("""COMPUTED_VALUE"""),"CENTRO DE SALUD N° 11 VILLA CORRIENTES")</f>
        <v>CENTRO DE SALUD N° 11 VILLA CORRIENTES</v>
      </c>
      <c r="C1731" s="30" t="str">
        <f ca="1">IFERROR(__xludf.DUMMYFUNCTION("""COMPUTED_VALUE"""),"Santa Fe")</f>
        <v>Santa Fe</v>
      </c>
      <c r="D1731" s="30" t="str">
        <f ca="1">IFERROR(__xludf.DUMMYFUNCTION("""COMPUTED_VALUE"""),"82")</f>
        <v>82</v>
      </c>
      <c r="E1731" s="30" t="str">
        <f ca="1">IFERROR(__xludf.DUMMYFUNCTION("""COMPUTED_VALUE"""),"")</f>
        <v/>
      </c>
      <c r="F1731" s="29"/>
      <c r="G1731" s="29"/>
      <c r="H1731" s="30" t="str">
        <f ca="1">IFERROR(__xludf.DUMMYFUNCTION("""COMPUTED_VALUE"""),"activo")</f>
        <v>activo</v>
      </c>
      <c r="I1731" s="29"/>
      <c r="J1731" s="29"/>
      <c r="K1731" s="29"/>
      <c r="L1731" s="30" t="str">
        <f ca="1">IFERROR(__xludf.DUMMYFUNCTION("""COMPUTED_VALUE"""),"No")</f>
        <v>No</v>
      </c>
      <c r="M1731" s="30" t="str">
        <f ca="1">IFERROR(__xludf.DUMMYFUNCTION("""COMPUTED_VALUE"""),"82084270000")</f>
        <v>82084270000</v>
      </c>
      <c r="N1731" s="30" t="str">
        <f ca="1">IFERROR(__xludf.DUMMYFUNCTION("""COMPUTED_VALUE"""),"ROSARIO")</f>
        <v>ROSARIO</v>
      </c>
      <c r="O1731" s="30" t="str">
        <f ca="1">IFERROR(__xludf.DUMMYFUNCTION("""COMPUTED_VALUE"""),"8284")</f>
        <v>8284</v>
      </c>
      <c r="P1731" s="30" t="str">
        <f ca="1">IFERROR(__xludf.DUMMYFUNCTION("""COMPUTED_VALUE"""),"ROSARIO")</f>
        <v>ROSARIO</v>
      </c>
      <c r="Q1731" s="30" t="str">
        <f ca="1">IFERROR(__xludf.DUMMYFUNCTION("""COMPUTED_VALUE"""),"-32.9716153")</f>
        <v>-32.9716153</v>
      </c>
      <c r="R1731" s="30" t="str">
        <f ca="1">IFERROR(__xludf.DUMMYFUNCTION("""COMPUTED_VALUE"""),"-60.6479267")</f>
        <v>-60.6479267</v>
      </c>
      <c r="S1731" s="30" t="str">
        <f ca="1">IFERROR(__xludf.DUMMYFUNCTION("""COMPUTED_VALUE"""),"Provincial")</f>
        <v>Provincial</v>
      </c>
      <c r="T1731" s="30" t="str">
        <f ca="1">IFERROR(__xludf.DUMMYFUNCTION("""COMPUTED_VALUE"""),"-")</f>
        <v>-</v>
      </c>
    </row>
    <row r="1732" spans="1:20" ht="15.75" customHeight="1" x14ac:dyDescent="0.25">
      <c r="A1732" s="30" t="str">
        <f ca="1">IFERROR(__xludf.DUMMYFUNCTION("""COMPUTED_VALUE"""),"50820842184835")</f>
        <v>50820842184835</v>
      </c>
      <c r="B1732" s="30" t="str">
        <f ca="1">IFERROR(__xludf.DUMMYFUNCTION("""COMPUTED_VALUE"""),"CENTRO DE SALUD N° 16 PABLO VI")</f>
        <v>CENTRO DE SALUD N° 16 PABLO VI</v>
      </c>
      <c r="C1732" s="30" t="str">
        <f ca="1">IFERROR(__xludf.DUMMYFUNCTION("""COMPUTED_VALUE"""),"Santa Fe")</f>
        <v>Santa Fe</v>
      </c>
      <c r="D1732" s="30" t="str">
        <f ca="1">IFERROR(__xludf.DUMMYFUNCTION("""COMPUTED_VALUE"""),"82")</f>
        <v>82</v>
      </c>
      <c r="E1732" s="30" t="str">
        <f ca="1">IFERROR(__xludf.DUMMYFUNCTION("""COMPUTED_VALUE"""),"")</f>
        <v/>
      </c>
      <c r="F1732" s="29"/>
      <c r="G1732" s="29"/>
      <c r="H1732" s="30" t="str">
        <f ca="1">IFERROR(__xludf.DUMMYFUNCTION("""COMPUTED_VALUE"""),"activo")</f>
        <v>activo</v>
      </c>
      <c r="I1732" s="29"/>
      <c r="J1732" s="29"/>
      <c r="K1732" s="29"/>
      <c r="L1732" s="30" t="str">
        <f ca="1">IFERROR(__xludf.DUMMYFUNCTION("""COMPUTED_VALUE"""),"No")</f>
        <v>No</v>
      </c>
      <c r="M1732" s="30" t="str">
        <f ca="1">IFERROR(__xludf.DUMMYFUNCTION("""COMPUTED_VALUE"""),"82084270000")</f>
        <v>82084270000</v>
      </c>
      <c r="N1732" s="30" t="str">
        <f ca="1">IFERROR(__xludf.DUMMYFUNCTION("""COMPUTED_VALUE"""),"ROSARIO")</f>
        <v>ROSARIO</v>
      </c>
      <c r="O1732" s="30" t="str">
        <f ca="1">IFERROR(__xludf.DUMMYFUNCTION("""COMPUTED_VALUE"""),"8284")</f>
        <v>8284</v>
      </c>
      <c r="P1732" s="30" t="str">
        <f ca="1">IFERROR(__xludf.DUMMYFUNCTION("""COMPUTED_VALUE"""),"ROSARIO")</f>
        <v>ROSARIO</v>
      </c>
      <c r="Q1732" s="30" t="str">
        <f ca="1">IFERROR(__xludf.DUMMYFUNCTION("""COMPUTED_VALUE"""),"-32.9162248")</f>
        <v>-32.9162248</v>
      </c>
      <c r="R1732" s="30" t="str">
        <f ca="1">IFERROR(__xludf.DUMMYFUNCTION("""COMPUTED_VALUE"""),"-60.7198586")</f>
        <v>-60.7198586</v>
      </c>
      <c r="S1732" s="30" t="str">
        <f ca="1">IFERROR(__xludf.DUMMYFUNCTION("""COMPUTED_VALUE"""),"Provincial")</f>
        <v>Provincial</v>
      </c>
      <c r="T1732" s="30" t="str">
        <f ca="1">IFERROR(__xludf.DUMMYFUNCTION("""COMPUTED_VALUE"""),"-")</f>
        <v>-</v>
      </c>
    </row>
    <row r="1733" spans="1:20" ht="15.75" customHeight="1" x14ac:dyDescent="0.25">
      <c r="A1733" s="30" t="str">
        <f ca="1">IFERROR(__xludf.DUMMYFUNCTION("""COMPUTED_VALUE"""),"50820842184830")</f>
        <v>50820842184830</v>
      </c>
      <c r="B1733" s="30" t="str">
        <f ca="1">IFERROR(__xludf.DUMMYFUNCTION("""COMPUTED_VALUE"""),"CENTRO DE SALUD N° 12 DR. GARCIA PIATTI")</f>
        <v>CENTRO DE SALUD N° 12 DR. GARCIA PIATTI</v>
      </c>
      <c r="C1733" s="30" t="str">
        <f ca="1">IFERROR(__xludf.DUMMYFUNCTION("""COMPUTED_VALUE"""),"Santa Fe")</f>
        <v>Santa Fe</v>
      </c>
      <c r="D1733" s="30" t="str">
        <f ca="1">IFERROR(__xludf.DUMMYFUNCTION("""COMPUTED_VALUE"""),"82")</f>
        <v>82</v>
      </c>
      <c r="E1733" s="30" t="str">
        <f ca="1">IFERROR(__xludf.DUMMYFUNCTION("""COMPUTED_VALUE"""),"")</f>
        <v/>
      </c>
      <c r="F1733" s="29"/>
      <c r="G1733" s="29"/>
      <c r="H1733" s="30" t="str">
        <f ca="1">IFERROR(__xludf.DUMMYFUNCTION("""COMPUTED_VALUE"""),"activo")</f>
        <v>activo</v>
      </c>
      <c r="I1733" s="29"/>
      <c r="J1733" s="29"/>
      <c r="K1733" s="29"/>
      <c r="L1733" s="30" t="str">
        <f ca="1">IFERROR(__xludf.DUMMYFUNCTION("""COMPUTED_VALUE"""),"No")</f>
        <v>No</v>
      </c>
      <c r="M1733" s="30" t="str">
        <f ca="1">IFERROR(__xludf.DUMMYFUNCTION("""COMPUTED_VALUE"""),"82084270000")</f>
        <v>82084270000</v>
      </c>
      <c r="N1733" s="30" t="str">
        <f ca="1">IFERROR(__xludf.DUMMYFUNCTION("""COMPUTED_VALUE"""),"ROSARIO")</f>
        <v>ROSARIO</v>
      </c>
      <c r="O1733" s="30" t="str">
        <f ca="1">IFERROR(__xludf.DUMMYFUNCTION("""COMPUTED_VALUE"""),"8284")</f>
        <v>8284</v>
      </c>
      <c r="P1733" s="30" t="str">
        <f ca="1">IFERROR(__xludf.DUMMYFUNCTION("""COMPUTED_VALUE"""),"ROSARIO")</f>
        <v>ROSARIO</v>
      </c>
      <c r="Q1733" s="30" t="str">
        <f ca="1">IFERROR(__xludf.DUMMYFUNCTION("""COMPUTED_VALUE"""),"-32.9798019")</f>
        <v>-32.9798019</v>
      </c>
      <c r="R1733" s="30" t="str">
        <f ca="1">IFERROR(__xludf.DUMMYFUNCTION("""COMPUTED_VALUE"""),"-60.6610704")</f>
        <v>-60.6610704</v>
      </c>
      <c r="S1733" s="30" t="str">
        <f ca="1">IFERROR(__xludf.DUMMYFUNCTION("""COMPUTED_VALUE"""),"Provincial")</f>
        <v>Provincial</v>
      </c>
      <c r="T1733" s="30" t="str">
        <f ca="1">IFERROR(__xludf.DUMMYFUNCTION("""COMPUTED_VALUE"""),"-")</f>
        <v>-</v>
      </c>
    </row>
    <row r="1734" spans="1:20" ht="15.75" customHeight="1" x14ac:dyDescent="0.25">
      <c r="A1734" s="30" t="str">
        <f ca="1">IFERROR(__xludf.DUMMYFUNCTION("""COMPUTED_VALUE"""),"50820842184864")</f>
        <v>50820842184864</v>
      </c>
      <c r="B1734" s="30" t="str">
        <f ca="1">IFERROR(__xludf.DUMMYFUNCTION("""COMPUTED_VALUE"""),"CENTRO DE SALUD N° 6 EVA PERON - ROSARIO")</f>
        <v>CENTRO DE SALUD N° 6 EVA PERON - ROSARIO</v>
      </c>
      <c r="C1734" s="30" t="str">
        <f ca="1">IFERROR(__xludf.DUMMYFUNCTION("""COMPUTED_VALUE"""),"Santa Fe")</f>
        <v>Santa Fe</v>
      </c>
      <c r="D1734" s="30" t="str">
        <f ca="1">IFERROR(__xludf.DUMMYFUNCTION("""COMPUTED_VALUE"""),"82")</f>
        <v>82</v>
      </c>
      <c r="E1734" s="30" t="str">
        <f ca="1">IFERROR(__xludf.DUMMYFUNCTION("""COMPUTED_VALUE"""),"")</f>
        <v/>
      </c>
      <c r="F1734" s="29"/>
      <c r="G1734" s="29"/>
      <c r="H1734" s="30" t="str">
        <f ca="1">IFERROR(__xludf.DUMMYFUNCTION("""COMPUTED_VALUE"""),"activo")</f>
        <v>activo</v>
      </c>
      <c r="I1734" s="29"/>
      <c r="J1734" s="29"/>
      <c r="K1734" s="29"/>
      <c r="L1734" s="30" t="str">
        <f ca="1">IFERROR(__xludf.DUMMYFUNCTION("""COMPUTED_VALUE"""),"No")</f>
        <v>No</v>
      </c>
      <c r="M1734" s="30" t="str">
        <f ca="1">IFERROR(__xludf.DUMMYFUNCTION("""COMPUTED_VALUE"""),"82084270000")</f>
        <v>82084270000</v>
      </c>
      <c r="N1734" s="30" t="str">
        <f ca="1">IFERROR(__xludf.DUMMYFUNCTION("""COMPUTED_VALUE"""),"ROSARIO")</f>
        <v>ROSARIO</v>
      </c>
      <c r="O1734" s="30" t="str">
        <f ca="1">IFERROR(__xludf.DUMMYFUNCTION("""COMPUTED_VALUE"""),"8284")</f>
        <v>8284</v>
      </c>
      <c r="P1734" s="30" t="str">
        <f ca="1">IFERROR(__xludf.DUMMYFUNCTION("""COMPUTED_VALUE"""),"ROSARIO")</f>
        <v>ROSARIO</v>
      </c>
      <c r="Q1734" s="30" t="str">
        <f ca="1">IFERROR(__xludf.DUMMYFUNCTION("""COMPUTED_VALUE"""),"-32.97216145")</f>
        <v>-32.97216145</v>
      </c>
      <c r="R1734" s="30" t="str">
        <f ca="1">IFERROR(__xludf.DUMMYFUNCTION("""COMPUTED_VALUE"""),"-60.62567545")</f>
        <v>-60.62567545</v>
      </c>
      <c r="S1734" s="30" t="str">
        <f ca="1">IFERROR(__xludf.DUMMYFUNCTION("""COMPUTED_VALUE"""),"Provincial")</f>
        <v>Provincial</v>
      </c>
      <c r="T1734" s="30" t="str">
        <f ca="1">IFERROR(__xludf.DUMMYFUNCTION("""COMPUTED_VALUE"""),"-")</f>
        <v>-</v>
      </c>
    </row>
    <row r="1735" spans="1:20" ht="15.75" customHeight="1" x14ac:dyDescent="0.25">
      <c r="A1735" s="30" t="str">
        <f ca="1">IFERROR(__xludf.DUMMYFUNCTION("""COMPUTED_VALUE"""),"50820842184500")</f>
        <v>50820842184500</v>
      </c>
      <c r="B1735" s="30" t="str">
        <f ca="1">IFERROR(__xludf.DUMMYFUNCTION("""COMPUTED_VALUE"""),"CENTRO DE SALUD ASISTENCIAL A LA COMUNIDAD-CEAC")</f>
        <v>CENTRO DE SALUD ASISTENCIAL A LA COMUNIDAD-CEAC</v>
      </c>
      <c r="C1735" s="30" t="str">
        <f ca="1">IFERROR(__xludf.DUMMYFUNCTION("""COMPUTED_VALUE"""),"Santa Fe")</f>
        <v>Santa Fe</v>
      </c>
      <c r="D1735" s="30" t="str">
        <f ca="1">IFERROR(__xludf.DUMMYFUNCTION("""COMPUTED_VALUE"""),"82")</f>
        <v>82</v>
      </c>
      <c r="E1735" s="30" t="str">
        <f ca="1">IFERROR(__xludf.DUMMYFUNCTION("""COMPUTED_VALUE"""),"")</f>
        <v/>
      </c>
      <c r="F1735" s="29"/>
      <c r="G1735" s="29"/>
      <c r="H1735" s="30" t="str">
        <f ca="1">IFERROR(__xludf.DUMMYFUNCTION("""COMPUTED_VALUE"""),"activo")</f>
        <v>activo</v>
      </c>
      <c r="I1735" s="29"/>
      <c r="J1735" s="29"/>
      <c r="K1735" s="29"/>
      <c r="L1735" s="30" t="str">
        <f ca="1">IFERROR(__xludf.DUMMYFUNCTION("""COMPUTED_VALUE"""),"No")</f>
        <v>No</v>
      </c>
      <c r="M1735" s="30" t="str">
        <f ca="1">IFERROR(__xludf.DUMMYFUNCTION("""COMPUTED_VALUE"""),"82084270000")</f>
        <v>82084270000</v>
      </c>
      <c r="N1735" s="30" t="str">
        <f ca="1">IFERROR(__xludf.DUMMYFUNCTION("""COMPUTED_VALUE"""),"ROSARIO")</f>
        <v>ROSARIO</v>
      </c>
      <c r="O1735" s="30" t="str">
        <f ca="1">IFERROR(__xludf.DUMMYFUNCTION("""COMPUTED_VALUE"""),"8284")</f>
        <v>8284</v>
      </c>
      <c r="P1735" s="30" t="str">
        <f ca="1">IFERROR(__xludf.DUMMYFUNCTION("""COMPUTED_VALUE"""),"ROSARIO")</f>
        <v>ROSARIO</v>
      </c>
      <c r="Q1735" s="30" t="str">
        <f ca="1">IFERROR(__xludf.DUMMYFUNCTION("""COMPUTED_VALUE"""),"-32.9678834")</f>
        <v>-32.9678834</v>
      </c>
      <c r="R1735" s="30" t="str">
        <f ca="1">IFERROR(__xludf.DUMMYFUNCTION("""COMPUTED_VALUE"""),"-60.6260632")</f>
        <v>-60.6260632</v>
      </c>
      <c r="S1735" s="30" t="str">
        <f ca="1">IFERROR(__xludf.DUMMYFUNCTION("""COMPUTED_VALUE"""),"Provincial")</f>
        <v>Provincial</v>
      </c>
      <c r="T1735" s="30" t="str">
        <f ca="1">IFERROR(__xludf.DUMMYFUNCTION("""COMPUTED_VALUE"""),"-")</f>
        <v>-</v>
      </c>
    </row>
    <row r="1736" spans="1:20" ht="15.75" customHeight="1" x14ac:dyDescent="0.25">
      <c r="A1736" s="30" t="str">
        <f ca="1">IFERROR(__xludf.DUMMYFUNCTION("""COMPUTED_VALUE"""),"50820842284476")</f>
        <v>50820842284476</v>
      </c>
      <c r="B1736" s="30" t="str">
        <f ca="1">IFERROR(__xludf.DUMMYFUNCTION("""COMPUTED_VALUE"""),"CENTRO DE SALUD VECINAL BARRIO PLATA")</f>
        <v>CENTRO DE SALUD VECINAL BARRIO PLATA</v>
      </c>
      <c r="C1736" s="30" t="str">
        <f ca="1">IFERROR(__xludf.DUMMYFUNCTION("""COMPUTED_VALUE"""),"Santa Fe")</f>
        <v>Santa Fe</v>
      </c>
      <c r="D1736" s="30" t="str">
        <f ca="1">IFERROR(__xludf.DUMMYFUNCTION("""COMPUTED_VALUE"""),"82")</f>
        <v>82</v>
      </c>
      <c r="E1736" s="30" t="str">
        <f ca="1">IFERROR(__xludf.DUMMYFUNCTION("""COMPUTED_VALUE"""),"")</f>
        <v/>
      </c>
      <c r="F1736" s="29"/>
      <c r="G1736" s="29"/>
      <c r="H1736" s="30" t="str">
        <f ca="1">IFERROR(__xludf.DUMMYFUNCTION("""COMPUTED_VALUE"""),"inactivo")</f>
        <v>inactivo</v>
      </c>
      <c r="I1736" s="30" t="str">
        <f ca="1">IFERROR(__xludf.DUMMYFUNCTION("""COMPUTED_VALUE"""),"Este efector se dio de baja durante el CAI 2022")</f>
        <v>Este efector se dio de baja durante el CAI 2022</v>
      </c>
      <c r="J1736" s="29"/>
      <c r="K1736" s="29"/>
      <c r="L1736" s="30" t="str">
        <f ca="1">IFERROR(__xludf.DUMMYFUNCTION("""COMPUTED_VALUE"""),"No")</f>
        <v>No</v>
      </c>
      <c r="M1736" s="30" t="str">
        <f ca="1">IFERROR(__xludf.DUMMYFUNCTION("""COMPUTED_VALUE"""),"82084270000")</f>
        <v>82084270000</v>
      </c>
      <c r="N1736" s="30" t="str">
        <f ca="1">IFERROR(__xludf.DUMMYFUNCTION("""COMPUTED_VALUE"""),"ROSARIO")</f>
        <v>ROSARIO</v>
      </c>
      <c r="O1736" s="30" t="str">
        <f ca="1">IFERROR(__xludf.DUMMYFUNCTION("""COMPUTED_VALUE"""),"8284")</f>
        <v>8284</v>
      </c>
      <c r="P1736" s="30" t="str">
        <f ca="1">IFERROR(__xludf.DUMMYFUNCTION("""COMPUTED_VALUE"""),"ROSARIO")</f>
        <v>ROSARIO</v>
      </c>
      <c r="Q1736" s="30" t="str">
        <f ca="1">IFERROR(__xludf.DUMMYFUNCTION("""COMPUTED_VALUE"""),"-32.99794643")</f>
        <v>-32.99794643</v>
      </c>
      <c r="R1736" s="30" t="str">
        <f ca="1">IFERROR(__xludf.DUMMYFUNCTION("""COMPUTED_VALUE"""),"-60.68079257")</f>
        <v>-60.68079257</v>
      </c>
      <c r="S1736" s="30" t="str">
        <f ca="1">IFERROR(__xludf.DUMMYFUNCTION("""COMPUTED_VALUE"""),"Municipal")</f>
        <v>Municipal</v>
      </c>
      <c r="T1736" s="29"/>
    </row>
    <row r="1737" spans="1:20" ht="15.75" customHeight="1" x14ac:dyDescent="0.25">
      <c r="A1737" s="30" t="str">
        <f ca="1">IFERROR(__xludf.DUMMYFUNCTION("""COMPUTED_VALUE"""),"50820842284890")</f>
        <v>50820842284890</v>
      </c>
      <c r="B1737" s="30" t="str">
        <f ca="1">IFERROR(__xludf.DUMMYFUNCTION("""COMPUTED_VALUE"""),"CENTRO DE SALUD PARQUE SUR")</f>
        <v>CENTRO DE SALUD PARQUE SUR</v>
      </c>
      <c r="C1737" s="30" t="str">
        <f ca="1">IFERROR(__xludf.DUMMYFUNCTION("""COMPUTED_VALUE"""),"Santa Fe")</f>
        <v>Santa Fe</v>
      </c>
      <c r="D1737" s="30" t="str">
        <f ca="1">IFERROR(__xludf.DUMMYFUNCTION("""COMPUTED_VALUE"""),"82")</f>
        <v>82</v>
      </c>
      <c r="E1737" s="30" t="str">
        <f ca="1">IFERROR(__xludf.DUMMYFUNCTION("""COMPUTED_VALUE"""),"")</f>
        <v/>
      </c>
      <c r="F1737" s="29"/>
      <c r="G1737" s="29"/>
      <c r="H1737" s="30" t="str">
        <f ca="1">IFERROR(__xludf.DUMMYFUNCTION("""COMPUTED_VALUE"""),"activo")</f>
        <v>activo</v>
      </c>
      <c r="I1737" s="29"/>
      <c r="J1737" s="29"/>
      <c r="K1737" s="29"/>
      <c r="L1737" s="30" t="str">
        <f ca="1">IFERROR(__xludf.DUMMYFUNCTION("""COMPUTED_VALUE"""),"No")</f>
        <v>No</v>
      </c>
      <c r="M1737" s="30" t="str">
        <f ca="1">IFERROR(__xludf.DUMMYFUNCTION("""COMPUTED_VALUE"""),"82084270000")</f>
        <v>82084270000</v>
      </c>
      <c r="N1737" s="30" t="str">
        <f ca="1">IFERROR(__xludf.DUMMYFUNCTION("""COMPUTED_VALUE"""),"ROSARIO")</f>
        <v>ROSARIO</v>
      </c>
      <c r="O1737" s="30" t="str">
        <f ca="1">IFERROR(__xludf.DUMMYFUNCTION("""COMPUTED_VALUE"""),"8284")</f>
        <v>8284</v>
      </c>
      <c r="P1737" s="30" t="str">
        <f ca="1">IFERROR(__xludf.DUMMYFUNCTION("""COMPUTED_VALUE"""),"ROSARIO")</f>
        <v>ROSARIO</v>
      </c>
      <c r="Q1737" s="30" t="str">
        <f ca="1">IFERROR(__xludf.DUMMYFUNCTION("""COMPUTED_VALUE"""),"-33.00002644")</f>
        <v>-33.00002644</v>
      </c>
      <c r="R1737" s="30" t="str">
        <f ca="1">IFERROR(__xludf.DUMMYFUNCTION("""COMPUTED_VALUE"""),"-60.66858798")</f>
        <v>-60.66858798</v>
      </c>
      <c r="S1737" s="30" t="str">
        <f ca="1">IFERROR(__xludf.DUMMYFUNCTION("""COMPUTED_VALUE"""),"Municipal")</f>
        <v>Municipal</v>
      </c>
      <c r="T1737" s="29"/>
    </row>
    <row r="1738" spans="1:20" ht="15.75" customHeight="1" x14ac:dyDescent="0.25">
      <c r="A1738" s="30" t="str">
        <f ca="1">IFERROR(__xludf.DUMMYFUNCTION("""COMPUTED_VALUE"""),"50820842284672")</f>
        <v>50820842284672</v>
      </c>
      <c r="B1738" s="30" t="str">
        <f ca="1">IFERROR(__xludf.DUMMYFUNCTION("""COMPUTED_VALUE"""),"CENTRO DE SALUD ELENA BAZET (EX SAN FRANCISCO SOLANO)")</f>
        <v>CENTRO DE SALUD ELENA BAZET (EX SAN FRANCISCO SOLANO)</v>
      </c>
      <c r="C1738" s="30" t="str">
        <f ca="1">IFERROR(__xludf.DUMMYFUNCTION("""COMPUTED_VALUE"""),"Santa Fe")</f>
        <v>Santa Fe</v>
      </c>
      <c r="D1738" s="30" t="str">
        <f ca="1">IFERROR(__xludf.DUMMYFUNCTION("""COMPUTED_VALUE"""),"82")</f>
        <v>82</v>
      </c>
      <c r="E1738" s="30" t="str">
        <f ca="1">IFERROR(__xludf.DUMMYFUNCTION("""COMPUTED_VALUE"""),"")</f>
        <v/>
      </c>
      <c r="F1738" s="29"/>
      <c r="G1738" s="29"/>
      <c r="H1738" s="30" t="str">
        <f ca="1">IFERROR(__xludf.DUMMYFUNCTION("""COMPUTED_VALUE"""),"inactivo")</f>
        <v>inactivo</v>
      </c>
      <c r="I1738" s="30" t="str">
        <f ca="1">IFERROR(__xludf.DUMMYFUNCTION("""COMPUTED_VALUE"""),"Este efector se dio de baja durante el CAI 2022")</f>
        <v>Este efector se dio de baja durante el CAI 2022</v>
      </c>
      <c r="J1738" s="29"/>
      <c r="K1738" s="29"/>
      <c r="L1738" s="30" t="str">
        <f ca="1">IFERROR(__xludf.DUMMYFUNCTION("""COMPUTED_VALUE"""),"No")</f>
        <v>No</v>
      </c>
      <c r="M1738" s="30" t="str">
        <f ca="1">IFERROR(__xludf.DUMMYFUNCTION("""COMPUTED_VALUE"""),"82084270000")</f>
        <v>82084270000</v>
      </c>
      <c r="N1738" s="30" t="str">
        <f ca="1">IFERROR(__xludf.DUMMYFUNCTION("""COMPUTED_VALUE"""),"ROSARIO")</f>
        <v>ROSARIO</v>
      </c>
      <c r="O1738" s="30" t="str">
        <f ca="1">IFERROR(__xludf.DUMMYFUNCTION("""COMPUTED_VALUE"""),"8284")</f>
        <v>8284</v>
      </c>
      <c r="P1738" s="30" t="str">
        <f ca="1">IFERROR(__xludf.DUMMYFUNCTION("""COMPUTED_VALUE"""),"ROSARIO")</f>
        <v>ROSARIO</v>
      </c>
      <c r="Q1738" s="30" t="str">
        <f ca="1">IFERROR(__xludf.DUMMYFUNCTION("""COMPUTED_VALUE"""),"-33.0057269")</f>
        <v>-33.0057269</v>
      </c>
      <c r="R1738" s="30" t="str">
        <f ca="1">IFERROR(__xludf.DUMMYFUNCTION("""COMPUTED_VALUE"""),"-60.6718664")</f>
        <v>-60.6718664</v>
      </c>
      <c r="S1738" s="30" t="str">
        <f ca="1">IFERROR(__xludf.DUMMYFUNCTION("""COMPUTED_VALUE"""),"Municipal")</f>
        <v>Municipal</v>
      </c>
      <c r="T1738" s="29"/>
    </row>
    <row r="1739" spans="1:20" ht="15.75" customHeight="1" x14ac:dyDescent="0.25">
      <c r="A1739" s="30" t="str">
        <f ca="1">IFERROR(__xludf.DUMMYFUNCTION("""COMPUTED_VALUE"""),"50820842184838")</f>
        <v>50820842184838</v>
      </c>
      <c r="B1739" s="30" t="str">
        <f ca="1">IFERROR(__xludf.DUMMYFUNCTION("""COMPUTED_VALUE"""),"CENTRO DE SALUD N° 19 LA CERAMICA")</f>
        <v>CENTRO DE SALUD N° 19 LA CERAMICA</v>
      </c>
      <c r="C1739" s="30" t="str">
        <f ca="1">IFERROR(__xludf.DUMMYFUNCTION("""COMPUTED_VALUE"""),"Santa Fe")</f>
        <v>Santa Fe</v>
      </c>
      <c r="D1739" s="30" t="str">
        <f ca="1">IFERROR(__xludf.DUMMYFUNCTION("""COMPUTED_VALUE"""),"82")</f>
        <v>82</v>
      </c>
      <c r="E1739" s="30" t="str">
        <f ca="1">IFERROR(__xludf.DUMMYFUNCTION("""COMPUTED_VALUE"""),"")</f>
        <v/>
      </c>
      <c r="F1739" s="29"/>
      <c r="G1739" s="29"/>
      <c r="H1739" s="30" t="str">
        <f ca="1">IFERROR(__xludf.DUMMYFUNCTION("""COMPUTED_VALUE"""),"activo")</f>
        <v>activo</v>
      </c>
      <c r="I1739" s="29"/>
      <c r="J1739" s="29"/>
      <c r="K1739" s="29"/>
      <c r="L1739" s="30" t="str">
        <f ca="1">IFERROR(__xludf.DUMMYFUNCTION("""COMPUTED_VALUE"""),"No")</f>
        <v>No</v>
      </c>
      <c r="M1739" s="30" t="str">
        <f ca="1">IFERROR(__xludf.DUMMYFUNCTION("""COMPUTED_VALUE"""),"82084270000")</f>
        <v>82084270000</v>
      </c>
      <c r="N1739" s="30" t="str">
        <f ca="1">IFERROR(__xludf.DUMMYFUNCTION("""COMPUTED_VALUE"""),"ROSARIO")</f>
        <v>ROSARIO</v>
      </c>
      <c r="O1739" s="30" t="str">
        <f ca="1">IFERROR(__xludf.DUMMYFUNCTION("""COMPUTED_VALUE"""),"8284")</f>
        <v>8284</v>
      </c>
      <c r="P1739" s="30" t="str">
        <f ca="1">IFERROR(__xludf.DUMMYFUNCTION("""COMPUTED_VALUE"""),"ROSARIO")</f>
        <v>ROSARIO</v>
      </c>
      <c r="Q1739" s="30" t="str">
        <f ca="1">IFERROR(__xludf.DUMMYFUNCTION("""COMPUTED_VALUE"""),"-32.8869003")</f>
        <v>-32.8869003</v>
      </c>
      <c r="R1739" s="30" t="str">
        <f ca="1">IFERROR(__xludf.DUMMYFUNCTION("""COMPUTED_VALUE"""),"-60.7068981")</f>
        <v>-60.7068981</v>
      </c>
      <c r="S1739" s="30" t="str">
        <f ca="1">IFERROR(__xludf.DUMMYFUNCTION("""COMPUTED_VALUE"""),"Provincial")</f>
        <v>Provincial</v>
      </c>
      <c r="T1739" s="30" t="str">
        <f ca="1">IFERROR(__xludf.DUMMYFUNCTION("""COMPUTED_VALUE"""),"-")</f>
        <v>-</v>
      </c>
    </row>
    <row r="1740" spans="1:20" ht="15.75" customHeight="1" x14ac:dyDescent="0.25">
      <c r="A1740" s="30" t="str">
        <f ca="1">IFERROR(__xludf.DUMMYFUNCTION("""COMPUTED_VALUE"""),"50820842184869")</f>
        <v>50820842184869</v>
      </c>
      <c r="B1740" s="30" t="str">
        <f ca="1">IFERROR(__xludf.DUMMYFUNCTION("""COMPUTED_VALUE"""),"CENTRO DE SALUD N° 8 INDEPENDENCIA")</f>
        <v>CENTRO DE SALUD N° 8 INDEPENDENCIA</v>
      </c>
      <c r="C1740" s="30" t="str">
        <f ca="1">IFERROR(__xludf.DUMMYFUNCTION("""COMPUTED_VALUE"""),"Santa Fe")</f>
        <v>Santa Fe</v>
      </c>
      <c r="D1740" s="30" t="str">
        <f ca="1">IFERROR(__xludf.DUMMYFUNCTION("""COMPUTED_VALUE"""),"82")</f>
        <v>82</v>
      </c>
      <c r="E1740" s="30" t="str">
        <f ca="1">IFERROR(__xludf.DUMMYFUNCTION("""COMPUTED_VALUE"""),"")</f>
        <v/>
      </c>
      <c r="F1740" s="29"/>
      <c r="G1740" s="29"/>
      <c r="H1740" s="30" t="str">
        <f ca="1">IFERROR(__xludf.DUMMYFUNCTION("""COMPUTED_VALUE"""),"activo")</f>
        <v>activo</v>
      </c>
      <c r="I1740" s="29"/>
      <c r="J1740" s="29"/>
      <c r="K1740" s="29"/>
      <c r="L1740" s="30" t="str">
        <f ca="1">IFERROR(__xludf.DUMMYFUNCTION("""COMPUTED_VALUE"""),"No")</f>
        <v>No</v>
      </c>
      <c r="M1740" s="30" t="str">
        <f ca="1">IFERROR(__xludf.DUMMYFUNCTION("""COMPUTED_VALUE"""),"82084270000")</f>
        <v>82084270000</v>
      </c>
      <c r="N1740" s="30" t="str">
        <f ca="1">IFERROR(__xludf.DUMMYFUNCTION("""COMPUTED_VALUE"""),"ROSARIO")</f>
        <v>ROSARIO</v>
      </c>
      <c r="O1740" s="30" t="str">
        <f ca="1">IFERROR(__xludf.DUMMYFUNCTION("""COMPUTED_VALUE"""),"8284")</f>
        <v>8284</v>
      </c>
      <c r="P1740" s="30" t="str">
        <f ca="1">IFERROR(__xludf.DUMMYFUNCTION("""COMPUTED_VALUE"""),"ROSARIO")</f>
        <v>ROSARIO</v>
      </c>
      <c r="Q1740" s="30" t="str">
        <f ca="1">IFERROR(__xludf.DUMMYFUNCTION("""COMPUTED_VALUE"""),"-32.901993")</f>
        <v>-32.901993</v>
      </c>
      <c r="R1740" s="30" t="str">
        <f ca="1">IFERROR(__xludf.DUMMYFUNCTION("""COMPUTED_VALUE"""),"-60.70885")</f>
        <v>-60.70885</v>
      </c>
      <c r="S1740" s="30" t="str">
        <f ca="1">IFERROR(__xludf.DUMMYFUNCTION("""COMPUTED_VALUE"""),"Provincial")</f>
        <v>Provincial</v>
      </c>
      <c r="T1740" s="30" t="str">
        <f ca="1">IFERROR(__xludf.DUMMYFUNCTION("""COMPUTED_VALUE"""),"-")</f>
        <v>-</v>
      </c>
    </row>
    <row r="1741" spans="1:20" ht="15.75" customHeight="1" x14ac:dyDescent="0.25">
      <c r="A1741" s="30" t="str">
        <f ca="1">IFERROR(__xludf.DUMMYFUNCTION("""COMPUTED_VALUE"""),"50820562185372")</f>
        <v>50820562185372</v>
      </c>
      <c r="B1741" s="30" t="str">
        <f ca="1">IFERROR(__xludf.DUMMYFUNCTION("""COMPUTED_VALUE"""),"SAMCO SALTO GRANDE")</f>
        <v>SAMCO SALTO GRANDE</v>
      </c>
      <c r="C1741" s="30" t="str">
        <f ca="1">IFERROR(__xludf.DUMMYFUNCTION("""COMPUTED_VALUE"""),"Santa Fe")</f>
        <v>Santa Fe</v>
      </c>
      <c r="D1741" s="30" t="str">
        <f ca="1">IFERROR(__xludf.DUMMYFUNCTION("""COMPUTED_VALUE"""),"82")</f>
        <v>82</v>
      </c>
      <c r="E1741" s="30" t="str">
        <f ca="1">IFERROR(__xludf.DUMMYFUNCTION("""COMPUTED_VALUE"""),"")</f>
        <v/>
      </c>
      <c r="F1741" s="29"/>
      <c r="G1741" s="29"/>
      <c r="H1741" s="30" t="str">
        <f ca="1">IFERROR(__xludf.DUMMYFUNCTION("""COMPUTED_VALUE"""),"activo")</f>
        <v>activo</v>
      </c>
      <c r="I1741" s="29"/>
      <c r="J1741" s="29"/>
      <c r="K1741" s="29"/>
      <c r="L1741" s="30" t="str">
        <f ca="1">IFERROR(__xludf.DUMMYFUNCTION("""COMPUTED_VALUE"""),"No")</f>
        <v>No</v>
      </c>
      <c r="M1741" s="30" t="str">
        <f ca="1">IFERROR(__xludf.DUMMYFUNCTION("""COMPUTED_VALUE"""),"82056120000")</f>
        <v>82056120000</v>
      </c>
      <c r="N1741" s="30" t="str">
        <f ca="1">IFERROR(__xludf.DUMMYFUNCTION("""COMPUTED_VALUE"""),"SALTO GRANDE")</f>
        <v>SALTO GRANDE</v>
      </c>
      <c r="O1741" s="30" t="str">
        <f ca="1">IFERROR(__xludf.DUMMYFUNCTION("""COMPUTED_VALUE"""),"8256")</f>
        <v>8256</v>
      </c>
      <c r="P1741" s="30" t="str">
        <f ca="1">IFERROR(__xludf.DUMMYFUNCTION("""COMPUTED_VALUE"""),"IRIONDO")</f>
        <v>IRIONDO</v>
      </c>
      <c r="Q1741" s="30" t="str">
        <f ca="1">IFERROR(__xludf.DUMMYFUNCTION("""COMPUTED_VALUE"""),"-32.66213")</f>
        <v>-32.66213</v>
      </c>
      <c r="R1741" s="30" t="str">
        <f ca="1">IFERROR(__xludf.DUMMYFUNCTION("""COMPUTED_VALUE"""),"-61.090021")</f>
        <v>-61.090021</v>
      </c>
      <c r="S1741" s="30" t="str">
        <f ca="1">IFERROR(__xludf.DUMMYFUNCTION("""COMPUTED_VALUE"""),"Provincial")</f>
        <v>Provincial</v>
      </c>
      <c r="T1741" s="30" t="str">
        <f ca="1">IFERROR(__xludf.DUMMYFUNCTION("""COMPUTED_VALUE"""),"-")</f>
        <v>-</v>
      </c>
    </row>
    <row r="1742" spans="1:20" ht="15.75" customHeight="1" x14ac:dyDescent="0.25">
      <c r="A1742" s="30" t="str">
        <f ca="1">IFERROR(__xludf.DUMMYFUNCTION("""COMPUTED_VALUE"""),"10820702184096")</f>
        <v>10820702184096</v>
      </c>
      <c r="B1742" s="30" t="str">
        <f ca="1">IFERROR(__xludf.DUMMYFUNCTION("""COMPUTED_VALUE"""),"HOSPITAL PEDRO SUCHON")</f>
        <v>HOSPITAL PEDRO SUCHON</v>
      </c>
      <c r="C1742" s="30" t="str">
        <f ca="1">IFERROR(__xludf.DUMMYFUNCTION("""COMPUTED_VALUE"""),"Santa Fe")</f>
        <v>Santa Fe</v>
      </c>
      <c r="D1742" s="30" t="str">
        <f ca="1">IFERROR(__xludf.DUMMYFUNCTION("""COMPUTED_VALUE"""),"82")</f>
        <v>82</v>
      </c>
      <c r="E1742" s="30" t="str">
        <f ca="1">IFERROR(__xludf.DUMMYFUNCTION("""COMPUTED_VALUE"""),"")</f>
        <v/>
      </c>
      <c r="F1742" s="29"/>
      <c r="G1742" s="29"/>
      <c r="H1742" s="30" t="str">
        <f ca="1">IFERROR(__xludf.DUMMYFUNCTION("""COMPUTED_VALUE"""),"activo")</f>
        <v>activo</v>
      </c>
      <c r="I1742" s="29"/>
      <c r="J1742" s="29"/>
      <c r="K1742" s="29"/>
      <c r="L1742" s="30" t="str">
        <f ca="1">IFERROR(__xludf.DUMMYFUNCTION("""COMPUTED_VALUE"""),"No")</f>
        <v>No</v>
      </c>
      <c r="M1742" s="30" t="str">
        <f ca="1">IFERROR(__xludf.DUMMYFUNCTION("""COMPUTED_VALUE"""),"82070230000")</f>
        <v>82070230000</v>
      </c>
      <c r="N1742" s="30" t="str">
        <f ca="1">IFERROR(__xludf.DUMMYFUNCTION("""COMPUTED_VALUE"""),"SAN CARLOS CENTRO")</f>
        <v>SAN CARLOS CENTRO</v>
      </c>
      <c r="O1742" s="30" t="str">
        <f ca="1">IFERROR(__xludf.DUMMYFUNCTION("""COMPUTED_VALUE"""),"8270")</f>
        <v>8270</v>
      </c>
      <c r="P1742" s="30" t="str">
        <f ca="1">IFERROR(__xludf.DUMMYFUNCTION("""COMPUTED_VALUE"""),"LAS COLONIAS")</f>
        <v>LAS COLONIAS</v>
      </c>
      <c r="Q1742" s="30" t="str">
        <f ca="1">IFERROR(__xludf.DUMMYFUNCTION("""COMPUTED_VALUE"""),"-31.74628")</f>
        <v>-31.74628</v>
      </c>
      <c r="R1742" s="30" t="str">
        <f ca="1">IFERROR(__xludf.DUMMYFUNCTION("""COMPUTED_VALUE"""),"-61.09055")</f>
        <v>-61.09055</v>
      </c>
      <c r="S1742" s="30" t="str">
        <f ca="1">IFERROR(__xludf.DUMMYFUNCTION("""COMPUTED_VALUE"""),"Provincial")</f>
        <v>Provincial</v>
      </c>
      <c r="T1742" s="30" t="str">
        <f ca="1">IFERROR(__xludf.DUMMYFUNCTION("""COMPUTED_VALUE"""),"-")</f>
        <v>-</v>
      </c>
    </row>
    <row r="1743" spans="1:20" ht="15.75" customHeight="1" x14ac:dyDescent="0.25">
      <c r="A1743" s="30" t="str">
        <f ca="1">IFERROR(__xludf.DUMMYFUNCTION("""COMPUTED_VALUE"""),"10821052184002")</f>
        <v>10821052184002</v>
      </c>
      <c r="B1743" s="30" t="str">
        <f ca="1">IFERROR(__xludf.DUMMYFUNCTION("""COMPUTED_VALUE"""),"SAMCO SAN GENARO JARUPKIN")</f>
        <v>SAMCO SAN GENARO JARUPKIN</v>
      </c>
      <c r="C1743" s="30" t="str">
        <f ca="1">IFERROR(__xludf.DUMMYFUNCTION("""COMPUTED_VALUE"""),"Santa Fe")</f>
        <v>Santa Fe</v>
      </c>
      <c r="D1743" s="30" t="str">
        <f ca="1">IFERROR(__xludf.DUMMYFUNCTION("""COMPUTED_VALUE"""),"82")</f>
        <v>82</v>
      </c>
      <c r="E1743" s="30" t="str">
        <f ca="1">IFERROR(__xludf.DUMMYFUNCTION("""COMPUTED_VALUE"""),"")</f>
        <v/>
      </c>
      <c r="F1743" s="29"/>
      <c r="G1743" s="29"/>
      <c r="H1743" s="30" t="str">
        <f ca="1">IFERROR(__xludf.DUMMYFUNCTION("""COMPUTED_VALUE"""),"activo")</f>
        <v>activo</v>
      </c>
      <c r="I1743" s="29"/>
      <c r="J1743" s="29"/>
      <c r="K1743" s="29"/>
      <c r="L1743" s="30" t="str">
        <f ca="1">IFERROR(__xludf.DUMMYFUNCTION("""COMPUTED_VALUE"""),"No")</f>
        <v>No</v>
      </c>
      <c r="M1743" s="30" t="str">
        <f ca="1">IFERROR(__xludf.DUMMYFUNCTION("""COMPUTED_VALUE"""),"82105240000")</f>
        <v>82105240000</v>
      </c>
      <c r="N1743" s="30" t="str">
        <f ca="1">IFERROR(__xludf.DUMMYFUNCTION("""COMPUTED_VALUE"""),"SAN GENARO")</f>
        <v>SAN GENARO</v>
      </c>
      <c r="O1743" s="30" t="str">
        <f ca="1">IFERROR(__xludf.DUMMYFUNCTION("""COMPUTED_VALUE"""),"82105")</f>
        <v>82105</v>
      </c>
      <c r="P1743" s="30" t="str">
        <f ca="1">IFERROR(__xludf.DUMMYFUNCTION("""COMPUTED_VALUE"""),"SAN JERÓNIMO")</f>
        <v>SAN JERÓNIMO</v>
      </c>
      <c r="Q1743" s="30" t="str">
        <f ca="1">IFERROR(__xludf.DUMMYFUNCTION("""COMPUTED_VALUE"""),"-32.373649")</f>
        <v>-32.373649</v>
      </c>
      <c r="R1743" s="30" t="str">
        <f ca="1">IFERROR(__xludf.DUMMYFUNCTION("""COMPUTED_VALUE"""),"-61.3586079")</f>
        <v>-61.3586079</v>
      </c>
      <c r="S1743" s="30" t="str">
        <f ca="1">IFERROR(__xludf.DUMMYFUNCTION("""COMPUTED_VALUE"""),"Provincial")</f>
        <v>Provincial</v>
      </c>
      <c r="T1743" s="30" t="str">
        <f ca="1">IFERROR(__xludf.DUMMYFUNCTION("""COMPUTED_VALUE"""),"-")</f>
        <v>-</v>
      </c>
    </row>
    <row r="1744" spans="1:20" ht="15.75" customHeight="1" x14ac:dyDescent="0.25">
      <c r="A1744" s="30" t="str">
        <f ca="1">IFERROR(__xludf.DUMMYFUNCTION("""COMPUTED_VALUE"""),"50821052184941")</f>
        <v>50821052184941</v>
      </c>
      <c r="B1744" s="30" t="str">
        <f ca="1">IFERROR(__xludf.DUMMYFUNCTION("""COMPUTED_VALUE"""),"CENTRO DE SALUD SAN GENARO NORTE")</f>
        <v>CENTRO DE SALUD SAN GENARO NORTE</v>
      </c>
      <c r="C1744" s="30" t="str">
        <f ca="1">IFERROR(__xludf.DUMMYFUNCTION("""COMPUTED_VALUE"""),"Santa Fe")</f>
        <v>Santa Fe</v>
      </c>
      <c r="D1744" s="30" t="str">
        <f ca="1">IFERROR(__xludf.DUMMYFUNCTION("""COMPUTED_VALUE"""),"82")</f>
        <v>82</v>
      </c>
      <c r="E1744" s="30" t="str">
        <f ca="1">IFERROR(__xludf.DUMMYFUNCTION("""COMPUTED_VALUE"""),"")</f>
        <v/>
      </c>
      <c r="F1744" s="29"/>
      <c r="G1744" s="29"/>
      <c r="H1744" s="30" t="str">
        <f ca="1">IFERROR(__xludf.DUMMYFUNCTION("""COMPUTED_VALUE"""),"activo")</f>
        <v>activo</v>
      </c>
      <c r="I1744" s="29"/>
      <c r="J1744" s="29"/>
      <c r="K1744" s="29"/>
      <c r="L1744" s="30" t="str">
        <f ca="1">IFERROR(__xludf.DUMMYFUNCTION("""COMPUTED_VALUE"""),"No")</f>
        <v>No</v>
      </c>
      <c r="M1744" s="30" t="str">
        <f ca="1">IFERROR(__xludf.DUMMYFUNCTION("""COMPUTED_VALUE"""),"82105240000")</f>
        <v>82105240000</v>
      </c>
      <c r="N1744" s="30" t="str">
        <f ca="1">IFERROR(__xludf.DUMMYFUNCTION("""COMPUTED_VALUE"""),"SAN GENARO")</f>
        <v>SAN GENARO</v>
      </c>
      <c r="O1744" s="30" t="str">
        <f ca="1">IFERROR(__xludf.DUMMYFUNCTION("""COMPUTED_VALUE"""),"82105")</f>
        <v>82105</v>
      </c>
      <c r="P1744" s="30" t="str">
        <f ca="1">IFERROR(__xludf.DUMMYFUNCTION("""COMPUTED_VALUE"""),"SAN JERÓNIMO")</f>
        <v>SAN JERÓNIMO</v>
      </c>
      <c r="Q1744" s="30" t="str">
        <f ca="1">IFERROR(__xludf.DUMMYFUNCTION("""COMPUTED_VALUE"""),"-32.36375")</f>
        <v>-32.36375</v>
      </c>
      <c r="R1744" s="30" t="str">
        <f ca="1">IFERROR(__xludf.DUMMYFUNCTION("""COMPUTED_VALUE"""),"-61.33754")</f>
        <v>-61.33754</v>
      </c>
      <c r="S1744" s="30" t="str">
        <f ca="1">IFERROR(__xludf.DUMMYFUNCTION("""COMPUTED_VALUE"""),"Provincial")</f>
        <v>Provincial</v>
      </c>
      <c r="T1744" s="30" t="str">
        <f ca="1">IFERROR(__xludf.DUMMYFUNCTION("""COMPUTED_VALUE"""),"-")</f>
        <v>-</v>
      </c>
    </row>
    <row r="1745" spans="1:20" ht="15.75" customHeight="1" x14ac:dyDescent="0.25">
      <c r="A1745" s="30" t="str">
        <f ca="1">IFERROR(__xludf.DUMMYFUNCTION("""COMPUTED_VALUE"""),"10820142184196")</f>
        <v>10820142184196</v>
      </c>
      <c r="B1745" s="30" t="str">
        <f ca="1">IFERROR(__xludf.DUMMYFUNCTION("""COMPUTED_VALUE"""),"SAMCO SAN JOSE DE LA ESQUINA")</f>
        <v>SAMCO SAN JOSE DE LA ESQUINA</v>
      </c>
      <c r="C1745" s="30" t="str">
        <f ca="1">IFERROR(__xludf.DUMMYFUNCTION("""COMPUTED_VALUE"""),"Santa Fe")</f>
        <v>Santa Fe</v>
      </c>
      <c r="D1745" s="30" t="str">
        <f ca="1">IFERROR(__xludf.DUMMYFUNCTION("""COMPUTED_VALUE"""),"82")</f>
        <v>82</v>
      </c>
      <c r="E1745" s="30" t="str">
        <f ca="1">IFERROR(__xludf.DUMMYFUNCTION("""COMPUTED_VALUE"""),"")</f>
        <v/>
      </c>
      <c r="F1745" s="29"/>
      <c r="G1745" s="29"/>
      <c r="H1745" s="30" t="str">
        <f ca="1">IFERROR(__xludf.DUMMYFUNCTION("""COMPUTED_VALUE"""),"activo")</f>
        <v>activo</v>
      </c>
      <c r="I1745" s="29"/>
      <c r="J1745" s="29"/>
      <c r="K1745" s="29"/>
      <c r="L1745" s="30" t="str">
        <f ca="1">IFERROR(__xludf.DUMMYFUNCTION("""COMPUTED_VALUE"""),"No")</f>
        <v>No</v>
      </c>
      <c r="M1745" s="30" t="str">
        <f ca="1">IFERROR(__xludf.DUMMYFUNCTION("""COMPUTED_VALUE"""),"82014120000")</f>
        <v>82014120000</v>
      </c>
      <c r="N1745" s="30" t="str">
        <f ca="1">IFERROR(__xludf.DUMMYFUNCTION("""COMPUTED_VALUE"""),"SAN JOSE DE LA ESQUINA")</f>
        <v>SAN JOSE DE LA ESQUINA</v>
      </c>
      <c r="O1745" s="30" t="str">
        <f ca="1">IFERROR(__xludf.DUMMYFUNCTION("""COMPUTED_VALUE"""),"8214")</f>
        <v>8214</v>
      </c>
      <c r="P1745" s="30" t="str">
        <f ca="1">IFERROR(__xludf.DUMMYFUNCTION("""COMPUTED_VALUE"""),"CASEROS")</f>
        <v>CASEROS</v>
      </c>
      <c r="Q1745" s="30" t="str">
        <f ca="1">IFERROR(__xludf.DUMMYFUNCTION("""COMPUTED_VALUE"""),"-33.1166621")</f>
        <v>-33.1166621</v>
      </c>
      <c r="R1745" s="30" t="str">
        <f ca="1">IFERROR(__xludf.DUMMYFUNCTION("""COMPUTED_VALUE"""),"-61.7026831")</f>
        <v>-61.7026831</v>
      </c>
      <c r="S1745" s="30" t="str">
        <f ca="1">IFERROR(__xludf.DUMMYFUNCTION("""COMPUTED_VALUE"""),"Provincial")</f>
        <v>Provincial</v>
      </c>
      <c r="T1745" s="30" t="str">
        <f ca="1">IFERROR(__xludf.DUMMYFUNCTION("""COMPUTED_VALUE"""),"-")</f>
        <v>-</v>
      </c>
    </row>
    <row r="1746" spans="1:20" ht="15.75" customHeight="1" x14ac:dyDescent="0.25">
      <c r="A1746" s="30" t="str">
        <f ca="1">IFERROR(__xludf.DUMMYFUNCTION("""COMPUTED_VALUE"""),"50820632184947")</f>
        <v>50820632184947</v>
      </c>
      <c r="B1746" s="30" t="str">
        <f ca="1">IFERROR(__xludf.DUMMYFUNCTION("""COMPUTED_VALUE"""),"SAMCO SAN JOSE DEL RINCON")</f>
        <v>SAMCO SAN JOSE DEL RINCON</v>
      </c>
      <c r="C1746" s="30" t="str">
        <f ca="1">IFERROR(__xludf.DUMMYFUNCTION("""COMPUTED_VALUE"""),"Santa Fe")</f>
        <v>Santa Fe</v>
      </c>
      <c r="D1746" s="30" t="str">
        <f ca="1">IFERROR(__xludf.DUMMYFUNCTION("""COMPUTED_VALUE"""),"82")</f>
        <v>82</v>
      </c>
      <c r="E1746" s="30" t="str">
        <f ca="1">IFERROR(__xludf.DUMMYFUNCTION("""COMPUTED_VALUE"""),"")</f>
        <v/>
      </c>
      <c r="F1746" s="29"/>
      <c r="G1746" s="29"/>
      <c r="H1746" s="30" t="str">
        <f ca="1">IFERROR(__xludf.DUMMYFUNCTION("""COMPUTED_VALUE"""),"activo")</f>
        <v>activo</v>
      </c>
      <c r="I1746" s="29"/>
      <c r="J1746" s="29"/>
      <c r="K1746" s="29"/>
      <c r="L1746" s="30" t="str">
        <f ca="1">IFERROR(__xludf.DUMMYFUNCTION("""COMPUTED_VALUE"""),"No")</f>
        <v>No</v>
      </c>
      <c r="M1746" s="30" t="str">
        <f ca="1">IFERROR(__xludf.DUMMYFUNCTION("""COMPUTED_VALUE"""),"82063160000")</f>
        <v>82063160000</v>
      </c>
      <c r="N1746" s="30" t="str">
        <f ca="1">IFERROR(__xludf.DUMMYFUNCTION("""COMPUTED_VALUE"""),"SAN JOSE DEL RINCON")</f>
        <v>SAN JOSE DEL RINCON</v>
      </c>
      <c r="O1746" s="30" t="str">
        <f ca="1">IFERROR(__xludf.DUMMYFUNCTION("""COMPUTED_VALUE"""),"8263")</f>
        <v>8263</v>
      </c>
      <c r="P1746" s="30" t="str">
        <f ca="1">IFERROR(__xludf.DUMMYFUNCTION("""COMPUTED_VALUE"""),"LA CAPITAL")</f>
        <v>LA CAPITAL</v>
      </c>
      <c r="Q1746" s="30" t="str">
        <f ca="1">IFERROR(__xludf.DUMMYFUNCTION("""COMPUTED_VALUE"""),"-31.60548333")</f>
        <v>-31.60548333</v>
      </c>
      <c r="R1746" s="30" t="str">
        <f ca="1">IFERROR(__xludf.DUMMYFUNCTION("""COMPUTED_VALUE"""),"-60.57203333")</f>
        <v>-60.57203333</v>
      </c>
      <c r="S1746" s="30" t="str">
        <f ca="1">IFERROR(__xludf.DUMMYFUNCTION("""COMPUTED_VALUE"""),"Provincial")</f>
        <v>Provincial</v>
      </c>
      <c r="T1746" s="30" t="str">
        <f ca="1">IFERROR(__xludf.DUMMYFUNCTION("""COMPUTED_VALUE"""),"-")</f>
        <v>-</v>
      </c>
    </row>
    <row r="1747" spans="1:20" ht="15.75" customHeight="1" x14ac:dyDescent="0.25">
      <c r="A1747" s="30" t="str">
        <f ca="1">IFERROR(__xludf.DUMMYFUNCTION("""COMPUTED_VALUE"""),"50821122184553")</f>
        <v>50821122184553</v>
      </c>
      <c r="B1747" s="30" t="str">
        <f ca="1">IFERROR(__xludf.DUMMYFUNCTION("""COMPUTED_VALUE"""),"CENTRO DE SALUD BARRIO REYES")</f>
        <v>CENTRO DE SALUD BARRIO REYES</v>
      </c>
      <c r="C1747" s="30" t="str">
        <f ca="1">IFERROR(__xludf.DUMMYFUNCTION("""COMPUTED_VALUE"""),"Santa Fe")</f>
        <v>Santa Fe</v>
      </c>
      <c r="D1747" s="30" t="str">
        <f ca="1">IFERROR(__xludf.DUMMYFUNCTION("""COMPUTED_VALUE"""),"82")</f>
        <v>82</v>
      </c>
      <c r="E1747" s="30" t="str">
        <f ca="1">IFERROR(__xludf.DUMMYFUNCTION("""COMPUTED_VALUE"""),"")</f>
        <v/>
      </c>
      <c r="F1747" s="29"/>
      <c r="G1747" s="29"/>
      <c r="H1747" s="30" t="str">
        <f ca="1">IFERROR(__xludf.DUMMYFUNCTION("""COMPUTED_VALUE"""),"activo")</f>
        <v>activo</v>
      </c>
      <c r="I1747" s="29"/>
      <c r="J1747" s="29"/>
      <c r="K1747" s="29"/>
      <c r="L1747" s="30" t="str">
        <f ca="1">IFERROR(__xludf.DUMMYFUNCTION("""COMPUTED_VALUE"""),"No")</f>
        <v>No</v>
      </c>
      <c r="M1747" s="30" t="str">
        <f ca="1">IFERROR(__xludf.DUMMYFUNCTION("""COMPUTED_VALUE"""),"82112130000")</f>
        <v>82112130000</v>
      </c>
      <c r="N1747" s="30" t="str">
        <f ca="1">IFERROR(__xludf.DUMMYFUNCTION("""COMPUTED_VALUE"""),"SAN JUSTO")</f>
        <v>SAN JUSTO</v>
      </c>
      <c r="O1747" s="30" t="str">
        <f ca="1">IFERROR(__xludf.DUMMYFUNCTION("""COMPUTED_VALUE"""),"82112")</f>
        <v>82112</v>
      </c>
      <c r="P1747" s="30" t="str">
        <f ca="1">IFERROR(__xludf.DUMMYFUNCTION("""COMPUTED_VALUE"""),"SAN JUSTO")</f>
        <v>SAN JUSTO</v>
      </c>
      <c r="Q1747" s="30" t="str">
        <f ca="1">IFERROR(__xludf.DUMMYFUNCTION("""COMPUTED_VALUE"""),"-30.7886154")</f>
        <v>-30.7886154</v>
      </c>
      <c r="R1747" s="30" t="str">
        <f ca="1">IFERROR(__xludf.DUMMYFUNCTION("""COMPUTED_VALUE"""),"-60.5926891")</f>
        <v>-60.5926891</v>
      </c>
      <c r="S1747" s="30" t="str">
        <f ca="1">IFERROR(__xludf.DUMMYFUNCTION("""COMPUTED_VALUE"""),"Provincial")</f>
        <v>Provincial</v>
      </c>
      <c r="T1747" s="30" t="str">
        <f ca="1">IFERROR(__xludf.DUMMYFUNCTION("""COMPUTED_VALUE"""),"-")</f>
        <v>-</v>
      </c>
    </row>
    <row r="1748" spans="1:20" ht="15.75" customHeight="1" x14ac:dyDescent="0.25">
      <c r="A1748" s="30" t="str">
        <f ca="1">IFERROR(__xludf.DUMMYFUNCTION("""COMPUTED_VALUE"""),"50821192185004")</f>
        <v>50821192185004</v>
      </c>
      <c r="B1748" s="30" t="str">
        <f ca="1">IFERROR(__xludf.DUMMYFUNCTION("""COMPUTED_VALUE"""),"CENTRO DE SALUD VIRGEN DE ITATI - SAN LORENZO")</f>
        <v>CENTRO DE SALUD VIRGEN DE ITATI - SAN LORENZO</v>
      </c>
      <c r="C1748" s="30" t="str">
        <f ca="1">IFERROR(__xludf.DUMMYFUNCTION("""COMPUTED_VALUE"""),"Santa Fe")</f>
        <v>Santa Fe</v>
      </c>
      <c r="D1748" s="30" t="str">
        <f ca="1">IFERROR(__xludf.DUMMYFUNCTION("""COMPUTED_VALUE"""),"82")</f>
        <v>82</v>
      </c>
      <c r="E1748" s="30" t="str">
        <f ca="1">IFERROR(__xludf.DUMMYFUNCTION("""COMPUTED_VALUE"""),"")</f>
        <v/>
      </c>
      <c r="F1748" s="29"/>
      <c r="G1748" s="29"/>
      <c r="H1748" s="30" t="str">
        <f ca="1">IFERROR(__xludf.DUMMYFUNCTION("""COMPUTED_VALUE"""),"activo")</f>
        <v>activo</v>
      </c>
      <c r="I1748" s="29"/>
      <c r="J1748" s="29"/>
      <c r="K1748" s="29"/>
      <c r="L1748" s="30" t="str">
        <f ca="1">IFERROR(__xludf.DUMMYFUNCTION("""COMPUTED_VALUE"""),"No")</f>
        <v>No</v>
      </c>
      <c r="M1748" s="30" t="str">
        <f ca="1">IFERROR(__xludf.DUMMYFUNCTION("""COMPUTED_VALUE"""),"82119130000")</f>
        <v>82119130000</v>
      </c>
      <c r="N1748" s="30" t="str">
        <f ca="1">IFERROR(__xludf.DUMMYFUNCTION("""COMPUTED_VALUE"""),"SAN LORENZO")</f>
        <v>SAN LORENZO</v>
      </c>
      <c r="O1748" s="30" t="str">
        <f ca="1">IFERROR(__xludf.DUMMYFUNCTION("""COMPUTED_VALUE"""),"82119")</f>
        <v>82119</v>
      </c>
      <c r="P1748" s="30" t="str">
        <f ca="1">IFERROR(__xludf.DUMMYFUNCTION("""COMPUTED_VALUE"""),"SAN LORENZO")</f>
        <v>SAN LORENZO</v>
      </c>
      <c r="Q1748" s="30" t="str">
        <f ca="1">IFERROR(__xludf.DUMMYFUNCTION("""COMPUTED_VALUE"""),"-32.74111111")</f>
        <v>-32.74111111</v>
      </c>
      <c r="R1748" s="30" t="str">
        <f ca="1">IFERROR(__xludf.DUMMYFUNCTION("""COMPUTED_VALUE"""),"-60.74315643")</f>
        <v>-60.74315643</v>
      </c>
      <c r="S1748" s="30" t="str">
        <f ca="1">IFERROR(__xludf.DUMMYFUNCTION("""COMPUTED_VALUE"""),"Provincial")</f>
        <v>Provincial</v>
      </c>
      <c r="T1748" s="30" t="str">
        <f ca="1">IFERROR(__xludf.DUMMYFUNCTION("""COMPUTED_VALUE"""),"-")</f>
        <v>-</v>
      </c>
    </row>
    <row r="1749" spans="1:20" ht="15.75" customHeight="1" x14ac:dyDescent="0.25">
      <c r="A1749" s="30" t="str">
        <f ca="1">IFERROR(__xludf.DUMMYFUNCTION("""COMPUTED_VALUE"""),"10820212184199")</f>
        <v>10820212184199</v>
      </c>
      <c r="B1749" s="30" t="str">
        <f ca="1">IFERROR(__xludf.DUMMYFUNCTION("""COMPUTED_VALUE"""),"SAMCO SAN VICENTE")</f>
        <v>SAMCO SAN VICENTE</v>
      </c>
      <c r="C1749" s="30" t="str">
        <f ca="1">IFERROR(__xludf.DUMMYFUNCTION("""COMPUTED_VALUE"""),"Santa Fe")</f>
        <v>Santa Fe</v>
      </c>
      <c r="D1749" s="30" t="str">
        <f ca="1">IFERROR(__xludf.DUMMYFUNCTION("""COMPUTED_VALUE"""),"82")</f>
        <v>82</v>
      </c>
      <c r="E1749" s="30" t="str">
        <f ca="1">IFERROR(__xludf.DUMMYFUNCTION("""COMPUTED_VALUE"""),"")</f>
        <v/>
      </c>
      <c r="F1749" s="29"/>
      <c r="G1749" s="29"/>
      <c r="H1749" s="30" t="str">
        <f ca="1">IFERROR(__xludf.DUMMYFUNCTION("""COMPUTED_VALUE"""),"activo")</f>
        <v>activo</v>
      </c>
      <c r="I1749" s="29"/>
      <c r="J1749" s="29"/>
      <c r="K1749" s="29"/>
      <c r="L1749" s="30" t="str">
        <f ca="1">IFERROR(__xludf.DUMMYFUNCTION("""COMPUTED_VALUE"""),"No")</f>
        <v>No</v>
      </c>
      <c r="M1749" s="30" t="str">
        <f ca="1">IFERROR(__xludf.DUMMYFUNCTION("""COMPUTED_VALUE"""),"82021340000")</f>
        <v>82021340000</v>
      </c>
      <c r="N1749" s="30" t="str">
        <f ca="1">IFERROR(__xludf.DUMMYFUNCTION("""COMPUTED_VALUE"""),"SAN VICENTE")</f>
        <v>SAN VICENTE</v>
      </c>
      <c r="O1749" s="30" t="str">
        <f ca="1">IFERROR(__xludf.DUMMYFUNCTION("""COMPUTED_VALUE"""),"8221")</f>
        <v>8221</v>
      </c>
      <c r="P1749" s="30" t="str">
        <f ca="1">IFERROR(__xludf.DUMMYFUNCTION("""COMPUTED_VALUE"""),"CASTELLANOS")</f>
        <v>CASTELLANOS</v>
      </c>
      <c r="Q1749" s="30" t="str">
        <f ca="1">IFERROR(__xludf.DUMMYFUNCTION("""COMPUTED_VALUE"""),"-31.2545338")</f>
        <v>-31.2545338</v>
      </c>
      <c r="R1749" s="30" t="str">
        <f ca="1">IFERROR(__xludf.DUMMYFUNCTION("""COMPUTED_VALUE"""),"-61.4857858")</f>
        <v>-61.4857858</v>
      </c>
      <c r="S1749" s="30" t="str">
        <f ca="1">IFERROR(__xludf.DUMMYFUNCTION("""COMPUTED_VALUE"""),"Provincial")</f>
        <v>Provincial</v>
      </c>
      <c r="T1749" s="30" t="str">
        <f ca="1">IFERROR(__xludf.DUMMYFUNCTION("""COMPUTED_VALUE"""),"-")</f>
        <v>-</v>
      </c>
    </row>
    <row r="1750" spans="1:20" ht="15.75" customHeight="1" x14ac:dyDescent="0.25">
      <c r="A1750" s="30" t="str">
        <f ca="1">IFERROR(__xludf.DUMMYFUNCTION("""COMPUTED_VALUE"""),"50820632184927")</f>
        <v>50820632184927</v>
      </c>
      <c r="B1750" s="30" t="str">
        <f ca="1">IFERROR(__xludf.DUMMYFUNCTION("""COMPUTED_VALUE"""),"CENTRO DE SALUD SAN AGUSTIN - LA CAPITAL")</f>
        <v>CENTRO DE SALUD SAN AGUSTIN - LA CAPITAL</v>
      </c>
      <c r="C1750" s="30" t="str">
        <f ca="1">IFERROR(__xludf.DUMMYFUNCTION("""COMPUTED_VALUE"""),"Santa Fe")</f>
        <v>Santa Fe</v>
      </c>
      <c r="D1750" s="30" t="str">
        <f ca="1">IFERROR(__xludf.DUMMYFUNCTION("""COMPUTED_VALUE"""),"82")</f>
        <v>82</v>
      </c>
      <c r="E1750" s="30" t="str">
        <f ca="1">IFERROR(__xludf.DUMMYFUNCTION("""COMPUTED_VALUE"""),"")</f>
        <v/>
      </c>
      <c r="F1750" s="29"/>
      <c r="G1750" s="29"/>
      <c r="H1750" s="30" t="str">
        <f ca="1">IFERROR(__xludf.DUMMYFUNCTION("""COMPUTED_VALUE"""),"activo")</f>
        <v>activo</v>
      </c>
      <c r="I1750" s="29"/>
      <c r="J1750" s="29"/>
      <c r="K1750" s="29"/>
      <c r="L1750" s="30" t="str">
        <f ca="1">IFERROR(__xludf.DUMMYFUNCTION("""COMPUTED_VALUE"""),"No")</f>
        <v>No</v>
      </c>
      <c r="M1750" s="30" t="str">
        <f ca="1">IFERROR(__xludf.DUMMYFUNCTION("""COMPUTED_VALUE"""),"82063170000")</f>
        <v>82063170000</v>
      </c>
      <c r="N1750" s="30" t="str">
        <f ca="1">IFERROR(__xludf.DUMMYFUNCTION("""COMPUTED_VALUE"""),"SANTA FE")</f>
        <v>SANTA FE</v>
      </c>
      <c r="O1750" s="30" t="str">
        <f ca="1">IFERROR(__xludf.DUMMYFUNCTION("""COMPUTED_VALUE"""),"8263")</f>
        <v>8263</v>
      </c>
      <c r="P1750" s="30" t="str">
        <f ca="1">IFERROR(__xludf.DUMMYFUNCTION("""COMPUTED_VALUE"""),"LA CAPITAL")</f>
        <v>LA CAPITAL</v>
      </c>
      <c r="Q1750" s="30" t="str">
        <f ca="1">IFERROR(__xludf.DUMMYFUNCTION("""COMPUTED_VALUE"""),"-31.5642599")</f>
        <v>-31.5642599</v>
      </c>
      <c r="R1750" s="30" t="str">
        <f ca="1">IFERROR(__xludf.DUMMYFUNCTION("""COMPUTED_VALUE"""),"-60.7462466")</f>
        <v>-60.7462466</v>
      </c>
      <c r="S1750" s="30" t="str">
        <f ca="1">IFERROR(__xludf.DUMMYFUNCTION("""COMPUTED_VALUE"""),"Provincial")</f>
        <v>Provincial</v>
      </c>
      <c r="T1750" s="30" t="str">
        <f ca="1">IFERROR(__xludf.DUMMYFUNCTION("""COMPUTED_VALUE"""),"-")</f>
        <v>-</v>
      </c>
    </row>
    <row r="1751" spans="1:20" ht="15.75" customHeight="1" x14ac:dyDescent="0.25">
      <c r="A1751" s="30" t="str">
        <f ca="1">IFERROR(__xludf.DUMMYFUNCTION("""COMPUTED_VALUE"""),"50820632184565")</f>
        <v>50820632184565</v>
      </c>
      <c r="B1751" s="30" t="str">
        <f ca="1">IFERROR(__xludf.DUMMYFUNCTION("""COMPUTED_VALUE"""),"CENTRO DE SALUD BARRIO VILLA HIPODROMO")</f>
        <v>CENTRO DE SALUD BARRIO VILLA HIPODROMO</v>
      </c>
      <c r="C1751" s="30" t="str">
        <f ca="1">IFERROR(__xludf.DUMMYFUNCTION("""COMPUTED_VALUE"""),"Santa Fe")</f>
        <v>Santa Fe</v>
      </c>
      <c r="D1751" s="30" t="str">
        <f ca="1">IFERROR(__xludf.DUMMYFUNCTION("""COMPUTED_VALUE"""),"82")</f>
        <v>82</v>
      </c>
      <c r="E1751" s="30" t="str">
        <f ca="1">IFERROR(__xludf.DUMMYFUNCTION("""COMPUTED_VALUE"""),"")</f>
        <v/>
      </c>
      <c r="F1751" s="29"/>
      <c r="G1751" s="29"/>
      <c r="H1751" s="30" t="str">
        <f ca="1">IFERROR(__xludf.DUMMYFUNCTION("""COMPUTED_VALUE"""),"activo")</f>
        <v>activo</v>
      </c>
      <c r="I1751" s="29"/>
      <c r="J1751" s="29"/>
      <c r="K1751" s="29"/>
      <c r="L1751" s="30" t="str">
        <f ca="1">IFERROR(__xludf.DUMMYFUNCTION("""COMPUTED_VALUE"""),"No")</f>
        <v>No</v>
      </c>
      <c r="M1751" s="30" t="str">
        <f ca="1">IFERROR(__xludf.DUMMYFUNCTION("""COMPUTED_VALUE"""),"82063170000")</f>
        <v>82063170000</v>
      </c>
      <c r="N1751" s="30" t="str">
        <f ca="1">IFERROR(__xludf.DUMMYFUNCTION("""COMPUTED_VALUE"""),"SANTA FE")</f>
        <v>SANTA FE</v>
      </c>
      <c r="O1751" s="30" t="str">
        <f ca="1">IFERROR(__xludf.DUMMYFUNCTION("""COMPUTED_VALUE"""),"8263")</f>
        <v>8263</v>
      </c>
      <c r="P1751" s="30" t="str">
        <f ca="1">IFERROR(__xludf.DUMMYFUNCTION("""COMPUTED_VALUE"""),"LA CAPITAL")</f>
        <v>LA CAPITAL</v>
      </c>
      <c r="Q1751" s="30" t="str">
        <f ca="1">IFERROR(__xludf.DUMMYFUNCTION("""COMPUTED_VALUE"""),"-31.60641783")</f>
        <v>-31.60641783</v>
      </c>
      <c r="R1751" s="30" t="str">
        <f ca="1">IFERROR(__xludf.DUMMYFUNCTION("""COMPUTED_VALUE"""),"-60.71971893")</f>
        <v>-60.71971893</v>
      </c>
      <c r="S1751" s="30" t="str">
        <f ca="1">IFERROR(__xludf.DUMMYFUNCTION("""COMPUTED_VALUE"""),"Provincial")</f>
        <v>Provincial</v>
      </c>
      <c r="T1751" s="30" t="str">
        <f ca="1">IFERROR(__xludf.DUMMYFUNCTION("""COMPUTED_VALUE"""),"-")</f>
        <v>-</v>
      </c>
    </row>
    <row r="1752" spans="1:20" ht="15.75" customHeight="1" x14ac:dyDescent="0.25">
      <c r="A1752" s="30" t="str">
        <f ca="1">IFERROR(__xludf.DUMMYFUNCTION("""COMPUTED_VALUE"""),"50820632286246")</f>
        <v>50820632286246</v>
      </c>
      <c r="B1752" s="30" t="str">
        <f ca="1">IFERROR(__xludf.DUMMYFUNCTION("""COMPUTED_VALUE"""),"CENTRO DE SALUD NUEVO HORIZONTE")</f>
        <v>CENTRO DE SALUD NUEVO HORIZONTE</v>
      </c>
      <c r="C1752" s="30" t="str">
        <f ca="1">IFERROR(__xludf.DUMMYFUNCTION("""COMPUTED_VALUE"""),"Santa Fe")</f>
        <v>Santa Fe</v>
      </c>
      <c r="D1752" s="30" t="str">
        <f ca="1">IFERROR(__xludf.DUMMYFUNCTION("""COMPUTED_VALUE"""),"82")</f>
        <v>82</v>
      </c>
      <c r="E1752" s="30" t="str">
        <f ca="1">IFERROR(__xludf.DUMMYFUNCTION("""COMPUTED_VALUE"""),"")</f>
        <v/>
      </c>
      <c r="F1752" s="29"/>
      <c r="G1752" s="29"/>
      <c r="H1752" s="30" t="str">
        <f ca="1">IFERROR(__xludf.DUMMYFUNCTION("""COMPUTED_VALUE"""),"activo")</f>
        <v>activo</v>
      </c>
      <c r="I1752" s="29"/>
      <c r="J1752" s="29"/>
      <c r="K1752" s="29"/>
      <c r="L1752" s="30" t="str">
        <f ca="1">IFERROR(__xludf.DUMMYFUNCTION("""COMPUTED_VALUE"""),"No")</f>
        <v>No</v>
      </c>
      <c r="M1752" s="30" t="str">
        <f ca="1">IFERROR(__xludf.DUMMYFUNCTION("""COMPUTED_VALUE"""),"82063170000")</f>
        <v>82063170000</v>
      </c>
      <c r="N1752" s="30" t="str">
        <f ca="1">IFERROR(__xludf.DUMMYFUNCTION("""COMPUTED_VALUE"""),"SANTA FE")</f>
        <v>SANTA FE</v>
      </c>
      <c r="O1752" s="30" t="str">
        <f ca="1">IFERROR(__xludf.DUMMYFUNCTION("""COMPUTED_VALUE"""),"8263")</f>
        <v>8263</v>
      </c>
      <c r="P1752" s="30" t="str">
        <f ca="1">IFERROR(__xludf.DUMMYFUNCTION("""COMPUTED_VALUE"""),"LA CAPITAL")</f>
        <v>LA CAPITAL</v>
      </c>
      <c r="Q1752" s="30" t="str">
        <f ca="1">IFERROR(__xludf.DUMMYFUNCTION("""COMPUTED_VALUE"""),"-31.61852411")</f>
        <v>-31.61852411</v>
      </c>
      <c r="R1752" s="30" t="str">
        <f ca="1">IFERROR(__xludf.DUMMYFUNCTION("""COMPUTED_VALUE"""),"-60.71538448")</f>
        <v>-60.71538448</v>
      </c>
      <c r="S1752" s="30" t="str">
        <f ca="1">IFERROR(__xludf.DUMMYFUNCTION("""COMPUTED_VALUE"""),"Municipal")</f>
        <v>Municipal</v>
      </c>
      <c r="T1752" s="29"/>
    </row>
    <row r="1753" spans="1:20" ht="15.75" customHeight="1" x14ac:dyDescent="0.25">
      <c r="A1753" s="30" t="str">
        <f ca="1">IFERROR(__xludf.DUMMYFUNCTION("""COMPUTED_VALUE"""),"50820632184640")</f>
        <v>50820632184640</v>
      </c>
      <c r="B1753" s="30" t="str">
        <f ca="1">IFERROR(__xludf.DUMMYFUNCTION("""COMPUTED_VALUE"""),"CENTRO DE SALUD DEMETRIO GOMEZ")</f>
        <v>CENTRO DE SALUD DEMETRIO GOMEZ</v>
      </c>
      <c r="C1753" s="30" t="str">
        <f ca="1">IFERROR(__xludf.DUMMYFUNCTION("""COMPUTED_VALUE"""),"Santa Fe")</f>
        <v>Santa Fe</v>
      </c>
      <c r="D1753" s="30" t="str">
        <f ca="1">IFERROR(__xludf.DUMMYFUNCTION("""COMPUTED_VALUE"""),"82")</f>
        <v>82</v>
      </c>
      <c r="E1753" s="30" t="str">
        <f ca="1">IFERROR(__xludf.DUMMYFUNCTION("""COMPUTED_VALUE"""),"")</f>
        <v/>
      </c>
      <c r="F1753" s="29"/>
      <c r="G1753" s="29"/>
      <c r="H1753" s="30" t="str">
        <f ca="1">IFERROR(__xludf.DUMMYFUNCTION("""COMPUTED_VALUE"""),"activo")</f>
        <v>activo</v>
      </c>
      <c r="I1753" s="29"/>
      <c r="J1753" s="29"/>
      <c r="K1753" s="29"/>
      <c r="L1753" s="30" t="str">
        <f ca="1">IFERROR(__xludf.DUMMYFUNCTION("""COMPUTED_VALUE"""),"No")</f>
        <v>No</v>
      </c>
      <c r="M1753" s="30" t="str">
        <f ca="1">IFERROR(__xludf.DUMMYFUNCTION("""COMPUTED_VALUE"""),"82063170000")</f>
        <v>82063170000</v>
      </c>
      <c r="N1753" s="30" t="str">
        <f ca="1">IFERROR(__xludf.DUMMYFUNCTION("""COMPUTED_VALUE"""),"SANTA FE")</f>
        <v>SANTA FE</v>
      </c>
      <c r="O1753" s="30" t="str">
        <f ca="1">IFERROR(__xludf.DUMMYFUNCTION("""COMPUTED_VALUE"""),"8263")</f>
        <v>8263</v>
      </c>
      <c r="P1753" s="30" t="str">
        <f ca="1">IFERROR(__xludf.DUMMYFUNCTION("""COMPUTED_VALUE"""),"LA CAPITAL")</f>
        <v>LA CAPITAL</v>
      </c>
      <c r="Q1753" s="30" t="str">
        <f ca="1">IFERROR(__xludf.DUMMYFUNCTION("""COMPUTED_VALUE"""),"-31.66745")</f>
        <v>-31.66745</v>
      </c>
      <c r="R1753" s="30" t="str">
        <f ca="1">IFERROR(__xludf.DUMMYFUNCTION("""COMPUTED_VALUE"""),"-60.69959")</f>
        <v>-60.69959</v>
      </c>
      <c r="S1753" s="30" t="str">
        <f ca="1">IFERROR(__xludf.DUMMYFUNCTION("""COMPUTED_VALUE"""),"Provincial")</f>
        <v>Provincial</v>
      </c>
      <c r="T1753" s="30" t="str">
        <f ca="1">IFERROR(__xludf.DUMMYFUNCTION("""COMPUTED_VALUE"""),"-")</f>
        <v>-</v>
      </c>
    </row>
    <row r="1754" spans="1:20" ht="15.75" customHeight="1" x14ac:dyDescent="0.25">
      <c r="A1754" s="30" t="str">
        <f ca="1">IFERROR(__xludf.DUMMYFUNCTION("""COMPUTED_VALUE"""),"50820632184797")</f>
        <v>50820632184797</v>
      </c>
      <c r="B1754" s="30" t="str">
        <f ca="1">IFERROR(__xludf.DUMMYFUNCTION("""COMPUTED_VALUE"""),"#N/A")</f>
        <v>#N/A</v>
      </c>
      <c r="C1754" s="30" t="str">
        <f ca="1">IFERROR(__xludf.DUMMYFUNCTION("""COMPUTED_VALUE"""),"#N/A")</f>
        <v>#N/A</v>
      </c>
      <c r="D1754" s="30" t="str">
        <f ca="1">IFERROR(__xludf.DUMMYFUNCTION("""COMPUTED_VALUE"""),"#N/A")</f>
        <v>#N/A</v>
      </c>
      <c r="E1754" s="30" t="str">
        <f ca="1">IFERROR(__xludf.DUMMYFUNCTION("""COMPUTED_VALUE"""),"")</f>
        <v/>
      </c>
      <c r="F1754" s="29"/>
      <c r="G1754" s="30" t="str">
        <f ca="1">IFERROR(__xludf.DUMMYFUNCTION("""COMPUTED_VALUE"""),"50820632284540")</f>
        <v>50820632284540</v>
      </c>
      <c r="H1754" s="30" t="str">
        <f ca="1">IFERROR(__xludf.DUMMYFUNCTION("""COMPUTED_VALUE"""),"inactivo")</f>
        <v>inactivo</v>
      </c>
      <c r="I1754" s="30" t="str">
        <f ca="1">IFERROR(__xludf.DUMMYFUNCTION("""COMPUTED_VALUE"""),"Cerro segun la provincia, ratificacion 2020")</f>
        <v>Cerro segun la provincia, ratificacion 2020</v>
      </c>
      <c r="J1754" s="29"/>
      <c r="K1754" s="29"/>
      <c r="L1754" s="30" t="str">
        <f ca="1">IFERROR(__xludf.DUMMYFUNCTION("""COMPUTED_VALUE"""),"No")</f>
        <v>No</v>
      </c>
      <c r="M1754" s="30" t="str">
        <f ca="1">IFERROR(__xludf.DUMMYFUNCTION("""COMPUTED_VALUE"""),"#N/A")</f>
        <v>#N/A</v>
      </c>
      <c r="N1754" s="30" t="str">
        <f ca="1">IFERROR(__xludf.DUMMYFUNCTION("""COMPUTED_VALUE"""),"#N/A")</f>
        <v>#N/A</v>
      </c>
      <c r="O1754" s="30" t="str">
        <f ca="1">IFERROR(__xludf.DUMMYFUNCTION("""COMPUTED_VALUE"""),"#N/A")</f>
        <v>#N/A</v>
      </c>
      <c r="P1754" s="30" t="str">
        <f ca="1">IFERROR(__xludf.DUMMYFUNCTION("""COMPUTED_VALUE"""),"#N/A")</f>
        <v>#N/A</v>
      </c>
      <c r="Q1754" s="30" t="str">
        <f ca="1">IFERROR(__xludf.DUMMYFUNCTION("""COMPUTED_VALUE"""),"#N/A")</f>
        <v>#N/A</v>
      </c>
      <c r="R1754" s="30" t="str">
        <f ca="1">IFERROR(__xludf.DUMMYFUNCTION("""COMPUTED_VALUE"""),"#N/A")</f>
        <v>#N/A</v>
      </c>
      <c r="S1754" s="30" t="str">
        <f ca="1">IFERROR(__xludf.DUMMYFUNCTION("""COMPUTED_VALUE"""),"#N/A")</f>
        <v>#N/A</v>
      </c>
      <c r="T1754" s="30" t="str">
        <f ca="1">IFERROR(__xludf.DUMMYFUNCTION("""COMPUTED_VALUE"""),"-")</f>
        <v>-</v>
      </c>
    </row>
    <row r="1755" spans="1:20" ht="15.75" customHeight="1" x14ac:dyDescent="0.25">
      <c r="A1755" s="30" t="str">
        <f ca="1">IFERROR(__xludf.DUMMYFUNCTION("""COMPUTED_VALUE"""),"50820632184517")</f>
        <v>50820632184517</v>
      </c>
      <c r="B1755" s="30" t="str">
        <f ca="1">IFERROR(__xludf.DUMMYFUNCTION("""COMPUTED_VALUE"""),"CENTRO DE SALUD POLICLINICO BARRIO CENTENARIO")</f>
        <v>CENTRO DE SALUD POLICLINICO BARRIO CENTENARIO</v>
      </c>
      <c r="C1755" s="30" t="str">
        <f ca="1">IFERROR(__xludf.DUMMYFUNCTION("""COMPUTED_VALUE"""),"Santa Fe")</f>
        <v>Santa Fe</v>
      </c>
      <c r="D1755" s="30" t="str">
        <f ca="1">IFERROR(__xludf.DUMMYFUNCTION("""COMPUTED_VALUE"""),"82")</f>
        <v>82</v>
      </c>
      <c r="E1755" s="30" t="str">
        <f ca="1">IFERROR(__xludf.DUMMYFUNCTION("""COMPUTED_VALUE"""),"")</f>
        <v/>
      </c>
      <c r="F1755" s="29"/>
      <c r="G1755" s="29"/>
      <c r="H1755" s="30" t="str">
        <f ca="1">IFERROR(__xludf.DUMMYFUNCTION("""COMPUTED_VALUE"""),"activo")</f>
        <v>activo</v>
      </c>
      <c r="I1755" s="29"/>
      <c r="J1755" s="29"/>
      <c r="K1755" s="29"/>
      <c r="L1755" s="30" t="str">
        <f ca="1">IFERROR(__xludf.DUMMYFUNCTION("""COMPUTED_VALUE"""),"No")</f>
        <v>No</v>
      </c>
      <c r="M1755" s="30" t="str">
        <f ca="1">IFERROR(__xludf.DUMMYFUNCTION("""COMPUTED_VALUE"""),"82063170000")</f>
        <v>82063170000</v>
      </c>
      <c r="N1755" s="30" t="str">
        <f ca="1">IFERROR(__xludf.DUMMYFUNCTION("""COMPUTED_VALUE"""),"SANTA FE")</f>
        <v>SANTA FE</v>
      </c>
      <c r="O1755" s="30" t="str">
        <f ca="1">IFERROR(__xludf.DUMMYFUNCTION("""COMPUTED_VALUE"""),"8263")</f>
        <v>8263</v>
      </c>
      <c r="P1755" s="30" t="str">
        <f ca="1">IFERROR(__xludf.DUMMYFUNCTION("""COMPUTED_VALUE"""),"LA CAPITAL")</f>
        <v>LA CAPITAL</v>
      </c>
      <c r="Q1755" s="30" t="str">
        <f ca="1">IFERROR(__xludf.DUMMYFUNCTION("""COMPUTED_VALUE"""),"-31.66328035")</f>
        <v>-31.66328035</v>
      </c>
      <c r="R1755" s="30" t="str">
        <f ca="1">IFERROR(__xludf.DUMMYFUNCTION("""COMPUTED_VALUE"""),"-60.71940801")</f>
        <v>-60.71940801</v>
      </c>
      <c r="S1755" s="30" t="str">
        <f ca="1">IFERROR(__xludf.DUMMYFUNCTION("""COMPUTED_VALUE"""),"Provincial")</f>
        <v>Provincial</v>
      </c>
      <c r="T1755" s="30" t="str">
        <f ca="1">IFERROR(__xludf.DUMMYFUNCTION("""COMPUTED_VALUE"""),"-")</f>
        <v>-</v>
      </c>
    </row>
    <row r="1756" spans="1:20" ht="15.75" customHeight="1" x14ac:dyDescent="0.25">
      <c r="A1756" s="30" t="str">
        <f ca="1">IFERROR(__xludf.DUMMYFUNCTION("""COMPUTED_VALUE"""),"50820632184910")</f>
        <v>50820632184910</v>
      </c>
      <c r="B1756" s="30" t="str">
        <f ca="1">IFERROR(__xludf.DUMMYFUNCTION("""COMPUTED_VALUE"""),"CENTRO DE SALUD QUILMES")</f>
        <v>CENTRO DE SALUD QUILMES</v>
      </c>
      <c r="C1756" s="30" t="str">
        <f ca="1">IFERROR(__xludf.DUMMYFUNCTION("""COMPUTED_VALUE"""),"Santa Fe")</f>
        <v>Santa Fe</v>
      </c>
      <c r="D1756" s="30" t="str">
        <f ca="1">IFERROR(__xludf.DUMMYFUNCTION("""COMPUTED_VALUE"""),"82")</f>
        <v>82</v>
      </c>
      <c r="E1756" s="30" t="str">
        <f ca="1">IFERROR(__xludf.DUMMYFUNCTION("""COMPUTED_VALUE"""),"")</f>
        <v/>
      </c>
      <c r="F1756" s="29"/>
      <c r="G1756" s="29"/>
      <c r="H1756" s="30" t="str">
        <f ca="1">IFERROR(__xludf.DUMMYFUNCTION("""COMPUTED_VALUE"""),"activo")</f>
        <v>activo</v>
      </c>
      <c r="I1756" s="29"/>
      <c r="J1756" s="29"/>
      <c r="K1756" s="29"/>
      <c r="L1756" s="30" t="str">
        <f ca="1">IFERROR(__xludf.DUMMYFUNCTION("""COMPUTED_VALUE"""),"No")</f>
        <v>No</v>
      </c>
      <c r="M1756" s="30" t="str">
        <f ca="1">IFERROR(__xludf.DUMMYFUNCTION("""COMPUTED_VALUE"""),"82063170000")</f>
        <v>82063170000</v>
      </c>
      <c r="N1756" s="30" t="str">
        <f ca="1">IFERROR(__xludf.DUMMYFUNCTION("""COMPUTED_VALUE"""),"SANTA FE")</f>
        <v>SANTA FE</v>
      </c>
      <c r="O1756" s="30" t="str">
        <f ca="1">IFERROR(__xludf.DUMMYFUNCTION("""COMPUTED_VALUE"""),"8263")</f>
        <v>8263</v>
      </c>
      <c r="P1756" s="30" t="str">
        <f ca="1">IFERROR(__xludf.DUMMYFUNCTION("""COMPUTED_VALUE"""),"LA CAPITAL")</f>
        <v>LA CAPITAL</v>
      </c>
      <c r="Q1756" s="30" t="str">
        <f ca="1">IFERROR(__xludf.DUMMYFUNCTION("""COMPUTED_VALUE"""),"-31.6290336")</f>
        <v>-31.6290336</v>
      </c>
      <c r="R1756" s="30" t="str">
        <f ca="1">IFERROR(__xludf.DUMMYFUNCTION("""COMPUTED_VALUE"""),"-60.70975989")</f>
        <v>-60.70975989</v>
      </c>
      <c r="S1756" s="30" t="str">
        <f ca="1">IFERROR(__xludf.DUMMYFUNCTION("""COMPUTED_VALUE"""),"Provincial")</f>
        <v>Provincial</v>
      </c>
      <c r="T1756" s="30" t="str">
        <f ca="1">IFERROR(__xludf.DUMMYFUNCTION("""COMPUTED_VALUE"""),"-")</f>
        <v>-</v>
      </c>
    </row>
    <row r="1757" spans="1:20" ht="15.75" customHeight="1" x14ac:dyDescent="0.25">
      <c r="A1757" s="30" t="str">
        <f ca="1">IFERROR(__xludf.DUMMYFUNCTION("""COMPUTED_VALUE"""),"50820632188647")</f>
        <v>50820632188647</v>
      </c>
      <c r="B1757" s="30" t="str">
        <f ca="1">IFERROR(__xludf.DUMMYFUNCTION("""COMPUTED_VALUE"""),"CS CORONEL DORREGO")</f>
        <v>CS CORONEL DORREGO</v>
      </c>
      <c r="C1757" s="30" t="str">
        <f ca="1">IFERROR(__xludf.DUMMYFUNCTION("""COMPUTED_VALUE"""),"Santa Fe")</f>
        <v>Santa Fe</v>
      </c>
      <c r="D1757" s="30" t="str">
        <f ca="1">IFERROR(__xludf.DUMMYFUNCTION("""COMPUTED_VALUE"""),"82")</f>
        <v>82</v>
      </c>
      <c r="E1757" s="30" t="str">
        <f ca="1">IFERROR(__xludf.DUMMYFUNCTION("""COMPUTED_VALUE"""),"")</f>
        <v/>
      </c>
      <c r="F1757" s="30" t="str">
        <f ca="1">IFERROR(__xludf.DUMMYFUNCTION("""COMPUTED_VALUE"""),"50820632184522")</f>
        <v>50820632184522</v>
      </c>
      <c r="G1757" s="29"/>
      <c r="H1757" s="30" t="str">
        <f ca="1">IFERROR(__xludf.DUMMYFUNCTION("""COMPUTED_VALUE"""),"activo")</f>
        <v>activo</v>
      </c>
      <c r="I1757" s="30" t="str">
        <f ca="1">IFERROR(__xludf.DUMMYFUNCTION("""COMPUTED_VALUE"""),"nro sisa y nombre intercambiado en formulario AyB")</f>
        <v>nro sisa y nombre intercambiado en formulario AyB</v>
      </c>
      <c r="J1757" s="29"/>
      <c r="K1757" s="29"/>
      <c r="L1757" s="30" t="str">
        <f ca="1">IFERROR(__xludf.DUMMYFUNCTION("""COMPUTED_VALUE"""),"No")</f>
        <v>No</v>
      </c>
      <c r="M1757" s="30" t="str">
        <f ca="1">IFERROR(__xludf.DUMMYFUNCTION("""COMPUTED_VALUE"""),"82063170000")</f>
        <v>82063170000</v>
      </c>
      <c r="N1757" s="30" t="str">
        <f ca="1">IFERROR(__xludf.DUMMYFUNCTION("""COMPUTED_VALUE"""),"SANTA FE")</f>
        <v>SANTA FE</v>
      </c>
      <c r="O1757" s="30" t="str">
        <f ca="1">IFERROR(__xludf.DUMMYFUNCTION("""COMPUTED_VALUE"""),"8263")</f>
        <v>8263</v>
      </c>
      <c r="P1757" s="30" t="str">
        <f ca="1">IFERROR(__xludf.DUMMYFUNCTION("""COMPUTED_VALUE"""),"LA CAPITAL")</f>
        <v>LA CAPITAL</v>
      </c>
      <c r="Q1757" s="30"/>
      <c r="R1757" s="30"/>
      <c r="S1757" s="30" t="str">
        <f ca="1">IFERROR(__xludf.DUMMYFUNCTION("""COMPUTED_VALUE"""),"Provincial")</f>
        <v>Provincial</v>
      </c>
      <c r="T1757" s="30" t="str">
        <f ca="1">IFERROR(__xludf.DUMMYFUNCTION("""COMPUTED_VALUE"""),"-")</f>
        <v>-</v>
      </c>
    </row>
    <row r="1758" spans="1:20" ht="15.75" customHeight="1" x14ac:dyDescent="0.25">
      <c r="A1758" s="30" t="str">
        <f ca="1">IFERROR(__xludf.DUMMYFUNCTION("""COMPUTED_VALUE"""),"50820632184522")</f>
        <v>50820632184522</v>
      </c>
      <c r="B1758" s="30" t="str">
        <f ca="1">IFERROR(__xludf.DUMMYFUNCTION("""COMPUTED_VALUE"""),"SAMCO BARRIO EL POZO")</f>
        <v>SAMCO BARRIO EL POZO</v>
      </c>
      <c r="C1758" s="30" t="str">
        <f ca="1">IFERROR(__xludf.DUMMYFUNCTION("""COMPUTED_VALUE"""),"Santa Fe")</f>
        <v>Santa Fe</v>
      </c>
      <c r="D1758" s="30" t="str">
        <f ca="1">IFERROR(__xludf.DUMMYFUNCTION("""COMPUTED_VALUE"""),"82")</f>
        <v>82</v>
      </c>
      <c r="E1758" s="30" t="str">
        <f ca="1">IFERROR(__xludf.DUMMYFUNCTION("""COMPUTED_VALUE"""),"")</f>
        <v/>
      </c>
      <c r="F1758" s="29"/>
      <c r="G1758" s="30" t="str">
        <f ca="1">IFERROR(__xludf.DUMMYFUNCTION("""COMPUTED_VALUE"""),"50820632188647")</f>
        <v>50820632188647</v>
      </c>
      <c r="H1758" s="30" t="str">
        <f ca="1">IFERROR(__xludf.DUMMYFUNCTION("""COMPUTED_VALUE"""),"inactivo")</f>
        <v>inactivo</v>
      </c>
      <c r="I1758" s="29"/>
      <c r="J1758" s="29"/>
      <c r="K1758" s="29"/>
      <c r="L1758" s="30" t="str">
        <f ca="1">IFERROR(__xludf.DUMMYFUNCTION("""COMPUTED_VALUE"""),"No")</f>
        <v>No</v>
      </c>
      <c r="M1758" s="30" t="str">
        <f ca="1">IFERROR(__xludf.DUMMYFUNCTION("""COMPUTED_VALUE"""),"82063170000")</f>
        <v>82063170000</v>
      </c>
      <c r="N1758" s="30" t="str">
        <f ca="1">IFERROR(__xludf.DUMMYFUNCTION("""COMPUTED_VALUE"""),"SANTA FE")</f>
        <v>SANTA FE</v>
      </c>
      <c r="O1758" s="30" t="str">
        <f ca="1">IFERROR(__xludf.DUMMYFUNCTION("""COMPUTED_VALUE"""),"8263")</f>
        <v>8263</v>
      </c>
      <c r="P1758" s="30" t="str">
        <f ca="1">IFERROR(__xludf.DUMMYFUNCTION("""COMPUTED_VALUE"""),"LA CAPITAL")</f>
        <v>LA CAPITAL</v>
      </c>
      <c r="Q1758" s="30" t="str">
        <f ca="1">IFERROR(__xludf.DUMMYFUNCTION("""COMPUTED_VALUE"""),"-31.63556617")</f>
        <v>-31.63556617</v>
      </c>
      <c r="R1758" s="30" t="str">
        <f ca="1">IFERROR(__xludf.DUMMYFUNCTION("""COMPUTED_VALUE"""),"-60.65932631")</f>
        <v>-60.65932631</v>
      </c>
      <c r="S1758" s="30" t="str">
        <f ca="1">IFERROR(__xludf.DUMMYFUNCTION("""COMPUTED_VALUE"""),"Provincial")</f>
        <v>Provincial</v>
      </c>
      <c r="T1758" s="30" t="str">
        <f ca="1">IFERROR(__xludf.DUMMYFUNCTION("""COMPUTED_VALUE"""),"-")</f>
        <v>-</v>
      </c>
    </row>
    <row r="1759" spans="1:20" ht="15.75" customHeight="1" x14ac:dyDescent="0.25">
      <c r="A1759" s="30" t="str">
        <f ca="1">IFERROR(__xludf.DUMMYFUNCTION("""COMPUTED_VALUE"""),"50820632184538")</f>
        <v>50820632184538</v>
      </c>
      <c r="B1759" s="30" t="str">
        <f ca="1">IFERROR(__xludf.DUMMYFUNCTION("""COMPUTED_VALUE"""),"CENTRO DE SALUD BARRIO MENDOZA OESTE")</f>
        <v>CENTRO DE SALUD BARRIO MENDOZA OESTE</v>
      </c>
      <c r="C1759" s="30" t="str">
        <f ca="1">IFERROR(__xludf.DUMMYFUNCTION("""COMPUTED_VALUE"""),"Santa Fe")</f>
        <v>Santa Fe</v>
      </c>
      <c r="D1759" s="30" t="str">
        <f ca="1">IFERROR(__xludf.DUMMYFUNCTION("""COMPUTED_VALUE"""),"82")</f>
        <v>82</v>
      </c>
      <c r="E1759" s="30" t="str">
        <f ca="1">IFERROR(__xludf.DUMMYFUNCTION("""COMPUTED_VALUE"""),"")</f>
        <v/>
      </c>
      <c r="F1759" s="29"/>
      <c r="G1759" s="29"/>
      <c r="H1759" s="30" t="str">
        <f ca="1">IFERROR(__xludf.DUMMYFUNCTION("""COMPUTED_VALUE"""),"activo")</f>
        <v>activo</v>
      </c>
      <c r="I1759" s="29"/>
      <c r="J1759" s="29"/>
      <c r="K1759" s="29"/>
      <c r="L1759" s="30" t="str">
        <f ca="1">IFERROR(__xludf.DUMMYFUNCTION("""COMPUTED_VALUE"""),"No")</f>
        <v>No</v>
      </c>
      <c r="M1759" s="30" t="str">
        <f ca="1">IFERROR(__xludf.DUMMYFUNCTION("""COMPUTED_VALUE"""),"82063170000")</f>
        <v>82063170000</v>
      </c>
      <c r="N1759" s="30" t="str">
        <f ca="1">IFERROR(__xludf.DUMMYFUNCTION("""COMPUTED_VALUE"""),"SANTA FE")</f>
        <v>SANTA FE</v>
      </c>
      <c r="O1759" s="30" t="str">
        <f ca="1">IFERROR(__xludf.DUMMYFUNCTION("""COMPUTED_VALUE"""),"8263")</f>
        <v>8263</v>
      </c>
      <c r="P1759" s="30" t="str">
        <f ca="1">IFERROR(__xludf.DUMMYFUNCTION("""COMPUTED_VALUE"""),"LA CAPITAL")</f>
        <v>LA CAPITAL</v>
      </c>
      <c r="Q1759" s="30" t="str">
        <f ca="1">IFERROR(__xludf.DUMMYFUNCTION("""COMPUTED_VALUE"""),"-31.6428189")</f>
        <v>-31.6428189</v>
      </c>
      <c r="R1759" s="30" t="str">
        <f ca="1">IFERROR(__xludf.DUMMYFUNCTION("""COMPUTED_VALUE"""),"-60.7322032")</f>
        <v>-60.7322032</v>
      </c>
      <c r="S1759" s="30" t="str">
        <f ca="1">IFERROR(__xludf.DUMMYFUNCTION("""COMPUTED_VALUE"""),"Provincial")</f>
        <v>Provincial</v>
      </c>
      <c r="T1759" s="30" t="str">
        <f ca="1">IFERROR(__xludf.DUMMYFUNCTION("""COMPUTED_VALUE"""),"-")</f>
        <v>-</v>
      </c>
    </row>
    <row r="1760" spans="1:20" ht="15.75" customHeight="1" x14ac:dyDescent="0.25">
      <c r="A1760" s="30" t="str">
        <f ca="1">IFERROR(__xludf.DUMMYFUNCTION("""COMPUTED_VALUE"""),"50820632185351")</f>
        <v>50820632185351</v>
      </c>
      <c r="B1760" s="30" t="str">
        <f ca="1">IFERROR(__xludf.DUMMYFUNCTION("""COMPUTED_VALUE"""),"CENTRO DE SALUD POLICLINICO VECINAL")</f>
        <v>CENTRO DE SALUD POLICLINICO VECINAL</v>
      </c>
      <c r="C1760" s="30" t="str">
        <f ca="1">IFERROR(__xludf.DUMMYFUNCTION("""COMPUTED_VALUE"""),"Santa Fe")</f>
        <v>Santa Fe</v>
      </c>
      <c r="D1760" s="30" t="str">
        <f ca="1">IFERROR(__xludf.DUMMYFUNCTION("""COMPUTED_VALUE"""),"82")</f>
        <v>82</v>
      </c>
      <c r="E1760" s="30" t="str">
        <f ca="1">IFERROR(__xludf.DUMMYFUNCTION("""COMPUTED_VALUE"""),"")</f>
        <v/>
      </c>
      <c r="F1760" s="29"/>
      <c r="G1760" s="29"/>
      <c r="H1760" s="30" t="str">
        <f ca="1">IFERROR(__xludf.DUMMYFUNCTION("""COMPUTED_VALUE"""),"activo")</f>
        <v>activo</v>
      </c>
      <c r="I1760" s="29"/>
      <c r="J1760" s="29"/>
      <c r="K1760" s="29"/>
      <c r="L1760" s="30" t="str">
        <f ca="1">IFERROR(__xludf.DUMMYFUNCTION("""COMPUTED_VALUE"""),"No")</f>
        <v>No</v>
      </c>
      <c r="M1760" s="30" t="str">
        <f ca="1">IFERROR(__xludf.DUMMYFUNCTION("""COMPUTED_VALUE"""),"82063170000")</f>
        <v>82063170000</v>
      </c>
      <c r="N1760" s="30" t="str">
        <f ca="1">IFERROR(__xludf.DUMMYFUNCTION("""COMPUTED_VALUE"""),"SANTA FE")</f>
        <v>SANTA FE</v>
      </c>
      <c r="O1760" s="30" t="str">
        <f ca="1">IFERROR(__xludf.DUMMYFUNCTION("""COMPUTED_VALUE"""),"8263")</f>
        <v>8263</v>
      </c>
      <c r="P1760" s="30" t="str">
        <f ca="1">IFERROR(__xludf.DUMMYFUNCTION("""COMPUTED_VALUE"""),"LA CAPITAL")</f>
        <v>LA CAPITAL</v>
      </c>
      <c r="Q1760" s="30" t="str">
        <f ca="1">IFERROR(__xludf.DUMMYFUNCTION("""COMPUTED_VALUE"""),"-31.6190725")</f>
        <v>-31.6190725</v>
      </c>
      <c r="R1760" s="30" t="str">
        <f ca="1">IFERROR(__xludf.DUMMYFUNCTION("""COMPUTED_VALUE"""),"-60.6940954")</f>
        <v>-60.6940954</v>
      </c>
      <c r="S1760" s="30" t="str">
        <f ca="1">IFERROR(__xludf.DUMMYFUNCTION("""COMPUTED_VALUE"""),"Provincial")</f>
        <v>Provincial</v>
      </c>
      <c r="T1760" s="30" t="str">
        <f ca="1">IFERROR(__xludf.DUMMYFUNCTION("""COMPUTED_VALUE"""),"-")</f>
        <v>-</v>
      </c>
    </row>
    <row r="1761" spans="1:20" ht="15.75" customHeight="1" x14ac:dyDescent="0.25">
      <c r="A1761" s="30" t="str">
        <f ca="1">IFERROR(__xludf.DUMMYFUNCTION("""COMPUTED_VALUE"""),"50820632184510")</f>
        <v>50820632184510</v>
      </c>
      <c r="B1761" s="30" t="str">
        <f ca="1">IFERROR(__xludf.DUMMYFUNCTION("""COMPUTED_VALUE"""),"CENTRO DE SALUD BARRIO BARRANQUITAS OESTE")</f>
        <v>CENTRO DE SALUD BARRIO BARRANQUITAS OESTE</v>
      </c>
      <c r="C1761" s="30" t="str">
        <f ca="1">IFERROR(__xludf.DUMMYFUNCTION("""COMPUTED_VALUE"""),"Santa Fe")</f>
        <v>Santa Fe</v>
      </c>
      <c r="D1761" s="30" t="str">
        <f ca="1">IFERROR(__xludf.DUMMYFUNCTION("""COMPUTED_VALUE"""),"82")</f>
        <v>82</v>
      </c>
      <c r="E1761" s="30" t="str">
        <f ca="1">IFERROR(__xludf.DUMMYFUNCTION("""COMPUTED_VALUE"""),"")</f>
        <v/>
      </c>
      <c r="F1761" s="29"/>
      <c r="G1761" s="29"/>
      <c r="H1761" s="30" t="str">
        <f ca="1">IFERROR(__xludf.DUMMYFUNCTION("""COMPUTED_VALUE"""),"activo")</f>
        <v>activo</v>
      </c>
      <c r="I1761" s="29"/>
      <c r="J1761" s="29"/>
      <c r="K1761" s="29"/>
      <c r="L1761" s="30" t="str">
        <f ca="1">IFERROR(__xludf.DUMMYFUNCTION("""COMPUTED_VALUE"""),"No")</f>
        <v>No</v>
      </c>
      <c r="M1761" s="30" t="str">
        <f ca="1">IFERROR(__xludf.DUMMYFUNCTION("""COMPUTED_VALUE"""),"82063170000")</f>
        <v>82063170000</v>
      </c>
      <c r="N1761" s="30" t="str">
        <f ca="1">IFERROR(__xludf.DUMMYFUNCTION("""COMPUTED_VALUE"""),"SANTA FE")</f>
        <v>SANTA FE</v>
      </c>
      <c r="O1761" s="30" t="str">
        <f ca="1">IFERROR(__xludf.DUMMYFUNCTION("""COMPUTED_VALUE"""),"8263")</f>
        <v>8263</v>
      </c>
      <c r="P1761" s="30" t="str">
        <f ca="1">IFERROR(__xludf.DUMMYFUNCTION("""COMPUTED_VALUE"""),"LA CAPITAL")</f>
        <v>LA CAPITAL</v>
      </c>
      <c r="Q1761" s="30" t="str">
        <f ca="1">IFERROR(__xludf.DUMMYFUNCTION("""COMPUTED_VALUE"""),"-31.62042626")</f>
        <v>-31.62042626</v>
      </c>
      <c r="R1761" s="30" t="str">
        <f ca="1">IFERROR(__xludf.DUMMYFUNCTION("""COMPUTED_VALUE"""),"-60.71980047")</f>
        <v>-60.71980047</v>
      </c>
      <c r="S1761" s="30" t="str">
        <f ca="1">IFERROR(__xludf.DUMMYFUNCTION("""COMPUTED_VALUE"""),"Provincial")</f>
        <v>Provincial</v>
      </c>
      <c r="T1761" s="30" t="str">
        <f ca="1">IFERROR(__xludf.DUMMYFUNCTION("""COMPUTED_VALUE"""),"-")</f>
        <v>-</v>
      </c>
    </row>
    <row r="1762" spans="1:20" ht="15.75" customHeight="1" x14ac:dyDescent="0.25">
      <c r="A1762" s="30" t="str">
        <f ca="1">IFERROR(__xludf.DUMMYFUNCTION("""COMPUTED_VALUE"""),"50820632286170")</f>
        <v>50820632286170</v>
      </c>
      <c r="B1762" s="30" t="str">
        <f ca="1">IFERROR(__xludf.DUMMYFUNCTION("""COMPUTED_VALUE"""),"CS  SAN MARTIN DE PORRES")</f>
        <v>CS  SAN MARTIN DE PORRES</v>
      </c>
      <c r="C1762" s="30" t="str">
        <f ca="1">IFERROR(__xludf.DUMMYFUNCTION("""COMPUTED_VALUE"""),"Santa Fe")</f>
        <v>Santa Fe</v>
      </c>
      <c r="D1762" s="30" t="str">
        <f ca="1">IFERROR(__xludf.DUMMYFUNCTION("""COMPUTED_VALUE"""),"82")</f>
        <v>82</v>
      </c>
      <c r="E1762" s="30" t="str">
        <f ca="1">IFERROR(__xludf.DUMMYFUNCTION("""COMPUTED_VALUE"""),"")</f>
        <v/>
      </c>
      <c r="F1762" s="29"/>
      <c r="G1762" s="29"/>
      <c r="H1762" s="30" t="str">
        <f ca="1">IFERROR(__xludf.DUMMYFUNCTION("""COMPUTED_VALUE"""),"activo")</f>
        <v>activo</v>
      </c>
      <c r="I1762" s="29"/>
      <c r="J1762" s="29"/>
      <c r="K1762" s="29"/>
      <c r="L1762" s="30" t="str">
        <f ca="1">IFERROR(__xludf.DUMMYFUNCTION("""COMPUTED_VALUE"""),"No")</f>
        <v>No</v>
      </c>
      <c r="M1762" s="30" t="str">
        <f ca="1">IFERROR(__xludf.DUMMYFUNCTION("""COMPUTED_VALUE"""),"82063170000")</f>
        <v>82063170000</v>
      </c>
      <c r="N1762" s="30" t="str">
        <f ca="1">IFERROR(__xludf.DUMMYFUNCTION("""COMPUTED_VALUE"""),"SANTA FE")</f>
        <v>SANTA FE</v>
      </c>
      <c r="O1762" s="30" t="str">
        <f ca="1">IFERROR(__xludf.DUMMYFUNCTION("""COMPUTED_VALUE"""),"8263")</f>
        <v>8263</v>
      </c>
      <c r="P1762" s="30" t="str">
        <f ca="1">IFERROR(__xludf.DUMMYFUNCTION("""COMPUTED_VALUE"""),"LA CAPITAL")</f>
        <v>LA CAPITAL</v>
      </c>
      <c r="Q1762" s="30" t="str">
        <f ca="1">IFERROR(__xludf.DUMMYFUNCTION("""COMPUTED_VALUE"""),"-31.59277583")</f>
        <v>-31.59277583</v>
      </c>
      <c r="R1762" s="30" t="str">
        <f ca="1">IFERROR(__xludf.DUMMYFUNCTION("""COMPUTED_VALUE"""),"-60.6989935")</f>
        <v>-60.6989935</v>
      </c>
      <c r="S1762" s="30" t="str">
        <f ca="1">IFERROR(__xludf.DUMMYFUNCTION("""COMPUTED_VALUE"""),"Municipal")</f>
        <v>Municipal</v>
      </c>
      <c r="T1762" s="29"/>
    </row>
    <row r="1763" spans="1:20" ht="15.75" customHeight="1" x14ac:dyDescent="0.25">
      <c r="A1763" s="30" t="str">
        <f ca="1">IFERROR(__xludf.DUMMYFUNCTION("""COMPUTED_VALUE"""),"50820632184881")</f>
        <v>50820632184881</v>
      </c>
      <c r="B1763" s="30" t="str">
        <f ca="1">IFERROR(__xludf.DUMMYFUNCTION("""COMPUTED_VALUE"""),"CENTRO DE SALUD PADRE COBOS")</f>
        <v>CENTRO DE SALUD PADRE COBOS</v>
      </c>
      <c r="C1763" s="30" t="str">
        <f ca="1">IFERROR(__xludf.DUMMYFUNCTION("""COMPUTED_VALUE"""),"Santa Fe")</f>
        <v>Santa Fe</v>
      </c>
      <c r="D1763" s="30" t="str">
        <f ca="1">IFERROR(__xludf.DUMMYFUNCTION("""COMPUTED_VALUE"""),"82")</f>
        <v>82</v>
      </c>
      <c r="E1763" s="30" t="str">
        <f ca="1">IFERROR(__xludf.DUMMYFUNCTION("""COMPUTED_VALUE"""),"")</f>
        <v/>
      </c>
      <c r="F1763" s="29"/>
      <c r="G1763" s="29"/>
      <c r="H1763" s="30" t="str">
        <f ca="1">IFERROR(__xludf.DUMMYFUNCTION("""COMPUTED_VALUE"""),"activo")</f>
        <v>activo</v>
      </c>
      <c r="I1763" s="29"/>
      <c r="J1763" s="29"/>
      <c r="K1763" s="29"/>
      <c r="L1763" s="30" t="str">
        <f ca="1">IFERROR(__xludf.DUMMYFUNCTION("""COMPUTED_VALUE"""),"No")</f>
        <v>No</v>
      </c>
      <c r="M1763" s="30" t="str">
        <f ca="1">IFERROR(__xludf.DUMMYFUNCTION("""COMPUTED_VALUE"""),"82063170000")</f>
        <v>82063170000</v>
      </c>
      <c r="N1763" s="30" t="str">
        <f ca="1">IFERROR(__xludf.DUMMYFUNCTION("""COMPUTED_VALUE"""),"SANTA FE")</f>
        <v>SANTA FE</v>
      </c>
      <c r="O1763" s="30" t="str">
        <f ca="1">IFERROR(__xludf.DUMMYFUNCTION("""COMPUTED_VALUE"""),"8263")</f>
        <v>8263</v>
      </c>
      <c r="P1763" s="30" t="str">
        <f ca="1">IFERROR(__xludf.DUMMYFUNCTION("""COMPUTED_VALUE"""),"LA CAPITAL")</f>
        <v>LA CAPITAL</v>
      </c>
      <c r="Q1763" s="30" t="str">
        <f ca="1">IFERROR(__xludf.DUMMYFUNCTION("""COMPUTED_VALUE"""),"-31.60745264")</f>
        <v>-31.60745264</v>
      </c>
      <c r="R1763" s="30" t="str">
        <f ca="1">IFERROR(__xludf.DUMMYFUNCTION("""COMPUTED_VALUE"""),"-60.71260035")</f>
        <v>-60.71260035</v>
      </c>
      <c r="S1763" s="30" t="str">
        <f ca="1">IFERROR(__xludf.DUMMYFUNCTION("""COMPUTED_VALUE"""),"Provincial")</f>
        <v>Provincial</v>
      </c>
      <c r="T1763" s="30" t="str">
        <f ca="1">IFERROR(__xludf.DUMMYFUNCTION("""COMPUTED_VALUE"""),"-")</f>
        <v>-</v>
      </c>
    </row>
    <row r="1764" spans="1:20" ht="15.75" customHeight="1" x14ac:dyDescent="0.25">
      <c r="A1764" s="30" t="str">
        <f ca="1">IFERROR(__xludf.DUMMYFUNCTION("""COMPUTED_VALUE"""),"50820632185970")</f>
        <v>50820632185970</v>
      </c>
      <c r="B1764" s="30" t="str">
        <f ca="1">IFERROR(__xludf.DUMMYFUNCTION("""COMPUTED_VALUE"""),"CTRO DE SALUD SARMIENTO JUVENTUD UNIDAD DEL NORTE DR GUSTAVO D ASCENZO")</f>
        <v>CTRO DE SALUD SARMIENTO JUVENTUD UNIDAD DEL NORTE DR GUSTAVO D ASCENZO</v>
      </c>
      <c r="C1764" s="30" t="str">
        <f ca="1">IFERROR(__xludf.DUMMYFUNCTION("""COMPUTED_VALUE"""),"Santa Fe")</f>
        <v>Santa Fe</v>
      </c>
      <c r="D1764" s="30" t="str">
        <f ca="1">IFERROR(__xludf.DUMMYFUNCTION("""COMPUTED_VALUE"""),"82")</f>
        <v>82</v>
      </c>
      <c r="E1764" s="30" t="str">
        <f ca="1">IFERROR(__xludf.DUMMYFUNCTION("""COMPUTED_VALUE"""),"")</f>
        <v/>
      </c>
      <c r="F1764" s="29"/>
      <c r="G1764" s="29"/>
      <c r="H1764" s="30" t="str">
        <f ca="1">IFERROR(__xludf.DUMMYFUNCTION("""COMPUTED_VALUE"""),"activo")</f>
        <v>activo</v>
      </c>
      <c r="I1764" s="29"/>
      <c r="J1764" s="29"/>
      <c r="K1764" s="29"/>
      <c r="L1764" s="30" t="str">
        <f ca="1">IFERROR(__xludf.DUMMYFUNCTION("""COMPUTED_VALUE"""),"No")</f>
        <v>No</v>
      </c>
      <c r="M1764" s="30" t="str">
        <f ca="1">IFERROR(__xludf.DUMMYFUNCTION("""COMPUTED_VALUE"""),"82063170000")</f>
        <v>82063170000</v>
      </c>
      <c r="N1764" s="30" t="str">
        <f ca="1">IFERROR(__xludf.DUMMYFUNCTION("""COMPUTED_VALUE"""),"SANTA FE")</f>
        <v>SANTA FE</v>
      </c>
      <c r="O1764" s="30" t="str">
        <f ca="1">IFERROR(__xludf.DUMMYFUNCTION("""COMPUTED_VALUE"""),"8263")</f>
        <v>8263</v>
      </c>
      <c r="P1764" s="30" t="str">
        <f ca="1">IFERROR(__xludf.DUMMYFUNCTION("""COMPUTED_VALUE"""),"LA CAPITAL")</f>
        <v>LA CAPITAL</v>
      </c>
      <c r="Q1764" s="30" t="str">
        <f ca="1">IFERROR(__xludf.DUMMYFUNCTION("""COMPUTED_VALUE"""),"-31.5751474")</f>
        <v>-31.5751474</v>
      </c>
      <c r="R1764" s="30" t="str">
        <f ca="1">IFERROR(__xludf.DUMMYFUNCTION("""COMPUTED_VALUE"""),"-60.7259618")</f>
        <v>-60.7259618</v>
      </c>
      <c r="S1764" s="30" t="str">
        <f ca="1">IFERROR(__xludf.DUMMYFUNCTION("""COMPUTED_VALUE"""),"Provincial")</f>
        <v>Provincial</v>
      </c>
      <c r="T1764" s="30" t="str">
        <f ca="1">IFERROR(__xludf.DUMMYFUNCTION("""COMPUTED_VALUE"""),"-")</f>
        <v>-</v>
      </c>
    </row>
    <row r="1765" spans="1:20" ht="15.75" customHeight="1" x14ac:dyDescent="0.25">
      <c r="A1765" s="30" t="str">
        <f ca="1">IFERROR(__xludf.DUMMYFUNCTION("""COMPUTED_VALUE"""),"50820632184870")</f>
        <v>50820632184870</v>
      </c>
      <c r="B1765" s="30" t="str">
        <f ca="1">IFERROR(__xludf.DUMMYFUNCTION("""COMPUTED_VALUE"""),"CENTRO DE SALUD N° 9 BARRIO NUEVA POMPEYA")</f>
        <v>CENTRO DE SALUD N° 9 BARRIO NUEVA POMPEYA</v>
      </c>
      <c r="C1765" s="30" t="str">
        <f ca="1">IFERROR(__xludf.DUMMYFUNCTION("""COMPUTED_VALUE"""),"Santa Fe")</f>
        <v>Santa Fe</v>
      </c>
      <c r="D1765" s="30" t="str">
        <f ca="1">IFERROR(__xludf.DUMMYFUNCTION("""COMPUTED_VALUE"""),"82")</f>
        <v>82</v>
      </c>
      <c r="E1765" s="30" t="str">
        <f ca="1">IFERROR(__xludf.DUMMYFUNCTION("""COMPUTED_VALUE"""),"")</f>
        <v/>
      </c>
      <c r="F1765" s="29"/>
      <c r="G1765" s="29"/>
      <c r="H1765" s="30" t="str">
        <f ca="1">IFERROR(__xludf.DUMMYFUNCTION("""COMPUTED_VALUE"""),"activo")</f>
        <v>activo</v>
      </c>
      <c r="I1765" s="29"/>
      <c r="J1765" s="29"/>
      <c r="K1765" s="29"/>
      <c r="L1765" s="30" t="str">
        <f ca="1">IFERROR(__xludf.DUMMYFUNCTION("""COMPUTED_VALUE"""),"No")</f>
        <v>No</v>
      </c>
      <c r="M1765" s="30" t="str">
        <f ca="1">IFERROR(__xludf.DUMMYFUNCTION("""COMPUTED_VALUE"""),"82063170000")</f>
        <v>82063170000</v>
      </c>
      <c r="N1765" s="30" t="str">
        <f ca="1">IFERROR(__xludf.DUMMYFUNCTION("""COMPUTED_VALUE"""),"SANTA FE")</f>
        <v>SANTA FE</v>
      </c>
      <c r="O1765" s="30" t="str">
        <f ca="1">IFERROR(__xludf.DUMMYFUNCTION("""COMPUTED_VALUE"""),"8263")</f>
        <v>8263</v>
      </c>
      <c r="P1765" s="30" t="str">
        <f ca="1">IFERROR(__xludf.DUMMYFUNCTION("""COMPUTED_VALUE"""),"LA CAPITAL")</f>
        <v>LA CAPITAL</v>
      </c>
      <c r="Q1765" s="30" t="str">
        <f ca="1">IFERROR(__xludf.DUMMYFUNCTION("""COMPUTED_VALUE"""),"-31.5876212")</f>
        <v>-31.5876212</v>
      </c>
      <c r="R1765" s="30" t="str">
        <f ca="1">IFERROR(__xludf.DUMMYFUNCTION("""COMPUTED_VALUE"""),"-60.71175599")</f>
        <v>-60.71175599</v>
      </c>
      <c r="S1765" s="30" t="str">
        <f ca="1">IFERROR(__xludf.DUMMYFUNCTION("""COMPUTED_VALUE"""),"Provincial")</f>
        <v>Provincial</v>
      </c>
      <c r="T1765" s="30" t="str">
        <f ca="1">IFERROR(__xludf.DUMMYFUNCTION("""COMPUTED_VALUE"""),"-")</f>
        <v>-</v>
      </c>
    </row>
    <row r="1766" spans="1:20" ht="15.75" customHeight="1" x14ac:dyDescent="0.25">
      <c r="A1766" s="30" t="str">
        <f ca="1">IFERROR(__xludf.DUMMYFUNCTION("""COMPUTED_VALUE"""),"50820632184636")</f>
        <v>50820632184636</v>
      </c>
      <c r="B1766" s="30" t="str">
        <f ca="1">IFERROR(__xludf.DUMMYFUNCTION("""COMPUTED_VALUE"""),"CENTRO DE SALUD CRISTO OBRERO")</f>
        <v>CENTRO DE SALUD CRISTO OBRERO</v>
      </c>
      <c r="C1766" s="30" t="str">
        <f ca="1">IFERROR(__xludf.DUMMYFUNCTION("""COMPUTED_VALUE"""),"Santa Fe")</f>
        <v>Santa Fe</v>
      </c>
      <c r="D1766" s="30" t="str">
        <f ca="1">IFERROR(__xludf.DUMMYFUNCTION("""COMPUTED_VALUE"""),"82")</f>
        <v>82</v>
      </c>
      <c r="E1766" s="30" t="str">
        <f ca="1">IFERROR(__xludf.DUMMYFUNCTION("""COMPUTED_VALUE"""),"")</f>
        <v/>
      </c>
      <c r="F1766" s="29"/>
      <c r="G1766" s="29"/>
      <c r="H1766" s="30" t="str">
        <f ca="1">IFERROR(__xludf.DUMMYFUNCTION("""COMPUTED_VALUE"""),"activo")</f>
        <v>activo</v>
      </c>
      <c r="I1766" s="29"/>
      <c r="J1766" s="29"/>
      <c r="K1766" s="29"/>
      <c r="L1766" s="30" t="str">
        <f ca="1">IFERROR(__xludf.DUMMYFUNCTION("""COMPUTED_VALUE"""),"No")</f>
        <v>No</v>
      </c>
      <c r="M1766" s="30" t="str">
        <f ca="1">IFERROR(__xludf.DUMMYFUNCTION("""COMPUTED_VALUE"""),"82063170000")</f>
        <v>82063170000</v>
      </c>
      <c r="N1766" s="30" t="str">
        <f ca="1">IFERROR(__xludf.DUMMYFUNCTION("""COMPUTED_VALUE"""),"SANTA FE")</f>
        <v>SANTA FE</v>
      </c>
      <c r="O1766" s="30" t="str">
        <f ca="1">IFERROR(__xludf.DUMMYFUNCTION("""COMPUTED_VALUE"""),"8263")</f>
        <v>8263</v>
      </c>
      <c r="P1766" s="30" t="str">
        <f ca="1">IFERROR(__xludf.DUMMYFUNCTION("""COMPUTED_VALUE"""),"LA CAPITAL")</f>
        <v>LA CAPITAL</v>
      </c>
      <c r="Q1766" s="30" t="str">
        <f ca="1">IFERROR(__xludf.DUMMYFUNCTION("""COMPUTED_VALUE"""),"-31.63177647")</f>
        <v>-31.63177647</v>
      </c>
      <c r="R1766" s="30" t="str">
        <f ca="1">IFERROR(__xludf.DUMMYFUNCTION("""COMPUTED_VALUE"""),"-60.72259059")</f>
        <v>-60.72259059</v>
      </c>
      <c r="S1766" s="30" t="str">
        <f ca="1">IFERROR(__xludf.DUMMYFUNCTION("""COMPUTED_VALUE"""),"Provincial")</f>
        <v>Provincial</v>
      </c>
      <c r="T1766" s="30" t="str">
        <f ca="1">IFERROR(__xludf.DUMMYFUNCTION("""COMPUTED_VALUE"""),"-")</f>
        <v>-</v>
      </c>
    </row>
    <row r="1767" spans="1:20" ht="15.75" customHeight="1" x14ac:dyDescent="0.25">
      <c r="A1767" s="30" t="str">
        <f ca="1">IFERROR(__xludf.DUMMYFUNCTION("""COMPUTED_VALUE"""),"50820632184882")</f>
        <v>50820632184882</v>
      </c>
      <c r="B1767" s="30" t="str">
        <f ca="1">IFERROR(__xludf.DUMMYFUNCTION("""COMPUTED_VALUE"""),"CENTRO DE SALUD ORATORIO SAN LORENZO PADRE GASPAROTTO")</f>
        <v>CENTRO DE SALUD ORATORIO SAN LORENZO PADRE GASPAROTTO</v>
      </c>
      <c r="C1767" s="30" t="str">
        <f ca="1">IFERROR(__xludf.DUMMYFUNCTION("""COMPUTED_VALUE"""),"Santa Fe")</f>
        <v>Santa Fe</v>
      </c>
      <c r="D1767" s="30" t="str">
        <f ca="1">IFERROR(__xludf.DUMMYFUNCTION("""COMPUTED_VALUE"""),"82")</f>
        <v>82</v>
      </c>
      <c r="E1767" s="30" t="str">
        <f ca="1">IFERROR(__xludf.DUMMYFUNCTION("""COMPUTED_VALUE"""),"")</f>
        <v/>
      </c>
      <c r="F1767" s="29"/>
      <c r="G1767" s="29"/>
      <c r="H1767" s="30" t="str">
        <f ca="1">IFERROR(__xludf.DUMMYFUNCTION("""COMPUTED_VALUE"""),"activo")</f>
        <v>activo</v>
      </c>
      <c r="I1767" s="29"/>
      <c r="J1767" s="29"/>
      <c r="K1767" s="29"/>
      <c r="L1767" s="30" t="str">
        <f ca="1">IFERROR(__xludf.DUMMYFUNCTION("""COMPUTED_VALUE"""),"No")</f>
        <v>No</v>
      </c>
      <c r="M1767" s="30" t="str">
        <f ca="1">IFERROR(__xludf.DUMMYFUNCTION("""COMPUTED_VALUE"""),"82063170000")</f>
        <v>82063170000</v>
      </c>
      <c r="N1767" s="30" t="str">
        <f ca="1">IFERROR(__xludf.DUMMYFUNCTION("""COMPUTED_VALUE"""),"SANTA FE")</f>
        <v>SANTA FE</v>
      </c>
      <c r="O1767" s="30" t="str">
        <f ca="1">IFERROR(__xludf.DUMMYFUNCTION("""COMPUTED_VALUE"""),"8263")</f>
        <v>8263</v>
      </c>
      <c r="P1767" s="30" t="str">
        <f ca="1">IFERROR(__xludf.DUMMYFUNCTION("""COMPUTED_VALUE"""),"LA CAPITAL")</f>
        <v>LA CAPITAL</v>
      </c>
      <c r="Q1767" s="30" t="str">
        <f ca="1">IFERROR(__xludf.DUMMYFUNCTION("""COMPUTED_VALUE"""),"-31.6559883")</f>
        <v>-31.6559883</v>
      </c>
      <c r="R1767" s="30" t="str">
        <f ca="1">IFERROR(__xludf.DUMMYFUNCTION("""COMPUTED_VALUE"""),"-60.7287848")</f>
        <v>-60.7287848</v>
      </c>
      <c r="S1767" s="30" t="str">
        <f ca="1">IFERROR(__xludf.DUMMYFUNCTION("""COMPUTED_VALUE"""),"Provincial")</f>
        <v>Provincial</v>
      </c>
      <c r="T1767" s="30" t="str">
        <f ca="1">IFERROR(__xludf.DUMMYFUNCTION("""COMPUTED_VALUE"""),"-")</f>
        <v>-</v>
      </c>
    </row>
    <row r="1768" spans="1:20" ht="15.75" customHeight="1" x14ac:dyDescent="0.25">
      <c r="A1768" s="30" t="str">
        <f ca="1">IFERROR(__xludf.DUMMYFUNCTION("""COMPUTED_VALUE"""),"50820632184724")</f>
        <v>50820632184724</v>
      </c>
      <c r="B1768" s="30" t="str">
        <f ca="1">IFERROR(__xludf.DUMMYFUNCTION("""COMPUTED_VALUE"""),"CENTRO DE SALUD GUADALUPE CENTRAL PADRE TRUCCO")</f>
        <v>CENTRO DE SALUD GUADALUPE CENTRAL PADRE TRUCCO</v>
      </c>
      <c r="C1768" s="30" t="str">
        <f ca="1">IFERROR(__xludf.DUMMYFUNCTION("""COMPUTED_VALUE"""),"Santa Fe")</f>
        <v>Santa Fe</v>
      </c>
      <c r="D1768" s="30" t="str">
        <f ca="1">IFERROR(__xludf.DUMMYFUNCTION("""COMPUTED_VALUE"""),"82")</f>
        <v>82</v>
      </c>
      <c r="E1768" s="30" t="str">
        <f ca="1">IFERROR(__xludf.DUMMYFUNCTION("""COMPUTED_VALUE"""),"")</f>
        <v/>
      </c>
      <c r="F1768" s="29"/>
      <c r="G1768" s="29"/>
      <c r="H1768" s="30" t="str">
        <f ca="1">IFERROR(__xludf.DUMMYFUNCTION("""COMPUTED_VALUE"""),"activo")</f>
        <v>activo</v>
      </c>
      <c r="I1768" s="29"/>
      <c r="J1768" s="29"/>
      <c r="K1768" s="29"/>
      <c r="L1768" s="30" t="str">
        <f ca="1">IFERROR(__xludf.DUMMYFUNCTION("""COMPUTED_VALUE"""),"No")</f>
        <v>No</v>
      </c>
      <c r="M1768" s="30" t="str">
        <f ca="1">IFERROR(__xludf.DUMMYFUNCTION("""COMPUTED_VALUE"""),"82063170000")</f>
        <v>82063170000</v>
      </c>
      <c r="N1768" s="30" t="str">
        <f ca="1">IFERROR(__xludf.DUMMYFUNCTION("""COMPUTED_VALUE"""),"SANTA FE")</f>
        <v>SANTA FE</v>
      </c>
      <c r="O1768" s="30" t="str">
        <f ca="1">IFERROR(__xludf.DUMMYFUNCTION("""COMPUTED_VALUE"""),"8263")</f>
        <v>8263</v>
      </c>
      <c r="P1768" s="30" t="str">
        <f ca="1">IFERROR(__xludf.DUMMYFUNCTION("""COMPUTED_VALUE"""),"LA CAPITAL")</f>
        <v>LA CAPITAL</v>
      </c>
      <c r="Q1768" s="30" t="str">
        <f ca="1">IFERROR(__xludf.DUMMYFUNCTION("""COMPUTED_VALUE"""),"-31.60290329")</f>
        <v>-31.60290329</v>
      </c>
      <c r="R1768" s="30" t="str">
        <f ca="1">IFERROR(__xludf.DUMMYFUNCTION("""COMPUTED_VALUE"""),"-60.67565024")</f>
        <v>-60.67565024</v>
      </c>
      <c r="S1768" s="30" t="str">
        <f ca="1">IFERROR(__xludf.DUMMYFUNCTION("""COMPUTED_VALUE"""),"Provincial")</f>
        <v>Provincial</v>
      </c>
      <c r="T1768" s="30" t="str">
        <f ca="1">IFERROR(__xludf.DUMMYFUNCTION("""COMPUTED_VALUE"""),"-")</f>
        <v>-</v>
      </c>
    </row>
    <row r="1769" spans="1:20" ht="15.75" customHeight="1" x14ac:dyDescent="0.25">
      <c r="A1769" s="30" t="str">
        <f ca="1">IFERROR(__xludf.DUMMYFUNCTION("""COMPUTED_VALUE"""),"50820632184863")</f>
        <v>50820632184863</v>
      </c>
      <c r="B1769" s="30" t="str">
        <f ca="1">IFERROR(__xludf.DUMMYFUNCTION("""COMPUTED_VALUE"""),"CENTRO DE SALUD N° 6 BARRIO LOS HORNOS")</f>
        <v>CENTRO DE SALUD N° 6 BARRIO LOS HORNOS</v>
      </c>
      <c r="C1769" s="30" t="str">
        <f ca="1">IFERROR(__xludf.DUMMYFUNCTION("""COMPUTED_VALUE"""),"Santa Fe")</f>
        <v>Santa Fe</v>
      </c>
      <c r="D1769" s="30" t="str">
        <f ca="1">IFERROR(__xludf.DUMMYFUNCTION("""COMPUTED_VALUE"""),"82")</f>
        <v>82</v>
      </c>
      <c r="E1769" s="30" t="str">
        <f ca="1">IFERROR(__xludf.DUMMYFUNCTION("""COMPUTED_VALUE"""),"")</f>
        <v/>
      </c>
      <c r="F1769" s="29"/>
      <c r="G1769" s="29"/>
      <c r="H1769" s="30" t="str">
        <f ca="1">IFERROR(__xludf.DUMMYFUNCTION("""COMPUTED_VALUE"""),"activo")</f>
        <v>activo</v>
      </c>
      <c r="I1769" s="29"/>
      <c r="J1769" s="29"/>
      <c r="K1769" s="29"/>
      <c r="L1769" s="30" t="str">
        <f ca="1">IFERROR(__xludf.DUMMYFUNCTION("""COMPUTED_VALUE"""),"No")</f>
        <v>No</v>
      </c>
      <c r="M1769" s="30" t="str">
        <f ca="1">IFERROR(__xludf.DUMMYFUNCTION("""COMPUTED_VALUE"""),"82063170000")</f>
        <v>82063170000</v>
      </c>
      <c r="N1769" s="30" t="str">
        <f ca="1">IFERROR(__xludf.DUMMYFUNCTION("""COMPUTED_VALUE"""),"SANTA FE")</f>
        <v>SANTA FE</v>
      </c>
      <c r="O1769" s="30" t="str">
        <f ca="1">IFERROR(__xludf.DUMMYFUNCTION("""COMPUTED_VALUE"""),"8263")</f>
        <v>8263</v>
      </c>
      <c r="P1769" s="30" t="str">
        <f ca="1">IFERROR(__xludf.DUMMYFUNCTION("""COMPUTED_VALUE"""),"LA CAPITAL")</f>
        <v>LA CAPITAL</v>
      </c>
      <c r="Q1769" s="30" t="str">
        <f ca="1">IFERROR(__xludf.DUMMYFUNCTION("""COMPUTED_VALUE"""),"-31.6123461")</f>
        <v>-31.6123461</v>
      </c>
      <c r="R1769" s="30" t="str">
        <f ca="1">IFERROR(__xludf.DUMMYFUNCTION("""COMPUTED_VALUE"""),"-60.7049501")</f>
        <v>-60.7049501</v>
      </c>
      <c r="S1769" s="30" t="str">
        <f ca="1">IFERROR(__xludf.DUMMYFUNCTION("""COMPUTED_VALUE"""),"Provincial")</f>
        <v>Provincial</v>
      </c>
      <c r="T1769" s="30" t="str">
        <f ca="1">IFERROR(__xludf.DUMMYFUNCTION("""COMPUTED_VALUE"""),"-")</f>
        <v>-</v>
      </c>
    </row>
    <row r="1770" spans="1:20" ht="15.75" customHeight="1" x14ac:dyDescent="0.25">
      <c r="A1770" s="30" t="str">
        <f ca="1">IFERROR(__xludf.DUMMYFUNCTION("""COMPUTED_VALUE"""),"50820632184701")</f>
        <v>50820632184701</v>
      </c>
      <c r="B1770" s="30" t="str">
        <f ca="1">IFERROR(__xludf.DUMMYFUNCTION("""COMPUTED_VALUE"""),"CENTRO DE SALUD EVITA BARRIO LA FLORIDA")</f>
        <v>CENTRO DE SALUD EVITA BARRIO LA FLORIDA</v>
      </c>
      <c r="C1770" s="30" t="str">
        <f ca="1">IFERROR(__xludf.DUMMYFUNCTION("""COMPUTED_VALUE"""),"Santa Fe")</f>
        <v>Santa Fe</v>
      </c>
      <c r="D1770" s="30" t="str">
        <f ca="1">IFERROR(__xludf.DUMMYFUNCTION("""COMPUTED_VALUE"""),"82")</f>
        <v>82</v>
      </c>
      <c r="E1770" s="30" t="str">
        <f ca="1">IFERROR(__xludf.DUMMYFUNCTION("""COMPUTED_VALUE"""),"")</f>
        <v/>
      </c>
      <c r="F1770" s="29"/>
      <c r="G1770" s="29"/>
      <c r="H1770" s="30" t="str">
        <f ca="1">IFERROR(__xludf.DUMMYFUNCTION("""COMPUTED_VALUE"""),"activo")</f>
        <v>activo</v>
      </c>
      <c r="I1770" s="29"/>
      <c r="J1770" s="29"/>
      <c r="K1770" s="29"/>
      <c r="L1770" s="30" t="str">
        <f ca="1">IFERROR(__xludf.DUMMYFUNCTION("""COMPUTED_VALUE"""),"No")</f>
        <v>No</v>
      </c>
      <c r="M1770" s="30" t="str">
        <f ca="1">IFERROR(__xludf.DUMMYFUNCTION("""COMPUTED_VALUE"""),"82063170000")</f>
        <v>82063170000</v>
      </c>
      <c r="N1770" s="30" t="str">
        <f ca="1">IFERROR(__xludf.DUMMYFUNCTION("""COMPUTED_VALUE"""),"SANTA FE")</f>
        <v>SANTA FE</v>
      </c>
      <c r="O1770" s="30" t="str">
        <f ca="1">IFERROR(__xludf.DUMMYFUNCTION("""COMPUTED_VALUE"""),"8263")</f>
        <v>8263</v>
      </c>
      <c r="P1770" s="30" t="str">
        <f ca="1">IFERROR(__xludf.DUMMYFUNCTION("""COMPUTED_VALUE"""),"LA CAPITAL")</f>
        <v>LA CAPITAL</v>
      </c>
      <c r="Q1770" s="30" t="str">
        <f ca="1">IFERROR(__xludf.DUMMYFUNCTION("""COMPUTED_VALUE"""),"-31.6488783")</f>
        <v>-31.6488783</v>
      </c>
      <c r="R1770" s="30" t="str">
        <f ca="1">IFERROR(__xludf.DUMMYFUNCTION("""COMPUTED_VALUE"""),"-60.7266128")</f>
        <v>-60.7266128</v>
      </c>
      <c r="S1770" s="30" t="str">
        <f ca="1">IFERROR(__xludf.DUMMYFUNCTION("""COMPUTED_VALUE"""),"Provincial")</f>
        <v>Provincial</v>
      </c>
      <c r="T1770" s="30" t="str">
        <f ca="1">IFERROR(__xludf.DUMMYFUNCTION("""COMPUTED_VALUE"""),"-")</f>
        <v>-</v>
      </c>
    </row>
    <row r="1771" spans="1:20" ht="15.75" customHeight="1" x14ac:dyDescent="0.25">
      <c r="A1771" s="30" t="str">
        <f ca="1">IFERROR(__xludf.DUMMYFUNCTION("""COMPUTED_VALUE"""),"10820422184087")</f>
        <v>10820422184087</v>
      </c>
      <c r="B1771" s="30" t="str">
        <f ca="1">IFERROR(__xludf.DUMMYFUNCTION("""COMPUTED_VALUE"""),"HOSPITAL MIGUEL RUEDA")</f>
        <v>HOSPITAL MIGUEL RUEDA</v>
      </c>
      <c r="C1771" s="30" t="str">
        <f ca="1">IFERROR(__xludf.DUMMYFUNCTION("""COMPUTED_VALUE"""),"Santa Fe")</f>
        <v>Santa Fe</v>
      </c>
      <c r="D1771" s="30" t="str">
        <f ca="1">IFERROR(__xludf.DUMMYFUNCTION("""COMPUTED_VALUE"""),"82")</f>
        <v>82</v>
      </c>
      <c r="E1771" s="30" t="str">
        <f ca="1">IFERROR(__xludf.DUMMYFUNCTION("""COMPUTED_VALUE"""),"")</f>
        <v/>
      </c>
      <c r="F1771" s="29"/>
      <c r="G1771" s="29"/>
      <c r="H1771" s="30" t="str">
        <f ca="1">IFERROR(__xludf.DUMMYFUNCTION("""COMPUTED_VALUE"""),"activo")</f>
        <v>activo</v>
      </c>
      <c r="I1771" s="29"/>
      <c r="J1771" s="29"/>
      <c r="K1771" s="29"/>
      <c r="L1771" s="30" t="str">
        <f ca="1">IFERROR(__xludf.DUMMYFUNCTION("""COMPUTED_VALUE"""),"No")</f>
        <v>No</v>
      </c>
      <c r="M1771" s="30" t="str">
        <f ca="1">IFERROR(__xludf.DUMMYFUNCTION("""COMPUTED_VALUE"""),"82042270000")</f>
        <v>82042270000</v>
      </c>
      <c r="N1771" s="30" t="str">
        <f ca="1">IFERROR(__xludf.DUMMYFUNCTION("""COMPUTED_VALUE"""),"SANTA ISABEL")</f>
        <v>SANTA ISABEL</v>
      </c>
      <c r="O1771" s="30" t="str">
        <f ca="1">IFERROR(__xludf.DUMMYFUNCTION("""COMPUTED_VALUE"""),"8242")</f>
        <v>8242</v>
      </c>
      <c r="P1771" s="30" t="str">
        <f ca="1">IFERROR(__xludf.DUMMYFUNCTION("""COMPUTED_VALUE"""),"GENERAL LÓPEZ")</f>
        <v>GENERAL LÓPEZ</v>
      </c>
      <c r="Q1771" s="30" t="str">
        <f ca="1">IFERROR(__xludf.DUMMYFUNCTION("""COMPUTED_VALUE"""),"-33.4466023")</f>
        <v>-33.4466023</v>
      </c>
      <c r="R1771" s="30" t="str">
        <f ca="1">IFERROR(__xludf.DUMMYFUNCTION("""COMPUTED_VALUE"""),"-61.4740714")</f>
        <v>-61.4740714</v>
      </c>
      <c r="S1771" s="30" t="str">
        <f ca="1">IFERROR(__xludf.DUMMYFUNCTION("""COMPUTED_VALUE"""),"Provincial")</f>
        <v>Provincial</v>
      </c>
      <c r="T1771" s="30" t="str">
        <f ca="1">IFERROR(__xludf.DUMMYFUNCTION("""COMPUTED_VALUE"""),"-")</f>
        <v>-</v>
      </c>
    </row>
    <row r="1772" spans="1:20" ht="15.75" customHeight="1" x14ac:dyDescent="0.25">
      <c r="A1772" s="30" t="str">
        <f ca="1">IFERROR(__xludf.DUMMYFUNCTION("""COMPUTED_VALUE"""),"50820632184695")</f>
        <v>50820632184695</v>
      </c>
      <c r="B1772" s="30" t="str">
        <f ca="1">IFERROR(__xludf.DUMMYFUNCTION("""COMPUTED_VALUE"""),"CENTRO DE SALUD EVA DUARTE DE PERON - SANTO TOME")</f>
        <v>CENTRO DE SALUD EVA DUARTE DE PERON - SANTO TOME</v>
      </c>
      <c r="C1772" s="30" t="str">
        <f ca="1">IFERROR(__xludf.DUMMYFUNCTION("""COMPUTED_VALUE"""),"Santa Fe")</f>
        <v>Santa Fe</v>
      </c>
      <c r="D1772" s="30" t="str">
        <f ca="1">IFERROR(__xludf.DUMMYFUNCTION("""COMPUTED_VALUE"""),"82")</f>
        <v>82</v>
      </c>
      <c r="E1772" s="30" t="str">
        <f ca="1">IFERROR(__xludf.DUMMYFUNCTION("""COMPUTED_VALUE"""),"")</f>
        <v/>
      </c>
      <c r="F1772" s="29"/>
      <c r="G1772" s="29"/>
      <c r="H1772" s="30" t="str">
        <f ca="1">IFERROR(__xludf.DUMMYFUNCTION("""COMPUTED_VALUE"""),"activo")</f>
        <v>activo</v>
      </c>
      <c r="I1772" s="29"/>
      <c r="J1772" s="29"/>
      <c r="K1772" s="29"/>
      <c r="L1772" s="30" t="str">
        <f ca="1">IFERROR(__xludf.DUMMYFUNCTION("""COMPUTED_VALUE"""),"No")</f>
        <v>No</v>
      </c>
      <c r="M1772" s="30" t="str">
        <f ca="1">IFERROR(__xludf.DUMMYFUNCTION("""COMPUTED_VALUE"""),"82063180000")</f>
        <v>82063180000</v>
      </c>
      <c r="N1772" s="30" t="str">
        <f ca="1">IFERROR(__xludf.DUMMYFUNCTION("""COMPUTED_VALUE"""),"SANTO TOME")</f>
        <v>SANTO TOME</v>
      </c>
      <c r="O1772" s="30" t="str">
        <f ca="1">IFERROR(__xludf.DUMMYFUNCTION("""COMPUTED_VALUE"""),"8263")</f>
        <v>8263</v>
      </c>
      <c r="P1772" s="30" t="str">
        <f ca="1">IFERROR(__xludf.DUMMYFUNCTION("""COMPUTED_VALUE"""),"LA CAPITAL")</f>
        <v>LA CAPITAL</v>
      </c>
      <c r="Q1772" s="30" t="str">
        <f ca="1">IFERROR(__xludf.DUMMYFUNCTION("""COMPUTED_VALUE"""),"-31.65913333")</f>
        <v>-31.65913333</v>
      </c>
      <c r="R1772" s="30" t="str">
        <f ca="1">IFERROR(__xludf.DUMMYFUNCTION("""COMPUTED_VALUE"""),"-60.76666667")</f>
        <v>-60.76666667</v>
      </c>
      <c r="S1772" s="30" t="str">
        <f ca="1">IFERROR(__xludf.DUMMYFUNCTION("""COMPUTED_VALUE"""),"Provincial")</f>
        <v>Provincial</v>
      </c>
      <c r="T1772" s="30" t="str">
        <f ca="1">IFERROR(__xludf.DUMMYFUNCTION("""COMPUTED_VALUE"""),"-")</f>
        <v>-</v>
      </c>
    </row>
    <row r="1773" spans="1:20" ht="15.75" customHeight="1" x14ac:dyDescent="0.25">
      <c r="A1773" s="30" t="str">
        <f ca="1">IFERROR(__xludf.DUMMYFUNCTION("""COMPUTED_VALUE"""),"10821262184205")</f>
        <v>10821262184205</v>
      </c>
      <c r="B1773" s="30" t="str">
        <f ca="1">IFERROR(__xludf.DUMMYFUNCTION("""COMPUTED_VALUE"""),"SAMCO SASTRE")</f>
        <v>SAMCO SASTRE</v>
      </c>
      <c r="C1773" s="30" t="str">
        <f ca="1">IFERROR(__xludf.DUMMYFUNCTION("""COMPUTED_VALUE"""),"Santa Fe")</f>
        <v>Santa Fe</v>
      </c>
      <c r="D1773" s="30" t="str">
        <f ca="1">IFERROR(__xludf.DUMMYFUNCTION("""COMPUTED_VALUE"""),"82")</f>
        <v>82</v>
      </c>
      <c r="E1773" s="30" t="str">
        <f ca="1">IFERROR(__xludf.DUMMYFUNCTION("""COMPUTED_VALUE"""),"")</f>
        <v/>
      </c>
      <c r="F1773" s="29"/>
      <c r="G1773" s="29"/>
      <c r="H1773" s="30" t="str">
        <f ca="1">IFERROR(__xludf.DUMMYFUNCTION("""COMPUTED_VALUE"""),"activo")</f>
        <v>activo</v>
      </c>
      <c r="I1773" s="29"/>
      <c r="J1773" s="29"/>
      <c r="K1773" s="29"/>
      <c r="L1773" s="30" t="str">
        <f ca="1">IFERROR(__xludf.DUMMYFUNCTION("""COMPUTED_VALUE"""),"No")</f>
        <v>No</v>
      </c>
      <c r="M1773" s="30" t="str">
        <f ca="1">IFERROR(__xludf.DUMMYFUNCTION("""COMPUTED_VALUE"""),"82126160000")</f>
        <v>82126160000</v>
      </c>
      <c r="N1773" s="30" t="str">
        <f ca="1">IFERROR(__xludf.DUMMYFUNCTION("""COMPUTED_VALUE"""),"SASTRE")</f>
        <v>SASTRE</v>
      </c>
      <c r="O1773" s="30" t="str">
        <f ca="1">IFERROR(__xludf.DUMMYFUNCTION("""COMPUTED_VALUE"""),"82126")</f>
        <v>82126</v>
      </c>
      <c r="P1773" s="30" t="str">
        <f ca="1">IFERROR(__xludf.DUMMYFUNCTION("""COMPUTED_VALUE"""),"SAN MARTÍN")</f>
        <v>SAN MARTÍN</v>
      </c>
      <c r="Q1773" s="30" t="str">
        <f ca="1">IFERROR(__xludf.DUMMYFUNCTION("""COMPUTED_VALUE"""),"-31.77158266")</f>
        <v>-31.77158266</v>
      </c>
      <c r="R1773" s="30" t="str">
        <f ca="1">IFERROR(__xludf.DUMMYFUNCTION("""COMPUTED_VALUE"""),"-61.8335706")</f>
        <v>-61.8335706</v>
      </c>
      <c r="S1773" s="30" t="str">
        <f ca="1">IFERROR(__xludf.DUMMYFUNCTION("""COMPUTED_VALUE"""),"Provincial")</f>
        <v>Provincial</v>
      </c>
      <c r="T1773" s="30" t="str">
        <f ca="1">IFERROR(__xludf.DUMMYFUNCTION("""COMPUTED_VALUE"""),"-")</f>
        <v>-</v>
      </c>
    </row>
    <row r="1774" spans="1:20" ht="15.75" customHeight="1" x14ac:dyDescent="0.25">
      <c r="A1774" s="30" t="str">
        <f ca="1">IFERROR(__xludf.DUMMYFUNCTION("""COMPUTED_VALUE"""),"50820632284602")</f>
        <v>50820632284602</v>
      </c>
      <c r="B1774" s="30" t="str">
        <f ca="1">IFERROR(__xludf.DUMMYFUNCTION("""COMPUTED_VALUE"""),"CENTRO DE SALUD CENTENARIO - SAUCE VIEJO")</f>
        <v>CENTRO DE SALUD CENTENARIO - SAUCE VIEJO</v>
      </c>
      <c r="C1774" s="30" t="str">
        <f ca="1">IFERROR(__xludf.DUMMYFUNCTION("""COMPUTED_VALUE"""),"Santa Fe")</f>
        <v>Santa Fe</v>
      </c>
      <c r="D1774" s="30" t="str">
        <f ca="1">IFERROR(__xludf.DUMMYFUNCTION("""COMPUTED_VALUE"""),"82")</f>
        <v>82</v>
      </c>
      <c r="E1774" s="30" t="str">
        <f ca="1">IFERROR(__xludf.DUMMYFUNCTION("""COMPUTED_VALUE"""),"")</f>
        <v/>
      </c>
      <c r="F1774" s="29"/>
      <c r="G1774" s="29"/>
      <c r="H1774" s="30" t="str">
        <f ca="1">IFERROR(__xludf.DUMMYFUNCTION("""COMPUTED_VALUE"""),"activo")</f>
        <v>activo</v>
      </c>
      <c r="I1774" s="29"/>
      <c r="J1774" s="29"/>
      <c r="K1774" s="29"/>
      <c r="L1774" s="30" t="str">
        <f ca="1">IFERROR(__xludf.DUMMYFUNCTION("""COMPUTED_VALUE"""),"No")</f>
        <v>No</v>
      </c>
      <c r="M1774" s="30" t="str">
        <f ca="1">IFERROR(__xludf.DUMMYFUNCTION("""COMPUTED_VALUE"""),"82063190001")</f>
        <v>82063190001</v>
      </c>
      <c r="N1774" s="30" t="str">
        <f ca="1">IFERROR(__xludf.DUMMYFUNCTION("""COMPUTED_VALUE"""),"SAUCE VIEJO")</f>
        <v>SAUCE VIEJO</v>
      </c>
      <c r="O1774" s="30" t="str">
        <f ca="1">IFERROR(__xludf.DUMMYFUNCTION("""COMPUTED_VALUE"""),"8263")</f>
        <v>8263</v>
      </c>
      <c r="P1774" s="30" t="str">
        <f ca="1">IFERROR(__xludf.DUMMYFUNCTION("""COMPUTED_VALUE"""),"LA CAPITAL")</f>
        <v>LA CAPITAL</v>
      </c>
      <c r="Q1774" s="30" t="str">
        <f ca="1">IFERROR(__xludf.DUMMYFUNCTION("""COMPUTED_VALUE"""),"-31.77158333")</f>
        <v>-31.77158333</v>
      </c>
      <c r="R1774" s="30" t="str">
        <f ca="1">IFERROR(__xludf.DUMMYFUNCTION("""COMPUTED_VALUE"""),"-60.83703333")</f>
        <v>-60.83703333</v>
      </c>
      <c r="S1774" s="30" t="str">
        <f ca="1">IFERROR(__xludf.DUMMYFUNCTION("""COMPUTED_VALUE"""),"Municipal")</f>
        <v>Municipal</v>
      </c>
      <c r="T1774" s="29"/>
    </row>
    <row r="1775" spans="1:20" ht="15.75" customHeight="1" x14ac:dyDescent="0.25">
      <c r="A1775" s="30" t="str">
        <f ca="1">IFERROR(__xludf.DUMMYFUNCTION("""COMPUTED_VALUE"""),"50820842188634")</f>
        <v>50820842188634</v>
      </c>
      <c r="B1775" s="30" t="str">
        <f ca="1">IFERROR(__xludf.DUMMYFUNCTION("""COMPUTED_VALUE"""),"CS EMPALME GRANEROS")</f>
        <v>CS EMPALME GRANEROS</v>
      </c>
      <c r="C1775" s="30" t="str">
        <f ca="1">IFERROR(__xludf.DUMMYFUNCTION("""COMPUTED_VALUE"""),"Santa Fe")</f>
        <v>Santa Fe</v>
      </c>
      <c r="D1775" s="30" t="str">
        <f ca="1">IFERROR(__xludf.DUMMYFUNCTION("""COMPUTED_VALUE"""),"82")</f>
        <v>82</v>
      </c>
      <c r="E1775" s="30" t="str">
        <f ca="1">IFERROR(__xludf.DUMMYFUNCTION("""COMPUTED_VALUE"""),"")</f>
        <v/>
      </c>
      <c r="F1775" s="30" t="str">
        <f ca="1">IFERROR(__xludf.DUMMYFUNCTION("""COMPUTED_VALUE"""),"50820492184651")</f>
        <v>50820492184651</v>
      </c>
      <c r="G1775" s="29"/>
      <c r="H1775" s="30" t="str">
        <f ca="1">IFERROR(__xludf.DUMMYFUNCTION("""COMPUTED_VALUE"""),"activo")</f>
        <v>activo</v>
      </c>
      <c r="I1775" s="30" t="str">
        <f ca="1">IFERROR(__xludf.DUMMYFUNCTION("""COMPUTED_VALUE"""),"nro sisa y nombre intercambiado en formulario AyB")</f>
        <v>nro sisa y nombre intercambiado en formulario AyB</v>
      </c>
      <c r="J1775" s="29"/>
      <c r="K1775" s="29"/>
      <c r="L1775" s="30" t="str">
        <f ca="1">IFERROR(__xludf.DUMMYFUNCTION("""COMPUTED_VALUE"""),"No")</f>
        <v>No</v>
      </c>
      <c r="M1775" s="30" t="str">
        <f ca="1">IFERROR(__xludf.DUMMYFUNCTION("""COMPUTED_VALUE"""),"82084270000")</f>
        <v>82084270000</v>
      </c>
      <c r="N1775" s="30" t="str">
        <f ca="1">IFERROR(__xludf.DUMMYFUNCTION("""COMPUTED_VALUE"""),"ROSARIO")</f>
        <v>ROSARIO</v>
      </c>
      <c r="O1775" s="30" t="str">
        <f ca="1">IFERROR(__xludf.DUMMYFUNCTION("""COMPUTED_VALUE"""),"8284")</f>
        <v>8284</v>
      </c>
      <c r="P1775" s="30" t="str">
        <f ca="1">IFERROR(__xludf.DUMMYFUNCTION("""COMPUTED_VALUE"""),"ROSARIO")</f>
        <v>ROSARIO</v>
      </c>
      <c r="Q1775" s="30" t="str">
        <f ca="1">IFERROR(__xludf.DUMMYFUNCTION("""COMPUTED_VALUE"""),"-32.91163073")</f>
        <v>-32.91163073</v>
      </c>
      <c r="R1775" s="30" t="str">
        <f ca="1">IFERROR(__xludf.DUMMYFUNCTION("""COMPUTED_VALUE"""),"-60.70450544")</f>
        <v>-60.70450544</v>
      </c>
      <c r="S1775" s="30" t="str">
        <f ca="1">IFERROR(__xludf.DUMMYFUNCTION("""COMPUTED_VALUE"""),"Provincial")</f>
        <v>Provincial</v>
      </c>
      <c r="T1775" s="30" t="str">
        <f ca="1">IFERROR(__xludf.DUMMYFUNCTION("""COMPUTED_VALUE"""),"-")</f>
        <v>-</v>
      </c>
    </row>
    <row r="1776" spans="1:20" ht="15.75" customHeight="1" x14ac:dyDescent="0.25">
      <c r="A1776" s="30" t="str">
        <f ca="1">IFERROR(__xludf.DUMMYFUNCTION("""COMPUTED_VALUE"""),"50820492184651")</f>
        <v>50820492184651</v>
      </c>
      <c r="B1776" s="30" t="str">
        <f ca="1">IFERROR(__xludf.DUMMYFUNCTION("""COMPUTED_VALUE"""),"CENTRO DE SALUD DR. JORGE CANIZA")</f>
        <v>CENTRO DE SALUD DR. JORGE CANIZA</v>
      </c>
      <c r="C1776" s="30" t="str">
        <f ca="1">IFERROR(__xludf.DUMMYFUNCTION("""COMPUTED_VALUE"""),"Santa Fe")</f>
        <v>Santa Fe</v>
      </c>
      <c r="D1776" s="30" t="str">
        <f ca="1">IFERROR(__xludf.DUMMYFUNCTION("""COMPUTED_VALUE"""),"82")</f>
        <v>82</v>
      </c>
      <c r="E1776" s="30" t="str">
        <f ca="1">IFERROR(__xludf.DUMMYFUNCTION("""COMPUTED_VALUE"""),"")</f>
        <v/>
      </c>
      <c r="F1776" s="29"/>
      <c r="G1776" s="30" t="str">
        <f ca="1">IFERROR(__xludf.DUMMYFUNCTION("""COMPUTED_VALUE"""),"50820842188634")</f>
        <v>50820842188634</v>
      </c>
      <c r="H1776" s="30" t="str">
        <f ca="1">IFERROR(__xludf.DUMMYFUNCTION("""COMPUTED_VALUE"""),"inactivo")</f>
        <v>inactivo</v>
      </c>
      <c r="I1776" s="29"/>
      <c r="J1776" s="29"/>
      <c r="K1776" s="29"/>
      <c r="L1776" s="30" t="str">
        <f ca="1">IFERROR(__xludf.DUMMYFUNCTION("""COMPUTED_VALUE"""),"No")</f>
        <v>No</v>
      </c>
      <c r="M1776" s="30" t="str">
        <f ca="1">IFERROR(__xludf.DUMMYFUNCTION("""COMPUTED_VALUE"""),"82049200000")</f>
        <v>82049200000</v>
      </c>
      <c r="N1776" s="30" t="str">
        <f ca="1">IFERROR(__xludf.DUMMYFUNCTION("""COMPUTED_VALUE"""),"TACUARENDI")</f>
        <v>TACUARENDI</v>
      </c>
      <c r="O1776" s="30" t="str">
        <f ca="1">IFERROR(__xludf.DUMMYFUNCTION("""COMPUTED_VALUE"""),"8249")</f>
        <v>8249</v>
      </c>
      <c r="P1776" s="30" t="str">
        <f ca="1">IFERROR(__xludf.DUMMYFUNCTION("""COMPUTED_VALUE"""),"GENERAL OBLIGADO")</f>
        <v>GENERAL OBLIGADO</v>
      </c>
      <c r="Q1776" s="30" t="str">
        <f ca="1">IFERROR(__xludf.DUMMYFUNCTION("""COMPUTED_VALUE"""),"-28.41272895")</f>
        <v>-28.41272895</v>
      </c>
      <c r="R1776" s="30" t="str">
        <f ca="1">IFERROR(__xludf.DUMMYFUNCTION("""COMPUTED_VALUE"""),"-59.25888062")</f>
        <v>-59.25888062</v>
      </c>
      <c r="S1776" s="30" t="str">
        <f ca="1">IFERROR(__xludf.DUMMYFUNCTION("""COMPUTED_VALUE"""),"Provincial")</f>
        <v>Provincial</v>
      </c>
      <c r="T1776" s="30" t="str">
        <f ca="1">IFERROR(__xludf.DUMMYFUNCTION("""COMPUTED_VALUE"""),"-")</f>
        <v>-</v>
      </c>
    </row>
    <row r="1777" spans="1:20" ht="15.75" customHeight="1" x14ac:dyDescent="0.25">
      <c r="A1777" s="30" t="str">
        <f ca="1">IFERROR(__xludf.DUMMYFUNCTION("""COMPUTED_VALUE"""),"10820422184099")</f>
        <v>10820422184099</v>
      </c>
      <c r="B1777" s="30" t="str">
        <f ca="1">IFERROR(__xludf.DUMMYFUNCTION("""COMPUTED_VALUE"""),"SAMCO TEOFILO PUENTES")</f>
        <v>SAMCO TEOFILO PUENTES</v>
      </c>
      <c r="C1777" s="30" t="str">
        <f ca="1">IFERROR(__xludf.DUMMYFUNCTION("""COMPUTED_VALUE"""),"Santa Fe")</f>
        <v>Santa Fe</v>
      </c>
      <c r="D1777" s="30" t="str">
        <f ca="1">IFERROR(__xludf.DUMMYFUNCTION("""COMPUTED_VALUE"""),"82")</f>
        <v>82</v>
      </c>
      <c r="E1777" s="30" t="str">
        <f ca="1">IFERROR(__xludf.DUMMYFUNCTION("""COMPUTED_VALUE"""),"")</f>
        <v/>
      </c>
      <c r="F1777" s="29"/>
      <c r="G1777" s="29"/>
      <c r="H1777" s="30" t="str">
        <f ca="1">IFERROR(__xludf.DUMMYFUNCTION("""COMPUTED_VALUE"""),"activo")</f>
        <v>activo</v>
      </c>
      <c r="I1777" s="29"/>
      <c r="J1777" s="29"/>
      <c r="K1777" s="29"/>
      <c r="L1777" s="30" t="str">
        <f ca="1">IFERROR(__xludf.DUMMYFUNCTION("""COMPUTED_VALUE"""),"No")</f>
        <v>No</v>
      </c>
      <c r="M1777" s="30" t="str">
        <f ca="1">IFERROR(__xludf.DUMMYFUNCTION("""COMPUTED_VALUE"""),"82042280000")</f>
        <v>82042280000</v>
      </c>
      <c r="N1777" s="30" t="str">
        <f ca="1">IFERROR(__xludf.DUMMYFUNCTION("""COMPUTED_VALUE"""),"TEODELINA")</f>
        <v>TEODELINA</v>
      </c>
      <c r="O1777" s="30" t="str">
        <f ca="1">IFERROR(__xludf.DUMMYFUNCTION("""COMPUTED_VALUE"""),"8242")</f>
        <v>8242</v>
      </c>
      <c r="P1777" s="30" t="str">
        <f ca="1">IFERROR(__xludf.DUMMYFUNCTION("""COMPUTED_VALUE"""),"GENERAL LÓPEZ")</f>
        <v>GENERAL LÓPEZ</v>
      </c>
      <c r="Q1777" s="30" t="str">
        <f ca="1">IFERROR(__xludf.DUMMYFUNCTION("""COMPUTED_VALUE"""),"-34.18918345")</f>
        <v>-34.18918345</v>
      </c>
      <c r="R1777" s="30" t="str">
        <f ca="1">IFERROR(__xludf.DUMMYFUNCTION("""COMPUTED_VALUE"""),"-61.53105497")</f>
        <v>-61.53105497</v>
      </c>
      <c r="S1777" s="30" t="str">
        <f ca="1">IFERROR(__xludf.DUMMYFUNCTION("""COMPUTED_VALUE"""),"Provincial")</f>
        <v>Provincial</v>
      </c>
      <c r="T1777" s="30" t="str">
        <f ca="1">IFERROR(__xludf.DUMMYFUNCTION("""COMPUTED_VALUE"""),"-")</f>
        <v>-</v>
      </c>
    </row>
    <row r="1778" spans="1:20" ht="15.75" customHeight="1" x14ac:dyDescent="0.25">
      <c r="A1778" s="30" t="str">
        <f ca="1">IFERROR(__xludf.DUMMYFUNCTION("""COMPUTED_VALUE"""),"50821192185374")</f>
        <v>50821192185374</v>
      </c>
      <c r="B1778" s="30" t="str">
        <f ca="1">IFERROR(__xludf.DUMMYFUNCTION("""COMPUTED_VALUE"""),"CENTRO DE SALUD DR. EDUARDO GERBAIX - TIMBUES")</f>
        <v>CENTRO DE SALUD DR. EDUARDO GERBAIX - TIMBUES</v>
      </c>
      <c r="C1778" s="30" t="str">
        <f ca="1">IFERROR(__xludf.DUMMYFUNCTION("""COMPUTED_VALUE"""),"Santa Fe")</f>
        <v>Santa Fe</v>
      </c>
      <c r="D1778" s="30" t="str">
        <f ca="1">IFERROR(__xludf.DUMMYFUNCTION("""COMPUTED_VALUE"""),"82")</f>
        <v>82</v>
      </c>
      <c r="E1778" s="30" t="str">
        <f ca="1">IFERROR(__xludf.DUMMYFUNCTION("""COMPUTED_VALUE"""),"")</f>
        <v/>
      </c>
      <c r="F1778" s="29"/>
      <c r="G1778" s="29"/>
      <c r="H1778" s="30" t="str">
        <f ca="1">IFERROR(__xludf.DUMMYFUNCTION("""COMPUTED_VALUE"""),"activo")</f>
        <v>activo</v>
      </c>
      <c r="I1778" s="29"/>
      <c r="J1778" s="29"/>
      <c r="K1778" s="29"/>
      <c r="L1778" s="30" t="str">
        <f ca="1">IFERROR(__xludf.DUMMYFUNCTION("""COMPUTED_VALUE"""),"No")</f>
        <v>No</v>
      </c>
      <c r="M1778" s="30" t="str">
        <f ca="1">IFERROR(__xludf.DUMMYFUNCTION("""COMPUTED_VALUE"""),"82119140000")</f>
        <v>82119140000</v>
      </c>
      <c r="N1778" s="30" t="str">
        <f ca="1">IFERROR(__xludf.DUMMYFUNCTION("""COMPUTED_VALUE"""),"TIMBUES")</f>
        <v>TIMBUES</v>
      </c>
      <c r="O1778" s="30" t="str">
        <f ca="1">IFERROR(__xludf.DUMMYFUNCTION("""COMPUTED_VALUE"""),"82119")</f>
        <v>82119</v>
      </c>
      <c r="P1778" s="30" t="str">
        <f ca="1">IFERROR(__xludf.DUMMYFUNCTION("""COMPUTED_VALUE"""),"SAN LORENZO")</f>
        <v>SAN LORENZO</v>
      </c>
      <c r="Q1778" s="30" t="str">
        <f ca="1">IFERROR(__xludf.DUMMYFUNCTION("""COMPUTED_VALUE"""),"-32.6657598")</f>
        <v>-32.6657598</v>
      </c>
      <c r="R1778" s="30" t="str">
        <f ca="1">IFERROR(__xludf.DUMMYFUNCTION("""COMPUTED_VALUE"""),"-60.79682171")</f>
        <v>-60.79682171</v>
      </c>
      <c r="S1778" s="30" t="str">
        <f ca="1">IFERROR(__xludf.DUMMYFUNCTION("""COMPUTED_VALUE"""),"Provincial")</f>
        <v>Provincial</v>
      </c>
      <c r="T1778" s="30" t="str">
        <f ca="1">IFERROR(__xludf.DUMMYFUNCTION("""COMPUTED_VALUE"""),"-")</f>
        <v>-</v>
      </c>
    </row>
    <row r="1779" spans="1:20" ht="15.75" customHeight="1" x14ac:dyDescent="0.25">
      <c r="A1779" s="30" t="str">
        <f ca="1">IFERROR(__xludf.DUMMYFUNCTION("""COMPUTED_VALUE"""),"10820562184145")</f>
        <v>10820562184145</v>
      </c>
      <c r="B1779" s="30" t="str">
        <f ca="1">IFERROR(__xludf.DUMMYFUNCTION("""COMPUTED_VALUE"""),"SAMCO TOTORAS")</f>
        <v>SAMCO TOTORAS</v>
      </c>
      <c r="C1779" s="30" t="str">
        <f ca="1">IFERROR(__xludf.DUMMYFUNCTION("""COMPUTED_VALUE"""),"Santa Fe")</f>
        <v>Santa Fe</v>
      </c>
      <c r="D1779" s="30" t="str">
        <f ca="1">IFERROR(__xludf.DUMMYFUNCTION("""COMPUTED_VALUE"""),"82")</f>
        <v>82</v>
      </c>
      <c r="E1779" s="30" t="str">
        <f ca="1">IFERROR(__xludf.DUMMYFUNCTION("""COMPUTED_VALUE"""),"")</f>
        <v/>
      </c>
      <c r="F1779" s="29"/>
      <c r="G1779" s="29"/>
      <c r="H1779" s="30" t="str">
        <f ca="1">IFERROR(__xludf.DUMMYFUNCTION("""COMPUTED_VALUE"""),"activo")</f>
        <v>activo</v>
      </c>
      <c r="I1779" s="29"/>
      <c r="J1779" s="29"/>
      <c r="K1779" s="29"/>
      <c r="L1779" s="30" t="str">
        <f ca="1">IFERROR(__xludf.DUMMYFUNCTION("""COMPUTED_VALUE"""),"No")</f>
        <v>No</v>
      </c>
      <c r="M1779" s="30" t="str">
        <f ca="1">IFERROR(__xludf.DUMMYFUNCTION("""COMPUTED_VALUE"""),"82056140000")</f>
        <v>82056140000</v>
      </c>
      <c r="N1779" s="30" t="str">
        <f ca="1">IFERROR(__xludf.DUMMYFUNCTION("""COMPUTED_VALUE"""),"TOTORAS")</f>
        <v>TOTORAS</v>
      </c>
      <c r="O1779" s="30" t="str">
        <f ca="1">IFERROR(__xludf.DUMMYFUNCTION("""COMPUTED_VALUE"""),"8256")</f>
        <v>8256</v>
      </c>
      <c r="P1779" s="30" t="str">
        <f ca="1">IFERROR(__xludf.DUMMYFUNCTION("""COMPUTED_VALUE"""),"IRIONDO")</f>
        <v>IRIONDO</v>
      </c>
      <c r="Q1779" s="30" t="str">
        <f ca="1">IFERROR(__xludf.DUMMYFUNCTION("""COMPUTED_VALUE"""),"-32.58252719")</f>
        <v>-32.58252719</v>
      </c>
      <c r="R1779" s="30" t="str">
        <f ca="1">IFERROR(__xludf.DUMMYFUNCTION("""COMPUTED_VALUE"""),"-61.1663121")</f>
        <v>-61.1663121</v>
      </c>
      <c r="S1779" s="30" t="str">
        <f ca="1">IFERROR(__xludf.DUMMYFUNCTION("""COMPUTED_VALUE"""),"Provincial")</f>
        <v>Provincial</v>
      </c>
      <c r="T1779" s="30" t="str">
        <f ca="1">IFERROR(__xludf.DUMMYFUNCTION("""COMPUTED_VALUE"""),"-")</f>
        <v>-</v>
      </c>
    </row>
    <row r="1780" spans="1:20" ht="15.75" customHeight="1" x14ac:dyDescent="0.25">
      <c r="A1780" s="30" t="str">
        <f ca="1">IFERROR(__xludf.DUMMYFUNCTION("""COMPUTED_VALUE"""),"50820422284735")</f>
        <v>50820422284735</v>
      </c>
      <c r="B1780" s="30" t="str">
        <f ca="1">IFERROR(__xludf.DUMMYFUNCTION("""COMPUTED_VALUE"""),"CENTRO DE SALUD ITURBIDE")</f>
        <v>CENTRO DE SALUD ITURBIDE</v>
      </c>
      <c r="C1780" s="30" t="str">
        <f ca="1">IFERROR(__xludf.DUMMYFUNCTION("""COMPUTED_VALUE"""),"Santa Fe")</f>
        <v>Santa Fe</v>
      </c>
      <c r="D1780" s="30" t="str">
        <f ca="1">IFERROR(__xludf.DUMMYFUNCTION("""COMPUTED_VALUE"""),"82")</f>
        <v>82</v>
      </c>
      <c r="E1780" s="30" t="str">
        <f ca="1">IFERROR(__xludf.DUMMYFUNCTION("""COMPUTED_VALUE"""),"")</f>
        <v/>
      </c>
      <c r="F1780" s="29"/>
      <c r="G1780" s="29"/>
      <c r="H1780" s="30" t="str">
        <f ca="1">IFERROR(__xludf.DUMMYFUNCTION("""COMPUTED_VALUE"""),"activo")</f>
        <v>activo</v>
      </c>
      <c r="I1780" s="29"/>
      <c r="J1780" s="29"/>
      <c r="K1780" s="29"/>
      <c r="L1780" s="30" t="str">
        <f ca="1">IFERROR(__xludf.DUMMYFUNCTION("""COMPUTED_VALUE"""),"No")</f>
        <v>No</v>
      </c>
      <c r="M1780" s="30" t="str">
        <f ca="1">IFERROR(__xludf.DUMMYFUNCTION("""COMPUTED_VALUE"""),"82042290000")</f>
        <v>82042290000</v>
      </c>
      <c r="N1780" s="30" t="str">
        <f ca="1">IFERROR(__xludf.DUMMYFUNCTION("""COMPUTED_VALUE"""),"VENADO TUERTO")</f>
        <v>VENADO TUERTO</v>
      </c>
      <c r="O1780" s="30" t="str">
        <f ca="1">IFERROR(__xludf.DUMMYFUNCTION("""COMPUTED_VALUE"""),"8242")</f>
        <v>8242</v>
      </c>
      <c r="P1780" s="30" t="str">
        <f ca="1">IFERROR(__xludf.DUMMYFUNCTION("""COMPUTED_VALUE"""),"GENERAL LÓPEZ")</f>
        <v>GENERAL LÓPEZ</v>
      </c>
      <c r="Q1780" s="30" t="str">
        <f ca="1">IFERROR(__xludf.DUMMYFUNCTION("""COMPUTED_VALUE"""),"-33.7610283")</f>
        <v>-33.7610283</v>
      </c>
      <c r="R1780" s="30" t="str">
        <f ca="1">IFERROR(__xludf.DUMMYFUNCTION("""COMPUTED_VALUE"""),"-61.950168")</f>
        <v>-61.950168</v>
      </c>
      <c r="S1780" s="30" t="str">
        <f ca="1">IFERROR(__xludf.DUMMYFUNCTION("""COMPUTED_VALUE"""),"Municipal")</f>
        <v>Municipal</v>
      </c>
      <c r="T1780" s="29"/>
    </row>
    <row r="1781" spans="1:20" ht="15.75" customHeight="1" x14ac:dyDescent="0.25">
      <c r="A1781" s="30" t="str">
        <f ca="1">IFERROR(__xludf.DUMMYFUNCTION("""COMPUTED_VALUE"""),"50820422284499")</f>
        <v>50820422284499</v>
      </c>
      <c r="B1781" s="30" t="str">
        <f ca="1">IFERROR(__xludf.DUMMYFUNCTION("""COMPUTED_VALUE"""),"CENTRO DE SALUD ASISTENCIA PUBLICA MUNICIPAL")</f>
        <v>CENTRO DE SALUD ASISTENCIA PUBLICA MUNICIPAL</v>
      </c>
      <c r="C1781" s="30" t="str">
        <f ca="1">IFERROR(__xludf.DUMMYFUNCTION("""COMPUTED_VALUE"""),"Santa Fe")</f>
        <v>Santa Fe</v>
      </c>
      <c r="D1781" s="30" t="str">
        <f ca="1">IFERROR(__xludf.DUMMYFUNCTION("""COMPUTED_VALUE"""),"82")</f>
        <v>82</v>
      </c>
      <c r="E1781" s="30" t="str">
        <f ca="1">IFERROR(__xludf.DUMMYFUNCTION("""COMPUTED_VALUE"""),"")</f>
        <v/>
      </c>
      <c r="F1781" s="29"/>
      <c r="G1781" s="29"/>
      <c r="H1781" s="30" t="str">
        <f ca="1">IFERROR(__xludf.DUMMYFUNCTION("""COMPUTED_VALUE"""),"activo")</f>
        <v>activo</v>
      </c>
      <c r="I1781" s="29"/>
      <c r="J1781" s="29"/>
      <c r="K1781" s="29"/>
      <c r="L1781" s="30" t="str">
        <f ca="1">IFERROR(__xludf.DUMMYFUNCTION("""COMPUTED_VALUE"""),"No")</f>
        <v>No</v>
      </c>
      <c r="M1781" s="30" t="str">
        <f ca="1">IFERROR(__xludf.DUMMYFUNCTION("""COMPUTED_VALUE"""),"82042290000")</f>
        <v>82042290000</v>
      </c>
      <c r="N1781" s="30" t="str">
        <f ca="1">IFERROR(__xludf.DUMMYFUNCTION("""COMPUTED_VALUE"""),"VENADO TUERTO")</f>
        <v>VENADO TUERTO</v>
      </c>
      <c r="O1781" s="30" t="str">
        <f ca="1">IFERROR(__xludf.DUMMYFUNCTION("""COMPUTED_VALUE"""),"8242")</f>
        <v>8242</v>
      </c>
      <c r="P1781" s="30" t="str">
        <f ca="1">IFERROR(__xludf.DUMMYFUNCTION("""COMPUTED_VALUE"""),"GENERAL LÓPEZ")</f>
        <v>GENERAL LÓPEZ</v>
      </c>
      <c r="Q1781" s="30" t="str">
        <f ca="1">IFERROR(__xludf.DUMMYFUNCTION("""COMPUTED_VALUE"""),"-33.73869059")</f>
        <v>-33.73869059</v>
      </c>
      <c r="R1781" s="30" t="str">
        <f ca="1">IFERROR(__xludf.DUMMYFUNCTION("""COMPUTED_VALUE"""),"-61.96760327")</f>
        <v>-61.96760327</v>
      </c>
      <c r="S1781" s="30" t="str">
        <f ca="1">IFERROR(__xludf.DUMMYFUNCTION("""COMPUTED_VALUE"""),"Municipal")</f>
        <v>Municipal</v>
      </c>
      <c r="T1781" s="29"/>
    </row>
    <row r="1782" spans="1:20" ht="15.75" customHeight="1" x14ac:dyDescent="0.25">
      <c r="A1782" s="30" t="str">
        <f ca="1">IFERROR(__xludf.DUMMYFUNCTION("""COMPUTED_VALUE"""),"50820422284704")</f>
        <v>50820422284704</v>
      </c>
      <c r="B1782" s="30" t="str">
        <f ca="1">IFERROR(__xludf.DUMMYFUNCTION("""COMPUTED_VALUE"""),"CENTRO DE SALUD FONAVI - VENADO TUERTO")</f>
        <v>CENTRO DE SALUD FONAVI - VENADO TUERTO</v>
      </c>
      <c r="C1782" s="30" t="str">
        <f ca="1">IFERROR(__xludf.DUMMYFUNCTION("""COMPUTED_VALUE"""),"Santa Fe")</f>
        <v>Santa Fe</v>
      </c>
      <c r="D1782" s="30" t="str">
        <f ca="1">IFERROR(__xludf.DUMMYFUNCTION("""COMPUTED_VALUE"""),"82")</f>
        <v>82</v>
      </c>
      <c r="E1782" s="30" t="str">
        <f ca="1">IFERROR(__xludf.DUMMYFUNCTION("""COMPUTED_VALUE"""),"")</f>
        <v/>
      </c>
      <c r="F1782" s="29"/>
      <c r="G1782" s="29"/>
      <c r="H1782" s="30" t="str">
        <f ca="1">IFERROR(__xludf.DUMMYFUNCTION("""COMPUTED_VALUE"""),"activo")</f>
        <v>activo</v>
      </c>
      <c r="I1782" s="29"/>
      <c r="J1782" s="29"/>
      <c r="K1782" s="29"/>
      <c r="L1782" s="30" t="str">
        <f ca="1">IFERROR(__xludf.DUMMYFUNCTION("""COMPUTED_VALUE"""),"No")</f>
        <v>No</v>
      </c>
      <c r="M1782" s="30" t="str">
        <f ca="1">IFERROR(__xludf.DUMMYFUNCTION("""COMPUTED_VALUE"""),"82042290000")</f>
        <v>82042290000</v>
      </c>
      <c r="N1782" s="30" t="str">
        <f ca="1">IFERROR(__xludf.DUMMYFUNCTION("""COMPUTED_VALUE"""),"VENADO TUERTO")</f>
        <v>VENADO TUERTO</v>
      </c>
      <c r="O1782" s="30" t="str">
        <f ca="1">IFERROR(__xludf.DUMMYFUNCTION("""COMPUTED_VALUE"""),"8242")</f>
        <v>8242</v>
      </c>
      <c r="P1782" s="30" t="str">
        <f ca="1">IFERROR(__xludf.DUMMYFUNCTION("""COMPUTED_VALUE"""),"GENERAL LÓPEZ")</f>
        <v>GENERAL LÓPEZ</v>
      </c>
      <c r="Q1782" s="30" t="str">
        <f ca="1">IFERROR(__xludf.DUMMYFUNCTION("""COMPUTED_VALUE"""),"-33.72687208")</f>
        <v>-33.72687208</v>
      </c>
      <c r="R1782" s="30" t="str">
        <f ca="1">IFERROR(__xludf.DUMMYFUNCTION("""COMPUTED_VALUE"""),"-61.97814918")</f>
        <v>-61.97814918</v>
      </c>
      <c r="S1782" s="30" t="str">
        <f ca="1">IFERROR(__xludf.DUMMYFUNCTION("""COMPUTED_VALUE"""),"Municipal")</f>
        <v>Municipal</v>
      </c>
      <c r="T1782" s="29"/>
    </row>
    <row r="1783" spans="1:20" ht="15.75" customHeight="1" x14ac:dyDescent="0.25">
      <c r="A1783" s="30" t="str">
        <f ca="1">IFERROR(__xludf.DUMMYFUNCTION("""COMPUTED_VALUE"""),"10820492184136")</f>
        <v>10820492184136</v>
      </c>
      <c r="B1783" s="30" t="str">
        <f ca="1">IFERROR(__xludf.DUMMYFUNCTION("""COMPUTED_VALUE"""),"SAMCO DR. BARTOLOME B. PARMA")</f>
        <v>SAMCO DR. BARTOLOME B. PARMA</v>
      </c>
      <c r="C1783" s="30" t="str">
        <f ca="1">IFERROR(__xludf.DUMMYFUNCTION("""COMPUTED_VALUE"""),"Santa Fe")</f>
        <v>Santa Fe</v>
      </c>
      <c r="D1783" s="30" t="str">
        <f ca="1">IFERROR(__xludf.DUMMYFUNCTION("""COMPUTED_VALUE"""),"82")</f>
        <v>82</v>
      </c>
      <c r="E1783" s="30" t="str">
        <f ca="1">IFERROR(__xludf.DUMMYFUNCTION("""COMPUTED_VALUE"""),"")</f>
        <v/>
      </c>
      <c r="F1783" s="29"/>
      <c r="G1783" s="29"/>
      <c r="H1783" s="30" t="str">
        <f ca="1">IFERROR(__xludf.DUMMYFUNCTION("""COMPUTED_VALUE"""),"activo")</f>
        <v>activo</v>
      </c>
      <c r="I1783" s="29"/>
      <c r="J1783" s="29"/>
      <c r="K1783" s="29"/>
      <c r="L1783" s="30" t="str">
        <f ca="1">IFERROR(__xludf.DUMMYFUNCTION("""COMPUTED_VALUE"""),"No")</f>
        <v>No</v>
      </c>
      <c r="M1783" s="30" t="str">
        <f ca="1">IFERROR(__xludf.DUMMYFUNCTION("""COMPUTED_VALUE"""),"82049210000")</f>
        <v>82049210000</v>
      </c>
      <c r="N1783" s="30" t="str">
        <f ca="1">IFERROR(__xludf.DUMMYFUNCTION("""COMPUTED_VALUE"""),"VILLA ANA")</f>
        <v>VILLA ANA</v>
      </c>
      <c r="O1783" s="30" t="str">
        <f ca="1">IFERROR(__xludf.DUMMYFUNCTION("""COMPUTED_VALUE"""),"8249")</f>
        <v>8249</v>
      </c>
      <c r="P1783" s="30" t="str">
        <f ca="1">IFERROR(__xludf.DUMMYFUNCTION("""COMPUTED_VALUE"""),"GENERAL OBLIGADO")</f>
        <v>GENERAL OBLIGADO</v>
      </c>
      <c r="Q1783" s="30" t="str">
        <f ca="1">IFERROR(__xludf.DUMMYFUNCTION("""COMPUTED_VALUE"""),"-28.8413525")</f>
        <v>-28.8413525</v>
      </c>
      <c r="R1783" s="30" t="str">
        <f ca="1">IFERROR(__xludf.DUMMYFUNCTION("""COMPUTED_VALUE"""),"-59.6350032")</f>
        <v>-59.6350032</v>
      </c>
      <c r="S1783" s="30" t="str">
        <f ca="1">IFERROR(__xludf.DUMMYFUNCTION("""COMPUTED_VALUE"""),"Provincial")</f>
        <v>Provincial</v>
      </c>
      <c r="T1783" s="30" t="str">
        <f ca="1">IFERROR(__xludf.DUMMYFUNCTION("""COMPUTED_VALUE"""),"-")</f>
        <v>-</v>
      </c>
    </row>
    <row r="1784" spans="1:20" ht="15.75" customHeight="1" x14ac:dyDescent="0.25">
      <c r="A1784" s="30" t="str">
        <f ca="1">IFERROR(__xludf.DUMMYFUNCTION("""COMPUTED_VALUE"""),"50820842185011")</f>
        <v>50820842185011</v>
      </c>
      <c r="B1784" s="30" t="str">
        <f ca="1">IFERROR(__xludf.DUMMYFUNCTION("""COMPUTED_VALUE"""),"CENTRO DE SALUD 17 DE OCTUBRE - VILLA GOBERNADOR GALVEZ")</f>
        <v>CENTRO DE SALUD 17 DE OCTUBRE - VILLA GOBERNADOR GALVEZ</v>
      </c>
      <c r="C1784" s="30" t="str">
        <f ca="1">IFERROR(__xludf.DUMMYFUNCTION("""COMPUTED_VALUE"""),"Santa Fe")</f>
        <v>Santa Fe</v>
      </c>
      <c r="D1784" s="30" t="str">
        <f ca="1">IFERROR(__xludf.DUMMYFUNCTION("""COMPUTED_VALUE"""),"82")</f>
        <v>82</v>
      </c>
      <c r="E1784" s="30" t="str">
        <f ca="1">IFERROR(__xludf.DUMMYFUNCTION("""COMPUTED_VALUE"""),"")</f>
        <v/>
      </c>
      <c r="F1784" s="29"/>
      <c r="G1784" s="29"/>
      <c r="H1784" s="30" t="str">
        <f ca="1">IFERROR(__xludf.DUMMYFUNCTION("""COMPUTED_VALUE"""),"activo")</f>
        <v>activo</v>
      </c>
      <c r="I1784" s="29"/>
      <c r="J1784" s="29"/>
      <c r="K1784" s="29"/>
      <c r="L1784" s="30" t="str">
        <f ca="1">IFERROR(__xludf.DUMMYFUNCTION("""COMPUTED_VALUE"""),"No")</f>
        <v>No</v>
      </c>
      <c r="M1784" s="30" t="str">
        <f ca="1">IFERROR(__xludf.DUMMYFUNCTION("""COMPUTED_VALUE"""),"82084310000")</f>
        <v>82084310000</v>
      </c>
      <c r="N1784" s="30" t="str">
        <f ca="1">IFERROR(__xludf.DUMMYFUNCTION("""COMPUTED_VALUE"""),"VILLA GOBERNADOR GALVEZ")</f>
        <v>VILLA GOBERNADOR GALVEZ</v>
      </c>
      <c r="O1784" s="30" t="str">
        <f ca="1">IFERROR(__xludf.DUMMYFUNCTION("""COMPUTED_VALUE"""),"8284")</f>
        <v>8284</v>
      </c>
      <c r="P1784" s="30" t="str">
        <f ca="1">IFERROR(__xludf.DUMMYFUNCTION("""COMPUTED_VALUE"""),"ROSARIO")</f>
        <v>ROSARIO</v>
      </c>
      <c r="Q1784" s="30" t="str">
        <f ca="1">IFERROR(__xludf.DUMMYFUNCTION("""COMPUTED_VALUE"""),"-33.00974876")</f>
        <v>-33.00974876</v>
      </c>
      <c r="R1784" s="30" t="str">
        <f ca="1">IFERROR(__xludf.DUMMYFUNCTION("""COMPUTED_VALUE"""),"-60.60639292")</f>
        <v>-60.60639292</v>
      </c>
      <c r="S1784" s="30" t="str">
        <f ca="1">IFERROR(__xludf.DUMMYFUNCTION("""COMPUTED_VALUE"""),"Provincial")</f>
        <v>Provincial</v>
      </c>
      <c r="T1784" s="30" t="str">
        <f ca="1">IFERROR(__xludf.DUMMYFUNCTION("""COMPUTED_VALUE"""),"-")</f>
        <v>-</v>
      </c>
    </row>
    <row r="1785" spans="1:20" ht="15.75" customHeight="1" x14ac:dyDescent="0.25">
      <c r="A1785" s="30" t="str">
        <f ca="1">IFERROR(__xludf.DUMMYFUNCTION("""COMPUTED_VALUE"""),"50820842185048")</f>
        <v>50820842185048</v>
      </c>
      <c r="B1785" s="30" t="str">
        <f ca="1">IFERROR(__xludf.DUMMYFUNCTION("""COMPUTED_VALUE"""),"CIC 20 DE JUNIO")</f>
        <v>CIC 20 DE JUNIO</v>
      </c>
      <c r="C1785" s="30" t="str">
        <f ca="1">IFERROR(__xludf.DUMMYFUNCTION("""COMPUTED_VALUE"""),"Santa Fe")</f>
        <v>Santa Fe</v>
      </c>
      <c r="D1785" s="30" t="str">
        <f ca="1">IFERROR(__xludf.DUMMYFUNCTION("""COMPUTED_VALUE"""),"82")</f>
        <v>82</v>
      </c>
      <c r="E1785" s="30" t="str">
        <f ca="1">IFERROR(__xludf.DUMMYFUNCTION("""COMPUTED_VALUE"""),"")</f>
        <v/>
      </c>
      <c r="F1785" s="29"/>
      <c r="G1785" s="29"/>
      <c r="H1785" s="30" t="str">
        <f ca="1">IFERROR(__xludf.DUMMYFUNCTION("""COMPUTED_VALUE"""),"activo")</f>
        <v>activo</v>
      </c>
      <c r="I1785" s="29"/>
      <c r="J1785" s="29"/>
      <c r="K1785" s="29"/>
      <c r="L1785" s="30" t="str">
        <f ca="1">IFERROR(__xludf.DUMMYFUNCTION("""COMPUTED_VALUE"""),"No")</f>
        <v>No</v>
      </c>
      <c r="M1785" s="30" t="str">
        <f ca="1">IFERROR(__xludf.DUMMYFUNCTION("""COMPUTED_VALUE"""),"82084310000")</f>
        <v>82084310000</v>
      </c>
      <c r="N1785" s="30" t="str">
        <f ca="1">IFERROR(__xludf.DUMMYFUNCTION("""COMPUTED_VALUE"""),"VILLA GOBERNADOR GALVEZ")</f>
        <v>VILLA GOBERNADOR GALVEZ</v>
      </c>
      <c r="O1785" s="30" t="str">
        <f ca="1">IFERROR(__xludf.DUMMYFUNCTION("""COMPUTED_VALUE"""),"8284")</f>
        <v>8284</v>
      </c>
      <c r="P1785" s="30" t="str">
        <f ca="1">IFERROR(__xludf.DUMMYFUNCTION("""COMPUTED_VALUE"""),"ROSARIO")</f>
        <v>ROSARIO</v>
      </c>
      <c r="Q1785" s="30" t="str">
        <f ca="1">IFERROR(__xludf.DUMMYFUNCTION("""COMPUTED_VALUE"""),"-32.9464268")</f>
        <v>-32.9464268</v>
      </c>
      <c r="R1785" s="30" t="str">
        <f ca="1">IFERROR(__xludf.DUMMYFUNCTION("""COMPUTED_VALUE"""),"-60.6528979")</f>
        <v>-60.6528979</v>
      </c>
      <c r="S1785" s="30" t="str">
        <f ca="1">IFERROR(__xludf.DUMMYFUNCTION("""COMPUTED_VALUE"""),"Provincial")</f>
        <v>Provincial</v>
      </c>
      <c r="T1785" s="30" t="str">
        <f ca="1">IFERROR(__xludf.DUMMYFUNCTION("""COMPUTED_VALUE"""),"-")</f>
        <v>-</v>
      </c>
    </row>
    <row r="1786" spans="1:20" ht="15.75" customHeight="1" x14ac:dyDescent="0.25">
      <c r="A1786" s="30" t="str">
        <f ca="1">IFERROR(__xludf.DUMMYFUNCTION("""COMPUTED_VALUE"""),"50820842184734")</f>
        <v>50820842184734</v>
      </c>
      <c r="B1786" s="30" t="str">
        <f ca="1">IFERROR(__xludf.DUMMYFUNCTION("""COMPUTED_VALUE"""),"CENTRO DE SALUD ITATI - VILLA GOBERNADOR GALVEZ")</f>
        <v>CENTRO DE SALUD ITATI - VILLA GOBERNADOR GALVEZ</v>
      </c>
      <c r="C1786" s="30" t="str">
        <f ca="1">IFERROR(__xludf.DUMMYFUNCTION("""COMPUTED_VALUE"""),"Santa Fe")</f>
        <v>Santa Fe</v>
      </c>
      <c r="D1786" s="30" t="str">
        <f ca="1">IFERROR(__xludf.DUMMYFUNCTION("""COMPUTED_VALUE"""),"82")</f>
        <v>82</v>
      </c>
      <c r="E1786" s="30" t="str">
        <f ca="1">IFERROR(__xludf.DUMMYFUNCTION("""COMPUTED_VALUE"""),"")</f>
        <v/>
      </c>
      <c r="F1786" s="29"/>
      <c r="G1786" s="29"/>
      <c r="H1786" s="30" t="str">
        <f ca="1">IFERROR(__xludf.DUMMYFUNCTION("""COMPUTED_VALUE"""),"activo")</f>
        <v>activo</v>
      </c>
      <c r="I1786" s="29"/>
      <c r="J1786" s="29"/>
      <c r="K1786" s="29"/>
      <c r="L1786" s="30" t="str">
        <f ca="1">IFERROR(__xludf.DUMMYFUNCTION("""COMPUTED_VALUE"""),"No")</f>
        <v>No</v>
      </c>
      <c r="M1786" s="30" t="str">
        <f ca="1">IFERROR(__xludf.DUMMYFUNCTION("""COMPUTED_VALUE"""),"82084310000")</f>
        <v>82084310000</v>
      </c>
      <c r="N1786" s="30" t="str">
        <f ca="1">IFERROR(__xludf.DUMMYFUNCTION("""COMPUTED_VALUE"""),"VILLA GOBERNADOR GALVEZ")</f>
        <v>VILLA GOBERNADOR GALVEZ</v>
      </c>
      <c r="O1786" s="30" t="str">
        <f ca="1">IFERROR(__xludf.DUMMYFUNCTION("""COMPUTED_VALUE"""),"8284")</f>
        <v>8284</v>
      </c>
      <c r="P1786" s="30" t="str">
        <f ca="1">IFERROR(__xludf.DUMMYFUNCTION("""COMPUTED_VALUE"""),"ROSARIO")</f>
        <v>ROSARIO</v>
      </c>
      <c r="Q1786" s="30" t="str">
        <f ca="1">IFERROR(__xludf.DUMMYFUNCTION("""COMPUTED_VALUE"""),"-33.03681624")</f>
        <v>-33.03681624</v>
      </c>
      <c r="R1786" s="30" t="str">
        <f ca="1">IFERROR(__xludf.DUMMYFUNCTION("""COMPUTED_VALUE"""),"-60.61761475")</f>
        <v>-60.61761475</v>
      </c>
      <c r="S1786" s="30" t="str">
        <f ca="1">IFERROR(__xludf.DUMMYFUNCTION("""COMPUTED_VALUE"""),"Provincial")</f>
        <v>Provincial</v>
      </c>
      <c r="T1786" s="30" t="str">
        <f ca="1">IFERROR(__xludf.DUMMYFUNCTION("""COMPUTED_VALUE"""),"-")</f>
        <v>-</v>
      </c>
    </row>
    <row r="1787" spans="1:20" ht="15.75" customHeight="1" x14ac:dyDescent="0.25">
      <c r="A1787" s="30" t="str">
        <f ca="1">IFERROR(__xludf.DUMMYFUNCTION("""COMPUTED_VALUE"""),"50820842284700")</f>
        <v>50820842284700</v>
      </c>
      <c r="B1787" s="30" t="str">
        <f ca="1">IFERROR(__xludf.DUMMYFUNCTION("""COMPUTED_VALUE"""),"CENTRO DE SALUD EVITA")</f>
        <v>CENTRO DE SALUD EVITA</v>
      </c>
      <c r="C1787" s="30" t="str">
        <f ca="1">IFERROR(__xludf.DUMMYFUNCTION("""COMPUTED_VALUE"""),"Santa Fe")</f>
        <v>Santa Fe</v>
      </c>
      <c r="D1787" s="30" t="str">
        <f ca="1">IFERROR(__xludf.DUMMYFUNCTION("""COMPUTED_VALUE"""),"82")</f>
        <v>82</v>
      </c>
      <c r="E1787" s="30" t="str">
        <f ca="1">IFERROR(__xludf.DUMMYFUNCTION("""COMPUTED_VALUE"""),"")</f>
        <v/>
      </c>
      <c r="F1787" s="29"/>
      <c r="G1787" s="29"/>
      <c r="H1787" s="30" t="str">
        <f ca="1">IFERROR(__xludf.DUMMYFUNCTION("""COMPUTED_VALUE"""),"activo")</f>
        <v>activo</v>
      </c>
      <c r="I1787" s="29"/>
      <c r="J1787" s="29"/>
      <c r="K1787" s="29"/>
      <c r="L1787" s="30" t="str">
        <f ca="1">IFERROR(__xludf.DUMMYFUNCTION("""COMPUTED_VALUE"""),"No")</f>
        <v>No</v>
      </c>
      <c r="M1787" s="30" t="str">
        <f ca="1">IFERROR(__xludf.DUMMYFUNCTION("""COMPUTED_VALUE"""),"82084310000")</f>
        <v>82084310000</v>
      </c>
      <c r="N1787" s="30" t="str">
        <f ca="1">IFERROR(__xludf.DUMMYFUNCTION("""COMPUTED_VALUE"""),"VILLA GOBERNADOR GALVEZ")</f>
        <v>VILLA GOBERNADOR GALVEZ</v>
      </c>
      <c r="O1787" s="30" t="str">
        <f ca="1">IFERROR(__xludf.DUMMYFUNCTION("""COMPUTED_VALUE"""),"8284")</f>
        <v>8284</v>
      </c>
      <c r="P1787" s="30" t="str">
        <f ca="1">IFERROR(__xludf.DUMMYFUNCTION("""COMPUTED_VALUE"""),"ROSARIO")</f>
        <v>ROSARIO</v>
      </c>
      <c r="Q1787" s="30" t="str">
        <f ca="1">IFERROR(__xludf.DUMMYFUNCTION("""COMPUTED_VALUE"""),"-33.033752")</f>
        <v>-33.033752</v>
      </c>
      <c r="R1787" s="30" t="str">
        <f ca="1">IFERROR(__xludf.DUMMYFUNCTION("""COMPUTED_VALUE"""),"-60.631876")</f>
        <v>-60.631876</v>
      </c>
      <c r="S1787" s="30" t="str">
        <f ca="1">IFERROR(__xludf.DUMMYFUNCTION("""COMPUTED_VALUE"""),"Municipal")</f>
        <v>Municipal</v>
      </c>
      <c r="T1787" s="29"/>
    </row>
    <row r="1788" spans="1:20" ht="15.75" customHeight="1" x14ac:dyDescent="0.25">
      <c r="A1788" s="30" t="str">
        <f ca="1">IFERROR(__xludf.DUMMYFUNCTION("""COMPUTED_VALUE"""),"50820842184936")</f>
        <v>50820842184936</v>
      </c>
      <c r="B1788" s="30" t="str">
        <f ca="1">IFERROR(__xludf.DUMMYFUNCTION("""COMPUTED_VALUE"""),"CENTRO DE SALUD SAN ENRIQUE")</f>
        <v>CENTRO DE SALUD SAN ENRIQUE</v>
      </c>
      <c r="C1788" s="30" t="str">
        <f ca="1">IFERROR(__xludf.DUMMYFUNCTION("""COMPUTED_VALUE"""),"Santa Fe")</f>
        <v>Santa Fe</v>
      </c>
      <c r="D1788" s="30" t="str">
        <f ca="1">IFERROR(__xludf.DUMMYFUNCTION("""COMPUTED_VALUE"""),"82")</f>
        <v>82</v>
      </c>
      <c r="E1788" s="30" t="str">
        <f ca="1">IFERROR(__xludf.DUMMYFUNCTION("""COMPUTED_VALUE"""),"")</f>
        <v/>
      </c>
      <c r="F1788" s="29"/>
      <c r="G1788" s="29"/>
      <c r="H1788" s="30" t="str">
        <f ca="1">IFERROR(__xludf.DUMMYFUNCTION("""COMPUTED_VALUE"""),"activo")</f>
        <v>activo</v>
      </c>
      <c r="I1788" s="29"/>
      <c r="J1788" s="29"/>
      <c r="K1788" s="29"/>
      <c r="L1788" s="30" t="str">
        <f ca="1">IFERROR(__xludf.DUMMYFUNCTION("""COMPUTED_VALUE"""),"No")</f>
        <v>No</v>
      </c>
      <c r="M1788" s="30" t="str">
        <f ca="1">IFERROR(__xludf.DUMMYFUNCTION("""COMPUTED_VALUE"""),"82084310000")</f>
        <v>82084310000</v>
      </c>
      <c r="N1788" s="30" t="str">
        <f ca="1">IFERROR(__xludf.DUMMYFUNCTION("""COMPUTED_VALUE"""),"VILLA GOBERNADOR GALVEZ")</f>
        <v>VILLA GOBERNADOR GALVEZ</v>
      </c>
      <c r="O1788" s="30" t="str">
        <f ca="1">IFERROR(__xludf.DUMMYFUNCTION("""COMPUTED_VALUE"""),"8284")</f>
        <v>8284</v>
      </c>
      <c r="P1788" s="30" t="str">
        <f ca="1">IFERROR(__xludf.DUMMYFUNCTION("""COMPUTED_VALUE"""),"ROSARIO")</f>
        <v>ROSARIO</v>
      </c>
      <c r="Q1788" s="30" t="str">
        <f ca="1">IFERROR(__xludf.DUMMYFUNCTION("""COMPUTED_VALUE"""),"-33.03687381")</f>
        <v>-33.03687381</v>
      </c>
      <c r="R1788" s="30" t="str">
        <f ca="1">IFERROR(__xludf.DUMMYFUNCTION("""COMPUTED_VALUE"""),"-60.61706543")</f>
        <v>-60.61706543</v>
      </c>
      <c r="S1788" s="30" t="str">
        <f ca="1">IFERROR(__xludf.DUMMYFUNCTION("""COMPUTED_VALUE"""),"Provincial")</f>
        <v>Provincial</v>
      </c>
      <c r="T1788" s="30" t="str">
        <f ca="1">IFERROR(__xludf.DUMMYFUNCTION("""COMPUTED_VALUE"""),"-")</f>
        <v>-</v>
      </c>
    </row>
    <row r="1789" spans="1:20" ht="15.75" customHeight="1" x14ac:dyDescent="0.25">
      <c r="A1789" s="30" t="str">
        <f ca="1">IFERROR(__xludf.DUMMYFUNCTION("""COMPUTED_VALUE"""),"10820492184130")</f>
        <v>10820492184130</v>
      </c>
      <c r="B1789" s="30" t="str">
        <f ca="1">IFERROR(__xludf.DUMMYFUNCTION("""COMPUTED_VALUE"""),"SAMCO CARLOS HARTENECK")</f>
        <v>SAMCO CARLOS HARTENECK</v>
      </c>
      <c r="C1789" s="30" t="str">
        <f ca="1">IFERROR(__xludf.DUMMYFUNCTION("""COMPUTED_VALUE"""),"Santa Fe")</f>
        <v>Santa Fe</v>
      </c>
      <c r="D1789" s="30" t="str">
        <f ca="1">IFERROR(__xludf.DUMMYFUNCTION("""COMPUTED_VALUE"""),"82")</f>
        <v>82</v>
      </c>
      <c r="E1789" s="30" t="str">
        <f ca="1">IFERROR(__xludf.DUMMYFUNCTION("""COMPUTED_VALUE"""),"")</f>
        <v/>
      </c>
      <c r="F1789" s="29"/>
      <c r="G1789" s="29"/>
      <c r="H1789" s="30" t="str">
        <f ca="1">IFERROR(__xludf.DUMMYFUNCTION("""COMPUTED_VALUE"""),"activo")</f>
        <v>activo</v>
      </c>
      <c r="I1789" s="29"/>
      <c r="J1789" s="29"/>
      <c r="K1789" s="29"/>
      <c r="L1789" s="30" t="str">
        <f ca="1">IFERROR(__xludf.DUMMYFUNCTION("""COMPUTED_VALUE"""),"No")</f>
        <v>No</v>
      </c>
      <c r="M1789" s="30" t="str">
        <f ca="1">IFERROR(__xludf.DUMMYFUNCTION("""COMPUTED_VALUE"""),"82049220000")</f>
        <v>82049220000</v>
      </c>
      <c r="N1789" s="30" t="str">
        <f ca="1">IFERROR(__xludf.DUMMYFUNCTION("""COMPUTED_VALUE"""),"VILLA GUILLERMINA")</f>
        <v>VILLA GUILLERMINA</v>
      </c>
      <c r="O1789" s="30" t="str">
        <f ca="1">IFERROR(__xludf.DUMMYFUNCTION("""COMPUTED_VALUE"""),"8249")</f>
        <v>8249</v>
      </c>
      <c r="P1789" s="30" t="str">
        <f ca="1">IFERROR(__xludf.DUMMYFUNCTION("""COMPUTED_VALUE"""),"GENERAL OBLIGADO")</f>
        <v>GENERAL OBLIGADO</v>
      </c>
      <c r="Q1789" s="30" t="str">
        <f ca="1">IFERROR(__xludf.DUMMYFUNCTION("""COMPUTED_VALUE"""),"-28.24339804")</f>
        <v>-28.24339804</v>
      </c>
      <c r="R1789" s="30" t="str">
        <f ca="1">IFERROR(__xludf.DUMMYFUNCTION("""COMPUTED_VALUE"""),"-59.45291162")</f>
        <v>-59.45291162</v>
      </c>
      <c r="S1789" s="30" t="str">
        <f ca="1">IFERROR(__xludf.DUMMYFUNCTION("""COMPUTED_VALUE"""),"Provincial")</f>
        <v>Provincial</v>
      </c>
      <c r="T1789" s="30" t="str">
        <f ca="1">IFERROR(__xludf.DUMMYFUNCTION("""COMPUTED_VALUE"""),"-")</f>
        <v>-</v>
      </c>
    </row>
    <row r="1790" spans="1:20" ht="15.75" customHeight="1" x14ac:dyDescent="0.25">
      <c r="A1790" s="30" t="str">
        <f ca="1">IFERROR(__xludf.DUMMYFUNCTION("""COMPUTED_VALUE"""),"50820142184658")</f>
        <v>50820142184658</v>
      </c>
      <c r="B1790" s="30" t="str">
        <f ca="1">IFERROR(__xludf.DUMMYFUNCTION("""COMPUTED_VALUE"""),"CENTRO DE SALUD DR. RENE FAVALORO")</f>
        <v>CENTRO DE SALUD DR. RENE FAVALORO</v>
      </c>
      <c r="C1790" s="30" t="str">
        <f ca="1">IFERROR(__xludf.DUMMYFUNCTION("""COMPUTED_VALUE"""),"Santa Fe")</f>
        <v>Santa Fe</v>
      </c>
      <c r="D1790" s="30" t="str">
        <f ca="1">IFERROR(__xludf.DUMMYFUNCTION("""COMPUTED_VALUE"""),"82")</f>
        <v>82</v>
      </c>
      <c r="E1790" s="30" t="str">
        <f ca="1">IFERROR(__xludf.DUMMYFUNCTION("""COMPUTED_VALUE"""),"")</f>
        <v/>
      </c>
      <c r="F1790" s="29"/>
      <c r="G1790" s="29"/>
      <c r="H1790" s="30" t="str">
        <f ca="1">IFERROR(__xludf.DUMMYFUNCTION("""COMPUTED_VALUE"""),"activo")</f>
        <v>activo</v>
      </c>
      <c r="I1790" s="29"/>
      <c r="J1790" s="29"/>
      <c r="K1790" s="29"/>
      <c r="L1790" s="30" t="str">
        <f ca="1">IFERROR(__xludf.DUMMYFUNCTION("""COMPUTED_VALUE"""),"No")</f>
        <v>No</v>
      </c>
      <c r="M1790" s="30" t="str">
        <f ca="1">IFERROR(__xludf.DUMMYFUNCTION("""COMPUTED_VALUE"""),"82014140000")</f>
        <v>82014140000</v>
      </c>
      <c r="N1790" s="30" t="str">
        <f ca="1">IFERROR(__xludf.DUMMYFUNCTION("""COMPUTED_VALUE"""),"VILLADA")</f>
        <v>VILLADA</v>
      </c>
      <c r="O1790" s="30" t="str">
        <f ca="1">IFERROR(__xludf.DUMMYFUNCTION("""COMPUTED_VALUE"""),"8214")</f>
        <v>8214</v>
      </c>
      <c r="P1790" s="30" t="str">
        <f ca="1">IFERROR(__xludf.DUMMYFUNCTION("""COMPUTED_VALUE"""),"CASEROS")</f>
        <v>CASEROS</v>
      </c>
      <c r="Q1790" s="30" t="str">
        <f ca="1">IFERROR(__xludf.DUMMYFUNCTION("""COMPUTED_VALUE"""),"-33.35519396")</f>
        <v>-33.35519396</v>
      </c>
      <c r="R1790" s="30" t="str">
        <f ca="1">IFERROR(__xludf.DUMMYFUNCTION("""COMPUTED_VALUE"""),"-61.4616394")</f>
        <v>-61.4616394</v>
      </c>
      <c r="S1790" s="30" t="str">
        <f ca="1">IFERROR(__xludf.DUMMYFUNCTION("""COMPUTED_VALUE"""),"Provincial")</f>
        <v>Provincial</v>
      </c>
      <c r="T1790" s="30" t="str">
        <f ca="1">IFERROR(__xludf.DUMMYFUNCTION("""COMPUTED_VALUE"""),"-")</f>
        <v>-</v>
      </c>
    </row>
    <row r="1791" spans="1:20" ht="15.75" customHeight="1" x14ac:dyDescent="0.25">
      <c r="A1791" s="30" t="str">
        <f ca="1">IFERROR(__xludf.DUMMYFUNCTION("""COMPUTED_VALUE"""),"50820492186539")</f>
        <v>50820492186539</v>
      </c>
      <c r="B1791" s="30" t="str">
        <f ca="1">IFERROR(__xludf.DUMMYFUNCTION("""COMPUTED_VALUE"""),"POSTA SANITARIA SAN FRANCISCO")</f>
        <v>POSTA SANITARIA SAN FRANCISCO</v>
      </c>
      <c r="C1791" s="30" t="str">
        <f ca="1">IFERROR(__xludf.DUMMYFUNCTION("""COMPUTED_VALUE"""),"Santa Fe")</f>
        <v>Santa Fe</v>
      </c>
      <c r="D1791" s="30" t="str">
        <f ca="1">IFERROR(__xludf.DUMMYFUNCTION("""COMPUTED_VALUE"""),"82")</f>
        <v>82</v>
      </c>
      <c r="E1791" s="30" t="str">
        <f ca="1">IFERROR(__xludf.DUMMYFUNCTION("""COMPUTED_VALUE"""),"")</f>
        <v/>
      </c>
      <c r="F1791" s="30" t="str">
        <f ca="1">IFERROR(__xludf.DUMMYFUNCTION("""COMPUTED_VALUE"""),"50820842284898")</f>
        <v>50820842284898</v>
      </c>
      <c r="G1791" s="29"/>
      <c r="H1791" s="30" t="str">
        <f ca="1">IFERROR(__xludf.DUMMYFUNCTION("""COMPUTED_VALUE"""),"activo")</f>
        <v>activo</v>
      </c>
      <c r="I1791" s="30" t="str">
        <f ca="1">IFERROR(__xludf.DUMMYFUNCTION("""COMPUTED_VALUE"""),"2020")</f>
        <v>2020</v>
      </c>
      <c r="J1791" s="29"/>
      <c r="K1791" s="29"/>
      <c r="L1791" s="30" t="str">
        <f ca="1">IFERROR(__xludf.DUMMYFUNCTION("""COMPUTED_VALUE"""),"No")</f>
        <v>No</v>
      </c>
      <c r="M1791" s="30" t="str">
        <f ca="1">IFERROR(__xludf.DUMMYFUNCTION("""COMPUTED_VALUE"""),"82049180000")</f>
        <v>82049180000</v>
      </c>
      <c r="N1791" s="30" t="str">
        <f ca="1">IFERROR(__xludf.DUMMYFUNCTION("""COMPUTED_VALUE"""),"RECONQUISTA")</f>
        <v>RECONQUISTA</v>
      </c>
      <c r="O1791" s="30" t="str">
        <f ca="1">IFERROR(__xludf.DUMMYFUNCTION("""COMPUTED_VALUE"""),"8249")</f>
        <v>8249</v>
      </c>
      <c r="P1791" s="30" t="str">
        <f ca="1">IFERROR(__xludf.DUMMYFUNCTION("""COMPUTED_VALUE"""),"GENERAL OBLIGADO")</f>
        <v>GENERAL OBLIGADO</v>
      </c>
      <c r="Q1791" s="30" t="str">
        <f ca="1">IFERROR(__xludf.DUMMYFUNCTION("""COMPUTED_VALUE"""),"-29.15442875")</f>
        <v>-29.15442875</v>
      </c>
      <c r="R1791" s="30" t="str">
        <f ca="1">IFERROR(__xludf.DUMMYFUNCTION("""COMPUTED_VALUE"""),"-59.65966702")</f>
        <v>-59.65966702</v>
      </c>
      <c r="S1791" s="30" t="str">
        <f ca="1">IFERROR(__xludf.DUMMYFUNCTION("""COMPUTED_VALUE"""),"Provincial")</f>
        <v>Provincial</v>
      </c>
      <c r="T1791" s="30" t="str">
        <f ca="1">IFERROR(__xludf.DUMMYFUNCTION("""COMPUTED_VALUE"""),"-")</f>
        <v>-</v>
      </c>
    </row>
    <row r="1792" spans="1:20" ht="15.75" customHeight="1" x14ac:dyDescent="0.25">
      <c r="A1792" s="30" t="str">
        <f ca="1">IFERROR(__xludf.DUMMYFUNCTION("""COMPUTED_VALUE"""),"50820632284540")</f>
        <v>50820632284540</v>
      </c>
      <c r="B1792" s="30" t="str">
        <f ca="1">IFERROR(__xludf.DUMMYFUNCTION("""COMPUTED_VALUE"""),"CENTRO DE SALUD INTERCULTURAL NATARENTACA COM NALEQUETEGUETA")</f>
        <v>CENTRO DE SALUD INTERCULTURAL NATARENTACA COM NALEQUETEGUETA</v>
      </c>
      <c r="C1792" s="30" t="str">
        <f ca="1">IFERROR(__xludf.DUMMYFUNCTION("""COMPUTED_VALUE"""),"Santa Fe")</f>
        <v>Santa Fe</v>
      </c>
      <c r="D1792" s="30" t="str">
        <f ca="1">IFERROR(__xludf.DUMMYFUNCTION("""COMPUTED_VALUE"""),"82")</f>
        <v>82</v>
      </c>
      <c r="E1792" s="30" t="str">
        <f ca="1">IFERROR(__xludf.DUMMYFUNCTION("""COMPUTED_VALUE"""),"")</f>
        <v/>
      </c>
      <c r="F1792" s="30" t="str">
        <f ca="1">IFERROR(__xludf.DUMMYFUNCTION("""COMPUTED_VALUE"""),"50820632184797")</f>
        <v>50820632184797</v>
      </c>
      <c r="G1792" s="29"/>
      <c r="H1792" s="30" t="str">
        <f ca="1">IFERROR(__xludf.DUMMYFUNCTION("""COMPUTED_VALUE"""),"activo")</f>
        <v>activo</v>
      </c>
      <c r="I1792" s="30" t="str">
        <f ca="1">IFERROR(__xludf.DUMMYFUNCTION("""COMPUTED_VALUE"""),"2020")</f>
        <v>2020</v>
      </c>
      <c r="J1792" s="29"/>
      <c r="K1792" s="29"/>
      <c r="L1792" s="30" t="str">
        <f ca="1">IFERROR(__xludf.DUMMYFUNCTION("""COMPUTED_VALUE"""),"No")</f>
        <v>No</v>
      </c>
      <c r="M1792" s="30" t="str">
        <f ca="1">IFERROR(__xludf.DUMMYFUNCTION("""COMPUTED_VALUE"""),"82063140000")</f>
        <v>82063140000</v>
      </c>
      <c r="N1792" s="30" t="str">
        <f ca="1">IFERROR(__xludf.DUMMYFUNCTION("""COMPUTED_VALUE"""),"RECREO")</f>
        <v>RECREO</v>
      </c>
      <c r="O1792" s="30" t="str">
        <f ca="1">IFERROR(__xludf.DUMMYFUNCTION("""COMPUTED_VALUE"""),"8263")</f>
        <v>8263</v>
      </c>
      <c r="P1792" s="30" t="str">
        <f ca="1">IFERROR(__xludf.DUMMYFUNCTION("""COMPUTED_VALUE"""),"LA CAPITAL")</f>
        <v>LA CAPITAL</v>
      </c>
      <c r="Q1792" s="30" t="str">
        <f ca="1">IFERROR(__xludf.DUMMYFUNCTION("""COMPUTED_VALUE"""),"-31.4977335")</f>
        <v>-31.4977335</v>
      </c>
      <c r="R1792" s="30" t="str">
        <f ca="1">IFERROR(__xludf.DUMMYFUNCTION("""COMPUTED_VALUE"""),"-60.7241483")</f>
        <v>-60.7241483</v>
      </c>
      <c r="S1792" s="30" t="str">
        <f ca="1">IFERROR(__xludf.DUMMYFUNCTION("""COMPUTED_VALUE"""),"Municipal")</f>
        <v>Municipal</v>
      </c>
      <c r="T1792" s="29"/>
    </row>
    <row r="1793" spans="1:20" ht="15.75" customHeight="1" x14ac:dyDescent="0.25">
      <c r="A1793" s="30" t="str">
        <f ca="1">IFERROR(__xludf.DUMMYFUNCTION("""COMPUTED_VALUE"""),"10860142192025")</f>
        <v>10860142192025</v>
      </c>
      <c r="B1793" s="30" t="str">
        <f ca="1">IFERROR(__xludf.DUMMYFUNCTION("""COMPUTED_VALUE"""),"HOSPITAL DE TRANSITO SACHAYOJ")</f>
        <v>HOSPITAL DE TRANSITO SACHAYOJ</v>
      </c>
      <c r="C1793" s="30" t="str">
        <f ca="1">IFERROR(__xludf.DUMMYFUNCTION("""COMPUTED_VALUE"""),"Santiago del Estero")</f>
        <v>Santiago del Estero</v>
      </c>
      <c r="D1793" s="30" t="str">
        <f ca="1">IFERROR(__xludf.DUMMYFUNCTION("""COMPUTED_VALUE"""),"86")</f>
        <v>86</v>
      </c>
      <c r="E1793" s="30" t="str">
        <f ca="1">IFERROR(__xludf.DUMMYFUNCTION("""COMPUTED_VALUE"""),"")</f>
        <v/>
      </c>
      <c r="F1793" s="29"/>
      <c r="G1793" s="29"/>
      <c r="H1793" s="30" t="str">
        <f ca="1">IFERROR(__xludf.DUMMYFUNCTION("""COMPUTED_VALUE"""),"inactivo")</f>
        <v>inactivo</v>
      </c>
      <c r="I1793" s="30" t="str">
        <f ca="1">IFERROR(__xludf.DUMMYFUNCTION("""COMPUTED_VALUE"""),"No se encontro la circular2")</f>
        <v>No se encontro la circular2</v>
      </c>
      <c r="J1793" s="29"/>
      <c r="K1793" s="29"/>
      <c r="L1793" s="30" t="str">
        <f ca="1">IFERROR(__xludf.DUMMYFUNCTION("""COMPUTED_VALUE"""),"No")</f>
        <v>No</v>
      </c>
      <c r="M1793" s="30" t="str">
        <f ca="1">IFERROR(__xludf.DUMMYFUNCTION("""COMPUTED_VALUE"""),"86014040000")</f>
        <v>86014040000</v>
      </c>
      <c r="N1793" s="30" t="str">
        <f ca="1">IFERROR(__xludf.DUMMYFUNCTION("""COMPUTED_VALUE"""),"SACHAYOJ")</f>
        <v>SACHAYOJ</v>
      </c>
      <c r="O1793" s="30" t="str">
        <f ca="1">IFERROR(__xludf.DUMMYFUNCTION("""COMPUTED_VALUE"""),"8614")</f>
        <v>8614</v>
      </c>
      <c r="P1793" s="30" t="str">
        <f ca="1">IFERROR(__xludf.DUMMYFUNCTION("""COMPUTED_VALUE"""),"ALBERDI")</f>
        <v>ALBERDI</v>
      </c>
      <c r="Q1793" s="30" t="str">
        <f ca="1">IFERROR(__xludf.DUMMYFUNCTION("""COMPUTED_VALUE"""),"-26.67497079")</f>
        <v>-26.67497079</v>
      </c>
      <c r="R1793" s="30" t="str">
        <f ca="1">IFERROR(__xludf.DUMMYFUNCTION("""COMPUTED_VALUE"""),"-61.81417322")</f>
        <v>-61.81417322</v>
      </c>
      <c r="S1793" s="30" t="str">
        <f ca="1">IFERROR(__xludf.DUMMYFUNCTION("""COMPUTED_VALUE"""),"Provincial")</f>
        <v>Provincial</v>
      </c>
      <c r="T1793" s="30" t="str">
        <f ca="1">IFERROR(__xludf.DUMMYFUNCTION("""COMPUTED_VALUE"""),"-")</f>
        <v>-</v>
      </c>
    </row>
    <row r="1794" spans="1:20" ht="15.75" customHeight="1" x14ac:dyDescent="0.25">
      <c r="A1794" s="30" t="str">
        <f ca="1">IFERROR(__xludf.DUMMYFUNCTION("""COMPUTED_VALUE"""),"10860142192051")</f>
        <v>10860142192051</v>
      </c>
      <c r="B1794" s="30" t="str">
        <f ca="1">IFERROR(__xludf.DUMMYFUNCTION("""COMPUTED_VALUE"""),"HOSPITAL ZONAL CAMPO GALLO")</f>
        <v>HOSPITAL ZONAL CAMPO GALLO</v>
      </c>
      <c r="C1794" s="30" t="str">
        <f ca="1">IFERROR(__xludf.DUMMYFUNCTION("""COMPUTED_VALUE"""),"Santiago del Estero")</f>
        <v>Santiago del Estero</v>
      </c>
      <c r="D1794" s="30" t="str">
        <f ca="1">IFERROR(__xludf.DUMMYFUNCTION("""COMPUTED_VALUE"""),"86")</f>
        <v>86</v>
      </c>
      <c r="E1794" s="30" t="str">
        <f ca="1">IFERROR(__xludf.DUMMYFUNCTION("""COMPUTED_VALUE"""),"")</f>
        <v/>
      </c>
      <c r="F1794" s="29"/>
      <c r="G1794" s="29"/>
      <c r="H1794" s="30" t="str">
        <f ca="1">IFERROR(__xludf.DUMMYFUNCTION("""COMPUTED_VALUE"""),"inactivo")</f>
        <v>inactivo</v>
      </c>
      <c r="I1794" s="30" t="str">
        <f ca="1">IFERROR(__xludf.DUMMYFUNCTION("""COMPUTED_VALUE"""),"No se encontro la circular2")</f>
        <v>No se encontro la circular2</v>
      </c>
      <c r="J1794" s="29"/>
      <c r="K1794" s="29"/>
      <c r="L1794" s="30" t="str">
        <f ca="1">IFERROR(__xludf.DUMMYFUNCTION("""COMPUTED_VALUE"""),"No")</f>
        <v>No</v>
      </c>
      <c r="M1794" s="30" t="str">
        <f ca="1">IFERROR(__xludf.DUMMYFUNCTION("""COMPUTED_VALUE"""),"86014010000")</f>
        <v>86014010000</v>
      </c>
      <c r="N1794" s="30" t="str">
        <f ca="1">IFERROR(__xludf.DUMMYFUNCTION("""COMPUTED_VALUE"""),"CAMPO GALLO")</f>
        <v>CAMPO GALLO</v>
      </c>
      <c r="O1794" s="30" t="str">
        <f ca="1">IFERROR(__xludf.DUMMYFUNCTION("""COMPUTED_VALUE"""),"8614")</f>
        <v>8614</v>
      </c>
      <c r="P1794" s="30" t="str">
        <f ca="1">IFERROR(__xludf.DUMMYFUNCTION("""COMPUTED_VALUE"""),"ALBERDI")</f>
        <v>ALBERDI</v>
      </c>
      <c r="Q1794" s="30" t="str">
        <f ca="1">IFERROR(__xludf.DUMMYFUNCTION("""COMPUTED_VALUE"""),"-26.34433")</f>
        <v>-26.34433</v>
      </c>
      <c r="R1794" s="30" t="str">
        <f ca="1">IFERROR(__xludf.DUMMYFUNCTION("""COMPUTED_VALUE"""),"-62.50654")</f>
        <v>-62.50654</v>
      </c>
      <c r="S1794" s="30" t="str">
        <f ca="1">IFERROR(__xludf.DUMMYFUNCTION("""COMPUTED_VALUE"""),"Provincial")</f>
        <v>Provincial</v>
      </c>
      <c r="T1794" s="30" t="str">
        <f ca="1">IFERROR(__xludf.DUMMYFUNCTION("""COMPUTED_VALUE"""),"-")</f>
        <v>-</v>
      </c>
    </row>
    <row r="1795" spans="1:20" ht="15.75" customHeight="1" x14ac:dyDescent="0.25">
      <c r="A1795" s="30" t="str">
        <f ca="1">IFERROR(__xludf.DUMMYFUNCTION("""COMPUTED_VALUE"""),"10860212192046")</f>
        <v>10860212192046</v>
      </c>
      <c r="B1795" s="30" t="str">
        <f ca="1">IFERROR(__xludf.DUMMYFUNCTION("""COMPUTED_VALUE"""),"HOSPITAL DISTRITAL VILLA ATAMISQUI")</f>
        <v>HOSPITAL DISTRITAL VILLA ATAMISQUI</v>
      </c>
      <c r="C1795" s="30" t="str">
        <f ca="1">IFERROR(__xludf.DUMMYFUNCTION("""COMPUTED_VALUE"""),"Santiago del Estero")</f>
        <v>Santiago del Estero</v>
      </c>
      <c r="D1795" s="30" t="str">
        <f ca="1">IFERROR(__xludf.DUMMYFUNCTION("""COMPUTED_VALUE"""),"86")</f>
        <v>86</v>
      </c>
      <c r="E1795" s="30" t="str">
        <f ca="1">IFERROR(__xludf.DUMMYFUNCTION("""COMPUTED_VALUE"""),"si")</f>
        <v>si</v>
      </c>
      <c r="F1795" s="29"/>
      <c r="G1795" s="29"/>
      <c r="H1795" s="30" t="str">
        <f ca="1">IFERROR(__xludf.DUMMYFUNCTION("""COMPUTED_VALUE"""),"activo")</f>
        <v>activo</v>
      </c>
      <c r="I1795" s="30" t="str">
        <f ca="1">IFERROR(__xludf.DUMMYFUNCTION("""COMPUTED_VALUE"""),"No se encontro la circular2")</f>
        <v>No se encontro la circular2</v>
      </c>
      <c r="J1795" s="29"/>
      <c r="K1795" s="29"/>
      <c r="L1795" s="30" t="str">
        <f ca="1">IFERROR(__xludf.DUMMYFUNCTION("""COMPUTED_VALUE"""),"No")</f>
        <v>No</v>
      </c>
      <c r="M1795" s="30" t="str">
        <f ca="1">IFERROR(__xludf.DUMMYFUNCTION("""COMPUTED_VALUE"""),"86021030000")</f>
        <v>86021030000</v>
      </c>
      <c r="N1795" s="30" t="str">
        <f ca="1">IFERROR(__xludf.DUMMYFUNCTION("""COMPUTED_VALUE"""),"VILLA ATAMISQUI")</f>
        <v>VILLA ATAMISQUI</v>
      </c>
      <c r="O1795" s="30" t="str">
        <f ca="1">IFERROR(__xludf.DUMMYFUNCTION("""COMPUTED_VALUE"""),"8621")</f>
        <v>8621</v>
      </c>
      <c r="P1795" s="30" t="str">
        <f ca="1">IFERROR(__xludf.DUMMYFUNCTION("""COMPUTED_VALUE"""),"ATAMISQUI")</f>
        <v>ATAMISQUI</v>
      </c>
      <c r="Q1795" s="30" t="str">
        <f ca="1">IFERROR(__xludf.DUMMYFUNCTION("""COMPUTED_VALUE"""),"-28.48210319")</f>
        <v>-28.48210319</v>
      </c>
      <c r="R1795" s="30" t="str">
        <f ca="1">IFERROR(__xludf.DUMMYFUNCTION("""COMPUTED_VALUE"""),"-63.80034667")</f>
        <v>-63.80034667</v>
      </c>
      <c r="S1795" s="30" t="str">
        <f ca="1">IFERROR(__xludf.DUMMYFUNCTION("""COMPUTED_VALUE"""),"Provincial")</f>
        <v>Provincial</v>
      </c>
      <c r="T1795" s="30" t="str">
        <f ca="1">IFERROR(__xludf.DUMMYFUNCTION("""COMPUTED_VALUE"""),"-")</f>
        <v>-</v>
      </c>
    </row>
    <row r="1796" spans="1:20" ht="15.75" customHeight="1" x14ac:dyDescent="0.25">
      <c r="A1796" s="30" t="str">
        <f ca="1">IFERROR(__xludf.DUMMYFUNCTION("""COMPUTED_VALUE"""),"10860282192016")</f>
        <v>10860282192016</v>
      </c>
      <c r="B1796" s="30" t="str">
        <f ca="1">IFERROR(__xludf.DUMMYFUNCTION("""COMPUTED_VALUE"""),"HOSPITAL DE TRANSITO COLONIA DORA")</f>
        <v>HOSPITAL DE TRANSITO COLONIA DORA</v>
      </c>
      <c r="C1796" s="30" t="str">
        <f ca="1">IFERROR(__xludf.DUMMYFUNCTION("""COMPUTED_VALUE"""),"Santiago del Estero")</f>
        <v>Santiago del Estero</v>
      </c>
      <c r="D1796" s="30" t="str">
        <f ca="1">IFERROR(__xludf.DUMMYFUNCTION("""COMPUTED_VALUE"""),"86")</f>
        <v>86</v>
      </c>
      <c r="E1796" s="30" t="str">
        <f ca="1">IFERROR(__xludf.DUMMYFUNCTION("""COMPUTED_VALUE"""),"si")</f>
        <v>si</v>
      </c>
      <c r="F1796" s="29"/>
      <c r="G1796" s="29"/>
      <c r="H1796" s="30" t="str">
        <f ca="1">IFERROR(__xludf.DUMMYFUNCTION("""COMPUTED_VALUE"""),"activo")</f>
        <v>activo</v>
      </c>
      <c r="I1796" s="30" t="str">
        <f ca="1">IFERROR(__xludf.DUMMYFUNCTION("""COMPUTED_VALUE"""),"No se encontro la circular2")</f>
        <v>No se encontro la circular2</v>
      </c>
      <c r="J1796" s="29"/>
      <c r="K1796" s="29"/>
      <c r="L1796" s="30" t="str">
        <f ca="1">IFERROR(__xludf.DUMMYFUNCTION("""COMPUTED_VALUE"""),"No")</f>
        <v>No</v>
      </c>
      <c r="M1796" s="30" t="str">
        <f ca="1">IFERROR(__xludf.DUMMYFUNCTION("""COMPUTED_VALUE"""),"86028010000")</f>
        <v>86028010000</v>
      </c>
      <c r="N1796" s="30" t="str">
        <f ca="1">IFERROR(__xludf.DUMMYFUNCTION("""COMPUTED_VALUE"""),"COLONIA DORA")</f>
        <v>COLONIA DORA</v>
      </c>
      <c r="O1796" s="30" t="str">
        <f ca="1">IFERROR(__xludf.DUMMYFUNCTION("""COMPUTED_VALUE"""),"8628")</f>
        <v>8628</v>
      </c>
      <c r="P1796" s="30" t="str">
        <f ca="1">IFERROR(__xludf.DUMMYFUNCTION("""COMPUTED_VALUE"""),"AVELLANEDA")</f>
        <v>AVELLANEDA</v>
      </c>
      <c r="Q1796" s="30" t="str">
        <f ca="1">IFERROR(__xludf.DUMMYFUNCTION("""COMPUTED_VALUE"""),"-28.59876424")</f>
        <v>-28.59876424</v>
      </c>
      <c r="R1796" s="30" t="str">
        <f ca="1">IFERROR(__xludf.DUMMYFUNCTION("""COMPUTED_VALUE"""),"-62.94675207")</f>
        <v>-62.94675207</v>
      </c>
      <c r="S1796" s="30" t="str">
        <f ca="1">IFERROR(__xludf.DUMMYFUNCTION("""COMPUTED_VALUE"""),"Provincial")</f>
        <v>Provincial</v>
      </c>
      <c r="T1796" s="30" t="str">
        <f ca="1">IFERROR(__xludf.DUMMYFUNCTION("""COMPUTED_VALUE"""),"-")</f>
        <v>-</v>
      </c>
    </row>
    <row r="1797" spans="1:20" ht="15.75" customHeight="1" x14ac:dyDescent="0.25">
      <c r="A1797" s="30" t="str">
        <f ca="1">IFERROR(__xludf.DUMMYFUNCTION("""COMPUTED_VALUE"""),"10860352192039")</f>
        <v>10860352192039</v>
      </c>
      <c r="B1797" s="30" t="str">
        <f ca="1">IFERROR(__xludf.DUMMYFUNCTION("""COMPUTED_VALUE"""),"HOSPITAL DISTRITAL CLODOMIRA DR. GUILLERMO RAWSON")</f>
        <v>HOSPITAL DISTRITAL CLODOMIRA DR. GUILLERMO RAWSON</v>
      </c>
      <c r="C1797" s="30" t="str">
        <f ca="1">IFERROR(__xludf.DUMMYFUNCTION("""COMPUTED_VALUE"""),"Santiago del Estero")</f>
        <v>Santiago del Estero</v>
      </c>
      <c r="D1797" s="30" t="str">
        <f ca="1">IFERROR(__xludf.DUMMYFUNCTION("""COMPUTED_VALUE"""),"86")</f>
        <v>86</v>
      </c>
      <c r="E1797" s="30" t="str">
        <f ca="1">IFERROR(__xludf.DUMMYFUNCTION("""COMPUTED_VALUE"""),"")</f>
        <v/>
      </c>
      <c r="F1797" s="29"/>
      <c r="G1797" s="29"/>
      <c r="H1797" s="30" t="str">
        <f ca="1">IFERROR(__xludf.DUMMYFUNCTION("""COMPUTED_VALUE"""),"activo")</f>
        <v>activo</v>
      </c>
      <c r="I1797" s="30" t="str">
        <f ca="1">IFERROR(__xludf.DUMMYFUNCTION("""COMPUTED_VALUE"""),"No se encontro la circular2")</f>
        <v>No se encontro la circular2</v>
      </c>
      <c r="J1797" s="29"/>
      <c r="K1797" s="29"/>
      <c r="L1797" s="30" t="str">
        <f ca="1">IFERROR(__xludf.DUMMYFUNCTION("""COMPUTED_VALUE"""),"No")</f>
        <v>No</v>
      </c>
      <c r="M1797" s="30" t="str">
        <f ca="1">IFERROR(__xludf.DUMMYFUNCTION("""COMPUTED_VALUE"""),"86035060000")</f>
        <v>86035060000</v>
      </c>
      <c r="N1797" s="30" t="str">
        <f ca="1">IFERROR(__xludf.DUMMYFUNCTION("""COMPUTED_VALUE"""),"CLODOMIRA")</f>
        <v>CLODOMIRA</v>
      </c>
      <c r="O1797" s="30" t="str">
        <f ca="1">IFERROR(__xludf.DUMMYFUNCTION("""COMPUTED_VALUE"""),"8635")</f>
        <v>8635</v>
      </c>
      <c r="P1797" s="30" t="str">
        <f ca="1">IFERROR(__xludf.DUMMYFUNCTION("""COMPUTED_VALUE"""),"BANDA")</f>
        <v>BANDA</v>
      </c>
      <c r="Q1797" s="30" t="str">
        <f ca="1">IFERROR(__xludf.DUMMYFUNCTION("""COMPUTED_VALUE"""),"-27.58051125")</f>
        <v>-27.58051125</v>
      </c>
      <c r="R1797" s="30" t="str">
        <f ca="1">IFERROR(__xludf.DUMMYFUNCTION("""COMPUTED_VALUE"""),"-64.13454723")</f>
        <v>-64.13454723</v>
      </c>
      <c r="S1797" s="30" t="str">
        <f ca="1">IFERROR(__xludf.DUMMYFUNCTION("""COMPUTED_VALUE"""),"Provincial")</f>
        <v>Provincial</v>
      </c>
      <c r="T1797" s="30" t="str">
        <f ca="1">IFERROR(__xludf.DUMMYFUNCTION("""COMPUTED_VALUE"""),"-")</f>
        <v>-</v>
      </c>
    </row>
    <row r="1798" spans="1:20" ht="15.75" customHeight="1" x14ac:dyDescent="0.25">
      <c r="A1798" s="30" t="str">
        <f ca="1">IFERROR(__xludf.DUMMYFUNCTION("""COMPUTED_VALUE"""),"10860422192034")</f>
        <v>10860422192034</v>
      </c>
      <c r="B1798" s="30" t="str">
        <f ca="1">IFERROR(__xludf.DUMMYFUNCTION("""COMPUTED_VALUE"""),"HOSPITAL DISTRITAL BANDERA DR. ELISEO OGALLAR")</f>
        <v>HOSPITAL DISTRITAL BANDERA DR. ELISEO OGALLAR</v>
      </c>
      <c r="C1798" s="30" t="str">
        <f ca="1">IFERROR(__xludf.DUMMYFUNCTION("""COMPUTED_VALUE"""),"Santiago del Estero")</f>
        <v>Santiago del Estero</v>
      </c>
      <c r="D1798" s="30" t="str">
        <f ca="1">IFERROR(__xludf.DUMMYFUNCTION("""COMPUTED_VALUE"""),"86")</f>
        <v>86</v>
      </c>
      <c r="E1798" s="30" t="str">
        <f ca="1">IFERROR(__xludf.DUMMYFUNCTION("""COMPUTED_VALUE"""),"")</f>
        <v/>
      </c>
      <c r="F1798" s="29"/>
      <c r="G1798" s="29"/>
      <c r="H1798" s="30" t="str">
        <f ca="1">IFERROR(__xludf.DUMMYFUNCTION("""COMPUTED_VALUE"""),"inactivo")</f>
        <v>inactivo</v>
      </c>
      <c r="I1798" s="30" t="str">
        <f ca="1">IFERROR(__xludf.DUMMYFUNCTION("""COMPUTED_VALUE"""),"No se encontro la circular2")</f>
        <v>No se encontro la circular2</v>
      </c>
      <c r="J1798" s="29"/>
      <c r="K1798" s="29"/>
      <c r="L1798" s="30" t="str">
        <f ca="1">IFERROR(__xludf.DUMMYFUNCTION("""COMPUTED_VALUE"""),"No")</f>
        <v>No</v>
      </c>
      <c r="M1798" s="30" t="str">
        <f ca="1">IFERROR(__xludf.DUMMYFUNCTION("""COMPUTED_VALUE"""),"86042010000")</f>
        <v>86042010000</v>
      </c>
      <c r="N1798" s="30" t="str">
        <f ca="1">IFERROR(__xludf.DUMMYFUNCTION("""COMPUTED_VALUE"""),"BANDERA")</f>
        <v>BANDERA</v>
      </c>
      <c r="O1798" s="30" t="str">
        <f ca="1">IFERROR(__xludf.DUMMYFUNCTION("""COMPUTED_VALUE"""),"8642")</f>
        <v>8642</v>
      </c>
      <c r="P1798" s="30" t="str">
        <f ca="1">IFERROR(__xludf.DUMMYFUNCTION("""COMPUTED_VALUE"""),"BELGRANO")</f>
        <v>BELGRANO</v>
      </c>
      <c r="Q1798" s="30" t="str">
        <f ca="1">IFERROR(__xludf.DUMMYFUNCTION("""COMPUTED_VALUE"""),"-28.8857318")</f>
        <v>-28.8857318</v>
      </c>
      <c r="R1798" s="30" t="str">
        <f ca="1">IFERROR(__xludf.DUMMYFUNCTION("""COMPUTED_VALUE"""),"-62.2628152")</f>
        <v>-62.2628152</v>
      </c>
      <c r="S1798" s="30" t="str">
        <f ca="1">IFERROR(__xludf.DUMMYFUNCTION("""COMPUTED_VALUE"""),"Provincial")</f>
        <v>Provincial</v>
      </c>
      <c r="T1798" s="30" t="str">
        <f ca="1">IFERROR(__xludf.DUMMYFUNCTION("""COMPUTED_VALUE"""),"-")</f>
        <v>-</v>
      </c>
    </row>
    <row r="1799" spans="1:20" ht="15.75" customHeight="1" x14ac:dyDescent="0.25">
      <c r="A1799" s="30" t="str">
        <f ca="1">IFERROR(__xludf.DUMMYFUNCTION("""COMPUTED_VALUE"""),"10860562192023")</f>
        <v>10860562192023</v>
      </c>
      <c r="B1799" s="30" t="str">
        <f ca="1">IFERROR(__xludf.DUMMYFUNCTION("""COMPUTED_VALUE"""),"HOSPITAL DE TRANSITO DE LOS PIRPINTOS")</f>
        <v>HOSPITAL DE TRANSITO DE LOS PIRPINTOS</v>
      </c>
      <c r="C1799" s="30" t="str">
        <f ca="1">IFERROR(__xludf.DUMMYFUNCTION("""COMPUTED_VALUE"""),"Santiago del Estero")</f>
        <v>Santiago del Estero</v>
      </c>
      <c r="D1799" s="30" t="str">
        <f ca="1">IFERROR(__xludf.DUMMYFUNCTION("""COMPUTED_VALUE"""),"86")</f>
        <v>86</v>
      </c>
      <c r="E1799" s="30" t="str">
        <f ca="1">IFERROR(__xludf.DUMMYFUNCTION("""COMPUTED_VALUE"""),"")</f>
        <v/>
      </c>
      <c r="F1799" s="29"/>
      <c r="G1799" s="29"/>
      <c r="H1799" s="30" t="str">
        <f ca="1">IFERROR(__xludf.DUMMYFUNCTION("""COMPUTED_VALUE"""),"activo")</f>
        <v>activo</v>
      </c>
      <c r="I1799" s="30" t="str">
        <f ca="1">IFERROR(__xludf.DUMMYFUNCTION("""COMPUTED_VALUE"""),"No se encontro la circular2")</f>
        <v>No se encontro la circular2</v>
      </c>
      <c r="J1799" s="29"/>
      <c r="K1799" s="29"/>
      <c r="L1799" s="30" t="str">
        <f ca="1">IFERROR(__xludf.DUMMYFUNCTION("""COMPUTED_VALUE"""),"No")</f>
        <v>No</v>
      </c>
      <c r="M1799" s="30" t="str">
        <f ca="1">IFERROR(__xludf.DUMMYFUNCTION("""COMPUTED_VALUE"""),"86056030000")</f>
        <v>86056030000</v>
      </c>
      <c r="N1799" s="30" t="str">
        <f ca="1">IFERROR(__xludf.DUMMYFUNCTION("""COMPUTED_VALUE"""),"LOS PIRPINTOS")</f>
        <v>LOS PIRPINTOS</v>
      </c>
      <c r="O1799" s="30" t="str">
        <f ca="1">IFERROR(__xludf.DUMMYFUNCTION("""COMPUTED_VALUE"""),"8656")</f>
        <v>8656</v>
      </c>
      <c r="P1799" s="30" t="str">
        <f ca="1">IFERROR(__xludf.DUMMYFUNCTION("""COMPUTED_VALUE"""),"COPO")</f>
        <v>COPO</v>
      </c>
      <c r="Q1799" s="30" t="str">
        <f ca="1">IFERROR(__xludf.DUMMYFUNCTION("""COMPUTED_VALUE"""),"-28.27759")</f>
        <v>-28.27759</v>
      </c>
      <c r="R1799" s="30" t="str">
        <f ca="1">IFERROR(__xludf.DUMMYFUNCTION("""COMPUTED_VALUE"""),"-62.49946")</f>
        <v>-62.49946</v>
      </c>
      <c r="S1799" s="30" t="str">
        <f ca="1">IFERROR(__xludf.DUMMYFUNCTION("""COMPUTED_VALUE"""),"Provincial")</f>
        <v>Provincial</v>
      </c>
      <c r="T1799" s="30" t="str">
        <f ca="1">IFERROR(__xludf.DUMMYFUNCTION("""COMPUTED_VALUE"""),"-")</f>
        <v>-</v>
      </c>
    </row>
    <row r="1800" spans="1:20" ht="15.75" customHeight="1" x14ac:dyDescent="0.25">
      <c r="A1800" s="30" t="str">
        <f ca="1">IFERROR(__xludf.DUMMYFUNCTION("""COMPUTED_VALUE"""),"10860562192026")</f>
        <v>10860562192026</v>
      </c>
      <c r="B1800" s="30" t="str">
        <f ca="1">IFERROR(__xludf.DUMMYFUNCTION("""COMPUTED_VALUE"""),"HOSPITAL DE TRANSITO SAN JOSE DEL BOQUERON")</f>
        <v>HOSPITAL DE TRANSITO SAN JOSE DEL BOQUERON</v>
      </c>
      <c r="C1800" s="30" t="str">
        <f ca="1">IFERROR(__xludf.DUMMYFUNCTION("""COMPUTED_VALUE"""),"Santiago del Estero")</f>
        <v>Santiago del Estero</v>
      </c>
      <c r="D1800" s="30" t="str">
        <f ca="1">IFERROR(__xludf.DUMMYFUNCTION("""COMPUTED_VALUE"""),"86")</f>
        <v>86</v>
      </c>
      <c r="E1800" s="30" t="str">
        <f ca="1">IFERROR(__xludf.DUMMYFUNCTION("""COMPUTED_VALUE"""),"")</f>
        <v/>
      </c>
      <c r="F1800" s="29"/>
      <c r="G1800" s="29"/>
      <c r="H1800" s="30" t="str">
        <f ca="1">IFERROR(__xludf.DUMMYFUNCTION("""COMPUTED_VALUE"""),"activo")</f>
        <v>activo</v>
      </c>
      <c r="I1800" s="30" t="str">
        <f ca="1">IFERROR(__xludf.DUMMYFUNCTION("""COMPUTED_VALUE"""),"No se encontro la circular2")</f>
        <v>No se encontro la circular2</v>
      </c>
      <c r="J1800" s="29"/>
      <c r="K1800" s="29"/>
      <c r="L1800" s="30" t="str">
        <f ca="1">IFERROR(__xludf.DUMMYFUNCTION("""COMPUTED_VALUE"""),"No")</f>
        <v>No</v>
      </c>
      <c r="M1800" s="30" t="str">
        <f ca="1">IFERROR(__xludf.DUMMYFUNCTION("""COMPUTED_VALUE"""),"86056080000")</f>
        <v>86056080000</v>
      </c>
      <c r="N1800" s="30" t="str">
        <f ca="1">IFERROR(__xludf.DUMMYFUNCTION("""COMPUTED_VALUE"""),"SAN JOSE DEL BOQUERON")</f>
        <v>SAN JOSE DEL BOQUERON</v>
      </c>
      <c r="O1800" s="30" t="str">
        <f ca="1">IFERROR(__xludf.DUMMYFUNCTION("""COMPUTED_VALUE"""),"8656")</f>
        <v>8656</v>
      </c>
      <c r="P1800" s="30" t="str">
        <f ca="1">IFERROR(__xludf.DUMMYFUNCTION("""COMPUTED_VALUE"""),"COPO")</f>
        <v>COPO</v>
      </c>
      <c r="Q1800" s="30" t="str">
        <f ca="1">IFERROR(__xludf.DUMMYFUNCTION("""COMPUTED_VALUE"""),"-26.12820595")</f>
        <v>-26.12820595</v>
      </c>
      <c r="R1800" s="30" t="str">
        <f ca="1">IFERROR(__xludf.DUMMYFUNCTION("""COMPUTED_VALUE"""),"-63.7042307")</f>
        <v>-63.7042307</v>
      </c>
      <c r="S1800" s="30" t="str">
        <f ca="1">IFERROR(__xludf.DUMMYFUNCTION("""COMPUTED_VALUE"""),"Provincial")</f>
        <v>Provincial</v>
      </c>
      <c r="T1800" s="30" t="str">
        <f ca="1">IFERROR(__xludf.DUMMYFUNCTION("""COMPUTED_VALUE"""),"-")</f>
        <v>-</v>
      </c>
    </row>
    <row r="1801" spans="1:20" ht="15.75" customHeight="1" x14ac:dyDescent="0.25">
      <c r="A1801" s="30" t="str">
        <f ca="1">IFERROR(__xludf.DUMMYFUNCTION("""COMPUTED_VALUE"""),"10860562192054")</f>
        <v>10860562192054</v>
      </c>
      <c r="B1801" s="30" t="str">
        <f ca="1">IFERROR(__xludf.DUMMYFUNCTION("""COMPUTED_VALUE"""),"HOSPITAL ZONAL MONTE QUEMADO DR. ANTONIO F. DAVID")</f>
        <v>HOSPITAL ZONAL MONTE QUEMADO DR. ANTONIO F. DAVID</v>
      </c>
      <c r="C1801" s="30" t="str">
        <f ca="1">IFERROR(__xludf.DUMMYFUNCTION("""COMPUTED_VALUE"""),"Santiago del Estero")</f>
        <v>Santiago del Estero</v>
      </c>
      <c r="D1801" s="30" t="str">
        <f ca="1">IFERROR(__xludf.DUMMYFUNCTION("""COMPUTED_VALUE"""),"86")</f>
        <v>86</v>
      </c>
      <c r="E1801" s="30" t="str">
        <f ca="1">IFERROR(__xludf.DUMMYFUNCTION("""COMPUTED_VALUE"""),"")</f>
        <v/>
      </c>
      <c r="F1801" s="29"/>
      <c r="G1801" s="29"/>
      <c r="H1801" s="30" t="str">
        <f ca="1">IFERROR(__xludf.DUMMYFUNCTION("""COMPUTED_VALUE"""),"activo")</f>
        <v>activo</v>
      </c>
      <c r="I1801" s="30" t="str">
        <f ca="1">IFERROR(__xludf.DUMMYFUNCTION("""COMPUTED_VALUE"""),"No se encontro la circular2")</f>
        <v>No se encontro la circular2</v>
      </c>
      <c r="J1801" s="29"/>
      <c r="K1801" s="29"/>
      <c r="L1801" s="30" t="str">
        <f ca="1">IFERROR(__xludf.DUMMYFUNCTION("""COMPUTED_VALUE"""),"No")</f>
        <v>No</v>
      </c>
      <c r="M1801" s="30" t="str">
        <f ca="1">IFERROR(__xludf.DUMMYFUNCTION("""COMPUTED_VALUE"""),"86056050000")</f>
        <v>86056050000</v>
      </c>
      <c r="N1801" s="30" t="str">
        <f ca="1">IFERROR(__xludf.DUMMYFUNCTION("""COMPUTED_VALUE"""),"MONTE QUEMADO")</f>
        <v>MONTE QUEMADO</v>
      </c>
      <c r="O1801" s="30" t="str">
        <f ca="1">IFERROR(__xludf.DUMMYFUNCTION("""COMPUTED_VALUE"""),"8656")</f>
        <v>8656</v>
      </c>
      <c r="P1801" s="30" t="str">
        <f ca="1">IFERROR(__xludf.DUMMYFUNCTION("""COMPUTED_VALUE"""),"COPO")</f>
        <v>COPO</v>
      </c>
      <c r="Q1801" s="30" t="str">
        <f ca="1">IFERROR(__xludf.DUMMYFUNCTION("""COMPUTED_VALUE"""),"-25.80344856")</f>
        <v>-25.80344856</v>
      </c>
      <c r="R1801" s="30" t="str">
        <f ca="1">IFERROR(__xludf.DUMMYFUNCTION("""COMPUTED_VALUE"""),"-62.83042333")</f>
        <v>-62.83042333</v>
      </c>
      <c r="S1801" s="30" t="str">
        <f ca="1">IFERROR(__xludf.DUMMYFUNCTION("""COMPUTED_VALUE"""),"Provincial")</f>
        <v>Provincial</v>
      </c>
      <c r="T1801" s="30" t="str">
        <f ca="1">IFERROR(__xludf.DUMMYFUNCTION("""COMPUTED_VALUE"""),"-")</f>
        <v>-</v>
      </c>
    </row>
    <row r="1802" spans="1:20" ht="15.75" customHeight="1" x14ac:dyDescent="0.25">
      <c r="A1802" s="30" t="str">
        <f ca="1">IFERROR(__xludf.DUMMYFUNCTION("""COMPUTED_VALUE"""),"10860632192030")</f>
        <v>10860632192030</v>
      </c>
      <c r="B1802" s="30" t="str">
        <f ca="1">IFERROR(__xludf.DUMMYFUNCTION("""COMPUTED_VALUE"""),"HOSPITAL DE TRANSITO VILLA LA PUNTA")</f>
        <v>HOSPITAL DE TRANSITO VILLA LA PUNTA</v>
      </c>
      <c r="C1802" s="30" t="str">
        <f ca="1">IFERROR(__xludf.DUMMYFUNCTION("""COMPUTED_VALUE"""),"Santiago del Estero")</f>
        <v>Santiago del Estero</v>
      </c>
      <c r="D1802" s="30" t="str">
        <f ca="1">IFERROR(__xludf.DUMMYFUNCTION("""COMPUTED_VALUE"""),"86")</f>
        <v>86</v>
      </c>
      <c r="E1802" s="30" t="str">
        <f ca="1">IFERROR(__xludf.DUMMYFUNCTION("""COMPUTED_VALUE"""),"")</f>
        <v/>
      </c>
      <c r="F1802" s="29"/>
      <c r="G1802" s="29"/>
      <c r="H1802" s="30" t="str">
        <f ca="1">IFERROR(__xludf.DUMMYFUNCTION("""COMPUTED_VALUE"""),"activo")</f>
        <v>activo</v>
      </c>
      <c r="I1802" s="30" t="str">
        <f ca="1">IFERROR(__xludf.DUMMYFUNCTION("""COMPUTED_VALUE"""),"No se encontro la circular2")</f>
        <v>No se encontro la circular2</v>
      </c>
      <c r="J1802" s="29"/>
      <c r="K1802" s="29"/>
      <c r="L1802" s="30" t="str">
        <f ca="1">IFERROR(__xludf.DUMMYFUNCTION("""COMPUTED_VALUE"""),"No")</f>
        <v>No</v>
      </c>
      <c r="M1802" s="30" t="str">
        <f ca="1">IFERROR(__xludf.DUMMYFUNCTION("""COMPUTED_VALUE"""),"86063090000")</f>
        <v>86063090000</v>
      </c>
      <c r="N1802" s="30" t="str">
        <f ca="1">IFERROR(__xludf.DUMMYFUNCTION("""COMPUTED_VALUE"""),"VILLA LA PUNTA")</f>
        <v>VILLA LA PUNTA</v>
      </c>
      <c r="O1802" s="30" t="str">
        <f ca="1">IFERROR(__xludf.DUMMYFUNCTION("""COMPUTED_VALUE"""),"8663")</f>
        <v>8663</v>
      </c>
      <c r="P1802" s="30" t="str">
        <f ca="1">IFERROR(__xludf.DUMMYFUNCTION("""COMPUTED_VALUE"""),"CHOYA")</f>
        <v>CHOYA</v>
      </c>
      <c r="Q1802" s="30" t="str">
        <f ca="1">IFERROR(__xludf.DUMMYFUNCTION("""COMPUTED_VALUE"""),"-28.3666706")</f>
        <v>-28.3666706</v>
      </c>
      <c r="R1802" s="30" t="str">
        <f ca="1">IFERROR(__xludf.DUMMYFUNCTION("""COMPUTED_VALUE"""),"-64.7833405")</f>
        <v>-64.7833405</v>
      </c>
      <c r="S1802" s="30" t="str">
        <f ca="1">IFERROR(__xludf.DUMMYFUNCTION("""COMPUTED_VALUE"""),"Provincial")</f>
        <v>Provincial</v>
      </c>
      <c r="T1802" s="30" t="str">
        <f ca="1">IFERROR(__xludf.DUMMYFUNCTION("""COMPUTED_VALUE"""),"-")</f>
        <v>-</v>
      </c>
    </row>
    <row r="1803" spans="1:20" ht="15.75" customHeight="1" x14ac:dyDescent="0.25">
      <c r="A1803" s="30" t="str">
        <f ca="1">IFERROR(__xludf.DUMMYFUNCTION("""COMPUTED_VALUE"""),"10860702192021")</f>
        <v>10860702192021</v>
      </c>
      <c r="B1803" s="30" t="str">
        <f ca="1">IFERROR(__xludf.DUMMYFUNCTION("""COMPUTED_VALUE"""),"HOSPITAL DE TRANSITO LA CAÑADA")</f>
        <v>HOSPITAL DE TRANSITO LA CAÑADA</v>
      </c>
      <c r="C1803" s="30" t="str">
        <f ca="1">IFERROR(__xludf.DUMMYFUNCTION("""COMPUTED_VALUE"""),"Santiago del Estero")</f>
        <v>Santiago del Estero</v>
      </c>
      <c r="D1803" s="30" t="str">
        <f ca="1">IFERROR(__xludf.DUMMYFUNCTION("""COMPUTED_VALUE"""),"86")</f>
        <v>86</v>
      </c>
      <c r="E1803" s="30" t="str">
        <f ca="1">IFERROR(__xludf.DUMMYFUNCTION("""COMPUTED_VALUE"""),"")</f>
        <v/>
      </c>
      <c r="F1803" s="29"/>
      <c r="G1803" s="29"/>
      <c r="H1803" s="30" t="str">
        <f ca="1">IFERROR(__xludf.DUMMYFUNCTION("""COMPUTED_VALUE"""),"activo")</f>
        <v>activo</v>
      </c>
      <c r="I1803" s="30" t="str">
        <f ca="1">IFERROR(__xludf.DUMMYFUNCTION("""COMPUTED_VALUE"""),"No se encontro la circular2")</f>
        <v>No se encontro la circular2</v>
      </c>
      <c r="J1803" s="29"/>
      <c r="K1803" s="29"/>
      <c r="L1803" s="30" t="str">
        <f ca="1">IFERROR(__xludf.DUMMYFUNCTION("""COMPUTED_VALUE"""),"No")</f>
        <v>No</v>
      </c>
      <c r="M1803" s="30" t="str">
        <f ca="1">IFERROR(__xludf.DUMMYFUNCTION("""COMPUTED_VALUE"""),"86070060000")</f>
        <v>86070060000</v>
      </c>
      <c r="N1803" s="30" t="str">
        <f ca="1">IFERROR(__xludf.DUMMYFUNCTION("""COMPUTED_VALUE"""),"LA CAÑADA")</f>
        <v>LA CAÑADA</v>
      </c>
      <c r="O1803" s="30" t="str">
        <f ca="1">IFERROR(__xludf.DUMMYFUNCTION("""COMPUTED_VALUE"""),"8670")</f>
        <v>8670</v>
      </c>
      <c r="P1803" s="30" t="str">
        <f ca="1">IFERROR(__xludf.DUMMYFUNCTION("""COMPUTED_VALUE"""),"FIGUEROA")</f>
        <v>FIGUEROA</v>
      </c>
      <c r="Q1803" s="30" t="str">
        <f ca="1">IFERROR(__xludf.DUMMYFUNCTION("""COMPUTED_VALUE"""),"-27.70643237")</f>
        <v>-27.70643237</v>
      </c>
      <c r="R1803" s="30" t="str">
        <f ca="1">IFERROR(__xludf.DUMMYFUNCTION("""COMPUTED_VALUE"""),"-63.76886389")</f>
        <v>-63.76886389</v>
      </c>
      <c r="S1803" s="30" t="str">
        <f ca="1">IFERROR(__xludf.DUMMYFUNCTION("""COMPUTED_VALUE"""),"Provincial")</f>
        <v>Provincial</v>
      </c>
      <c r="T1803" s="30" t="str">
        <f ca="1">IFERROR(__xludf.DUMMYFUNCTION("""COMPUTED_VALUE"""),"-")</f>
        <v>-</v>
      </c>
    </row>
    <row r="1804" spans="1:20" ht="15.75" customHeight="1" x14ac:dyDescent="0.25">
      <c r="A1804" s="30" t="str">
        <f ca="1">IFERROR(__xludf.DUMMYFUNCTION("""COMPUTED_VALUE"""),"10860702192032")</f>
        <v>10860702192032</v>
      </c>
      <c r="B1804" s="30" t="str">
        <f ca="1">IFERROR(__xludf.DUMMYFUNCTION("""COMPUTED_VALUE"""),"HOSPITAL DISTRITAL BANDERA BAJADA")</f>
        <v>HOSPITAL DISTRITAL BANDERA BAJADA</v>
      </c>
      <c r="C1804" s="30" t="str">
        <f ca="1">IFERROR(__xludf.DUMMYFUNCTION("""COMPUTED_VALUE"""),"Santiago del Estero")</f>
        <v>Santiago del Estero</v>
      </c>
      <c r="D1804" s="30" t="str">
        <f ca="1">IFERROR(__xludf.DUMMYFUNCTION("""COMPUTED_VALUE"""),"86")</f>
        <v>86</v>
      </c>
      <c r="E1804" s="30" t="str">
        <f ca="1">IFERROR(__xludf.DUMMYFUNCTION("""COMPUTED_VALUE"""),"si")</f>
        <v>si</v>
      </c>
      <c r="F1804" s="29"/>
      <c r="G1804" s="29"/>
      <c r="H1804" s="30" t="str">
        <f ca="1">IFERROR(__xludf.DUMMYFUNCTION("""COMPUTED_VALUE"""),"activo")</f>
        <v>activo</v>
      </c>
      <c r="I1804" s="30" t="str">
        <f ca="1">IFERROR(__xludf.DUMMYFUNCTION("""COMPUTED_VALUE"""),"No se encontro la circular2")</f>
        <v>No se encontro la circular2</v>
      </c>
      <c r="J1804" s="29"/>
      <c r="K1804" s="29"/>
      <c r="L1804" s="30" t="str">
        <f ca="1">IFERROR(__xludf.DUMMYFUNCTION("""COMPUTED_VALUE"""),"No")</f>
        <v>No</v>
      </c>
      <c r="M1804" s="30" t="str">
        <f ca="1">IFERROR(__xludf.DUMMYFUNCTION("""COMPUTED_VALUE"""),"86070010000")</f>
        <v>86070010000</v>
      </c>
      <c r="N1804" s="30" t="str">
        <f ca="1">IFERROR(__xludf.DUMMYFUNCTION("""COMPUTED_VALUE"""),"BANDERA BAJADA")</f>
        <v>BANDERA BAJADA</v>
      </c>
      <c r="O1804" s="30" t="str">
        <f ca="1">IFERROR(__xludf.DUMMYFUNCTION("""COMPUTED_VALUE"""),"8670")</f>
        <v>8670</v>
      </c>
      <c r="P1804" s="30" t="str">
        <f ca="1">IFERROR(__xludf.DUMMYFUNCTION("""COMPUTED_VALUE"""),"FIGUEROA")</f>
        <v>FIGUEROA</v>
      </c>
      <c r="Q1804" s="30" t="str">
        <f ca="1">IFERROR(__xludf.DUMMYFUNCTION("""COMPUTED_VALUE"""),"-27.23232159")</f>
        <v>-27.23232159</v>
      </c>
      <c r="R1804" s="30" t="str">
        <f ca="1">IFERROR(__xludf.DUMMYFUNCTION("""COMPUTED_VALUE"""),"-63.51744434")</f>
        <v>-63.51744434</v>
      </c>
      <c r="S1804" s="30" t="str">
        <f ca="1">IFERROR(__xludf.DUMMYFUNCTION("""COMPUTED_VALUE"""),"Provincial")</f>
        <v>Provincial</v>
      </c>
      <c r="T1804" s="30" t="str">
        <f ca="1">IFERROR(__xludf.DUMMYFUNCTION("""COMPUTED_VALUE"""),"-")</f>
        <v>-</v>
      </c>
    </row>
    <row r="1805" spans="1:20" ht="15.75" customHeight="1" x14ac:dyDescent="0.25">
      <c r="A1805" s="30" t="str">
        <f ca="1">IFERROR(__xludf.DUMMYFUNCTION("""COMPUTED_VALUE"""),"10860772192040")</f>
        <v>10860772192040</v>
      </c>
      <c r="B1805" s="30" t="str">
        <f ca="1">IFERROR(__xludf.DUMMYFUNCTION("""COMPUTED_VALUE"""),"HOSPITAL DISTRITAL LOS JURIES")</f>
        <v>HOSPITAL DISTRITAL LOS JURIES</v>
      </c>
      <c r="C1805" s="30" t="str">
        <f ca="1">IFERROR(__xludf.DUMMYFUNCTION("""COMPUTED_VALUE"""),"Santiago del Estero")</f>
        <v>Santiago del Estero</v>
      </c>
      <c r="D1805" s="30" t="str">
        <f ca="1">IFERROR(__xludf.DUMMYFUNCTION("""COMPUTED_VALUE"""),"86")</f>
        <v>86</v>
      </c>
      <c r="E1805" s="30" t="str">
        <f ca="1">IFERROR(__xludf.DUMMYFUNCTION("""COMPUTED_VALUE"""),"")</f>
        <v/>
      </c>
      <c r="F1805" s="29"/>
      <c r="G1805" s="29"/>
      <c r="H1805" s="30" t="str">
        <f ca="1">IFERROR(__xludf.DUMMYFUNCTION("""COMPUTED_VALUE"""),"activo")</f>
        <v>activo</v>
      </c>
      <c r="I1805" s="30" t="str">
        <f ca="1">IFERROR(__xludf.DUMMYFUNCTION("""COMPUTED_VALUE"""),"No se encontro la circular2")</f>
        <v>No se encontro la circular2</v>
      </c>
      <c r="J1805" s="29"/>
      <c r="K1805" s="29"/>
      <c r="L1805" s="30" t="str">
        <f ca="1">IFERROR(__xludf.DUMMYFUNCTION("""COMPUTED_VALUE"""),"No")</f>
        <v>No</v>
      </c>
      <c r="M1805" s="30" t="str">
        <f ca="1">IFERROR(__xludf.DUMMYFUNCTION("""COMPUTED_VALUE"""),"86077050000")</f>
        <v>86077050000</v>
      </c>
      <c r="N1805" s="30" t="str">
        <f ca="1">IFERROR(__xludf.DUMMYFUNCTION("""COMPUTED_VALUE"""),"LOS JURIES")</f>
        <v>LOS JURIES</v>
      </c>
      <c r="O1805" s="30" t="str">
        <f ca="1">IFERROR(__xludf.DUMMYFUNCTION("""COMPUTED_VALUE"""),"8677")</f>
        <v>8677</v>
      </c>
      <c r="P1805" s="30" t="str">
        <f ca="1">IFERROR(__xludf.DUMMYFUNCTION("""COMPUTED_VALUE"""),"GENERAL TABOADA")</f>
        <v>GENERAL TABOADA</v>
      </c>
      <c r="Q1805" s="30" t="str">
        <f ca="1">IFERROR(__xludf.DUMMYFUNCTION("""COMPUTED_VALUE"""),"-28.46549398")</f>
        <v>-28.46549398</v>
      </c>
      <c r="R1805" s="30" t="str">
        <f ca="1">IFERROR(__xludf.DUMMYFUNCTION("""COMPUTED_VALUE"""),"-62.10960245")</f>
        <v>-62.10960245</v>
      </c>
      <c r="S1805" s="30" t="str">
        <f ca="1">IFERROR(__xludf.DUMMYFUNCTION("""COMPUTED_VALUE"""),"Provincial")</f>
        <v>Provincial</v>
      </c>
      <c r="T1805" s="30" t="str">
        <f ca="1">IFERROR(__xludf.DUMMYFUNCTION("""COMPUTED_VALUE"""),"-")</f>
        <v>-</v>
      </c>
    </row>
    <row r="1806" spans="1:20" ht="15.75" customHeight="1" x14ac:dyDescent="0.25">
      <c r="A1806" s="30" t="str">
        <f ca="1">IFERROR(__xludf.DUMMYFUNCTION("""COMPUTED_VALUE"""),"10860912192035")</f>
        <v>10860912192035</v>
      </c>
      <c r="B1806" s="30" t="str">
        <f ca="1">IFERROR(__xludf.DUMMYFUNCTION("""COMPUTED_VALUE"""),"HOSPITAL DISTRITAL SAN PEDRO DE GUASAYAN DR. OCTAVIO CARABAJAL")</f>
        <v>HOSPITAL DISTRITAL SAN PEDRO DE GUASAYAN DR. OCTAVIO CARABAJAL</v>
      </c>
      <c r="C1806" s="30" t="str">
        <f ca="1">IFERROR(__xludf.DUMMYFUNCTION("""COMPUTED_VALUE"""),"Santiago del Estero")</f>
        <v>Santiago del Estero</v>
      </c>
      <c r="D1806" s="30" t="str">
        <f ca="1">IFERROR(__xludf.DUMMYFUNCTION("""COMPUTED_VALUE"""),"86")</f>
        <v>86</v>
      </c>
      <c r="E1806" s="30" t="str">
        <f ca="1">IFERROR(__xludf.DUMMYFUNCTION("""COMPUTED_VALUE"""),"")</f>
        <v/>
      </c>
      <c r="F1806" s="29"/>
      <c r="G1806" s="29"/>
      <c r="H1806" s="30" t="str">
        <f ca="1">IFERROR(__xludf.DUMMYFUNCTION("""COMPUTED_VALUE"""),"activo")</f>
        <v>activo</v>
      </c>
      <c r="I1806" s="30" t="str">
        <f ca="1">IFERROR(__xludf.DUMMYFUNCTION("""COMPUTED_VALUE"""),"No se encontro la circular2")</f>
        <v>No se encontro la circular2</v>
      </c>
      <c r="J1806" s="29"/>
      <c r="K1806" s="29"/>
      <c r="L1806" s="30" t="str">
        <f ca="1">IFERROR(__xludf.DUMMYFUNCTION("""COMPUTED_VALUE"""),"No")</f>
        <v>No</v>
      </c>
      <c r="M1806" s="30" t="str">
        <f ca="1">IFERROR(__xludf.DUMMYFUNCTION("""COMPUTED_VALUE"""),"86084020000")</f>
        <v>86084020000</v>
      </c>
      <c r="N1806" s="30" t="str">
        <f ca="1">IFERROR(__xludf.DUMMYFUNCTION("""COMPUTED_VALUE"""),"SAN PEDRO")</f>
        <v>SAN PEDRO</v>
      </c>
      <c r="O1806" s="30" t="str">
        <f ca="1">IFERROR(__xludf.DUMMYFUNCTION("""COMPUTED_VALUE"""),"8684")</f>
        <v>8684</v>
      </c>
      <c r="P1806" s="30" t="str">
        <f ca="1">IFERROR(__xludf.DUMMYFUNCTION("""COMPUTED_VALUE"""),"GUASAYÁN")</f>
        <v>GUASAYÁN</v>
      </c>
      <c r="Q1806" s="30" t="str">
        <f ca="1">IFERROR(__xludf.DUMMYFUNCTION("""COMPUTED_VALUE"""),"-27.95332663")</f>
        <v>-27.95332663</v>
      </c>
      <c r="R1806" s="30" t="str">
        <f ca="1">IFERROR(__xludf.DUMMYFUNCTION("""COMPUTED_VALUE"""),"-65.16002083")</f>
        <v>-65.16002083</v>
      </c>
      <c r="S1806" s="30" t="str">
        <f ca="1">IFERROR(__xludf.DUMMYFUNCTION("""COMPUTED_VALUE"""),"Provincial")</f>
        <v>Provincial</v>
      </c>
      <c r="T1806" s="30" t="str">
        <f ca="1">IFERROR(__xludf.DUMMYFUNCTION("""COMPUTED_VALUE"""),"-")</f>
        <v>-</v>
      </c>
    </row>
    <row r="1807" spans="1:20" ht="15.75" customHeight="1" x14ac:dyDescent="0.25">
      <c r="A1807" s="30" t="str">
        <f ca="1">IFERROR(__xludf.DUMMYFUNCTION("""COMPUTED_VALUE"""),"10860912192037")</f>
        <v>10860912192037</v>
      </c>
      <c r="B1807" s="30" t="str">
        <f ca="1">IFERROR(__xludf.DUMMYFUNCTION("""COMPUTED_VALUE"""),"HOSPITAL DISTRITAL EL BOBADAL")</f>
        <v>HOSPITAL DISTRITAL EL BOBADAL</v>
      </c>
      <c r="C1807" s="30" t="str">
        <f ca="1">IFERROR(__xludf.DUMMYFUNCTION("""COMPUTED_VALUE"""),"Santiago del Estero")</f>
        <v>Santiago del Estero</v>
      </c>
      <c r="D1807" s="30" t="str">
        <f ca="1">IFERROR(__xludf.DUMMYFUNCTION("""COMPUTED_VALUE"""),"86")</f>
        <v>86</v>
      </c>
      <c r="E1807" s="30" t="str">
        <f ca="1">IFERROR(__xludf.DUMMYFUNCTION("""COMPUTED_VALUE"""),"")</f>
        <v/>
      </c>
      <c r="F1807" s="29"/>
      <c r="G1807" s="29"/>
      <c r="H1807" s="30" t="str">
        <f ca="1">IFERROR(__xludf.DUMMYFUNCTION("""COMPUTED_VALUE"""),"activo")</f>
        <v>activo</v>
      </c>
      <c r="I1807" s="30" t="str">
        <f ca="1">IFERROR(__xludf.DUMMYFUNCTION("""COMPUTED_VALUE"""),"No se encontro la circular2")</f>
        <v>No se encontro la circular2</v>
      </c>
      <c r="J1807" s="29"/>
      <c r="K1807" s="29"/>
      <c r="L1807" s="30" t="str">
        <f ca="1">IFERROR(__xludf.DUMMYFUNCTION("""COMPUTED_VALUE"""),"No")</f>
        <v>No</v>
      </c>
      <c r="M1807" s="30" t="str">
        <f ca="1">IFERROR(__xludf.DUMMYFUNCTION("""COMPUTED_VALUE"""),"86091010000")</f>
        <v>86091010000</v>
      </c>
      <c r="N1807" s="30" t="str">
        <f ca="1">IFERROR(__xludf.DUMMYFUNCTION("""COMPUTED_VALUE"""),"EL BOBADAL")</f>
        <v>EL BOBADAL</v>
      </c>
      <c r="O1807" s="30" t="str">
        <f ca="1">IFERROR(__xludf.DUMMYFUNCTION("""COMPUTED_VALUE"""),"8691")</f>
        <v>8691</v>
      </c>
      <c r="P1807" s="30" t="str">
        <f ca="1">IFERROR(__xludf.DUMMYFUNCTION("""COMPUTED_VALUE"""),"JIMÉNEZ")</f>
        <v>JIMÉNEZ</v>
      </c>
      <c r="Q1807" s="30" t="str">
        <f ca="1">IFERROR(__xludf.DUMMYFUNCTION("""COMPUTED_VALUE"""),"-26.71557064")</f>
        <v>-26.71557064</v>
      </c>
      <c r="R1807" s="30" t="str">
        <f ca="1">IFERROR(__xludf.DUMMYFUNCTION("""COMPUTED_VALUE"""),"-64.39956093")</f>
        <v>-64.39956093</v>
      </c>
      <c r="S1807" s="30" t="str">
        <f ca="1">IFERROR(__xludf.DUMMYFUNCTION("""COMPUTED_VALUE"""),"Provincial")</f>
        <v>Provincial</v>
      </c>
      <c r="T1807" s="30" t="str">
        <f ca="1">IFERROR(__xludf.DUMMYFUNCTION("""COMPUTED_VALUE"""),"-")</f>
        <v>-</v>
      </c>
    </row>
    <row r="1808" spans="1:20" ht="15.75" customHeight="1" x14ac:dyDescent="0.25">
      <c r="A1808" s="30" t="str">
        <f ca="1">IFERROR(__xludf.DUMMYFUNCTION("""COMPUTED_VALUE"""),"10860982192029")</f>
        <v>10860982192029</v>
      </c>
      <c r="B1808" s="30" t="str">
        <f ca="1">IFERROR(__xludf.DUMMYFUNCTION("""COMPUTED_VALUE"""),"HOSPITAL DE TRANSITO VILELAS")</f>
        <v>HOSPITAL DE TRANSITO VILELAS</v>
      </c>
      <c r="C1808" s="30" t="str">
        <f ca="1">IFERROR(__xludf.DUMMYFUNCTION("""COMPUTED_VALUE"""),"Santiago del Estero")</f>
        <v>Santiago del Estero</v>
      </c>
      <c r="D1808" s="30" t="str">
        <f ca="1">IFERROR(__xludf.DUMMYFUNCTION("""COMPUTED_VALUE"""),"86")</f>
        <v>86</v>
      </c>
      <c r="E1808" s="30" t="str">
        <f ca="1">IFERROR(__xludf.DUMMYFUNCTION("""COMPUTED_VALUE"""),"")</f>
        <v/>
      </c>
      <c r="F1808" s="29"/>
      <c r="G1808" s="29"/>
      <c r="H1808" s="30" t="str">
        <f ca="1">IFERROR(__xludf.DUMMYFUNCTION("""COMPUTED_VALUE"""),"activo")</f>
        <v>activo</v>
      </c>
      <c r="I1808" s="30" t="str">
        <f ca="1">IFERROR(__xludf.DUMMYFUNCTION("""COMPUTED_VALUE"""),"No se encontro la circular2")</f>
        <v>No se encontro la circular2</v>
      </c>
      <c r="J1808" s="29"/>
      <c r="K1808" s="29"/>
      <c r="L1808" s="30" t="str">
        <f ca="1">IFERROR(__xludf.DUMMYFUNCTION("""COMPUTED_VALUE"""),"No")</f>
        <v>No</v>
      </c>
      <c r="M1808" s="30" t="str">
        <f ca="1">IFERROR(__xludf.DUMMYFUNCTION("""COMPUTED_VALUE"""),"86098050000")</f>
        <v>86098050000</v>
      </c>
      <c r="N1808" s="30" t="str">
        <f ca="1">IFERROR(__xludf.DUMMYFUNCTION("""COMPUTED_VALUE"""),"VILELAS")</f>
        <v>VILELAS</v>
      </c>
      <c r="O1808" s="30" t="str">
        <f ca="1">IFERROR(__xludf.DUMMYFUNCTION("""COMPUTED_VALUE"""),"8698")</f>
        <v>8698</v>
      </c>
      <c r="P1808" s="30" t="str">
        <f ca="1">IFERROR(__xludf.DUMMYFUNCTION("""COMPUTED_VALUE"""),"JUAN F. IBARRA")</f>
        <v>JUAN F. IBARRA</v>
      </c>
      <c r="Q1808" s="30" t="str">
        <f ca="1">IFERROR(__xludf.DUMMYFUNCTION("""COMPUTED_VALUE"""),"-27.96205785")</f>
        <v>-27.96205785</v>
      </c>
      <c r="R1808" s="30" t="str">
        <f ca="1">IFERROR(__xludf.DUMMYFUNCTION("""COMPUTED_VALUE"""),"-62.61128283")</f>
        <v>-62.61128283</v>
      </c>
      <c r="S1808" s="30" t="str">
        <f ca="1">IFERROR(__xludf.DUMMYFUNCTION("""COMPUTED_VALUE"""),"Provincial")</f>
        <v>Provincial</v>
      </c>
      <c r="T1808" s="30" t="str">
        <f ca="1">IFERROR(__xludf.DUMMYFUNCTION("""COMPUTED_VALUE"""),"-")</f>
        <v>-</v>
      </c>
    </row>
    <row r="1809" spans="1:20" ht="15.75" customHeight="1" x14ac:dyDescent="0.25">
      <c r="A1809" s="30" t="str">
        <f ca="1">IFERROR(__xludf.DUMMYFUNCTION("""COMPUTED_VALUE"""),"10860982192044")</f>
        <v>10860982192044</v>
      </c>
      <c r="B1809" s="30" t="str">
        <f ca="1">IFERROR(__xludf.DUMMYFUNCTION("""COMPUTED_VALUE"""),"HOSPITAL DISTRITAL SUNCHO CORRAL")</f>
        <v>HOSPITAL DISTRITAL SUNCHO CORRAL</v>
      </c>
      <c r="C1809" s="30" t="str">
        <f ca="1">IFERROR(__xludf.DUMMYFUNCTION("""COMPUTED_VALUE"""),"Santiago del Estero")</f>
        <v>Santiago del Estero</v>
      </c>
      <c r="D1809" s="30" t="str">
        <f ca="1">IFERROR(__xludf.DUMMYFUNCTION("""COMPUTED_VALUE"""),"86")</f>
        <v>86</v>
      </c>
      <c r="E1809" s="30" t="str">
        <f ca="1">IFERROR(__xludf.DUMMYFUNCTION("""COMPUTED_VALUE"""),"")</f>
        <v/>
      </c>
      <c r="F1809" s="29"/>
      <c r="G1809" s="29"/>
      <c r="H1809" s="30" t="str">
        <f ca="1">IFERROR(__xludf.DUMMYFUNCTION("""COMPUTED_VALUE"""),"activo")</f>
        <v>activo</v>
      </c>
      <c r="I1809" s="30" t="str">
        <f ca="1">IFERROR(__xludf.DUMMYFUNCTION("""COMPUTED_VALUE"""),"No se encontro la circular2")</f>
        <v>No se encontro la circular2</v>
      </c>
      <c r="J1809" s="29"/>
      <c r="K1809" s="29"/>
      <c r="L1809" s="30" t="str">
        <f ca="1">IFERROR(__xludf.DUMMYFUNCTION("""COMPUTED_VALUE"""),"No")</f>
        <v>No</v>
      </c>
      <c r="M1809" s="30" t="str">
        <f ca="1">IFERROR(__xludf.DUMMYFUNCTION("""COMPUTED_VALUE"""),"86098040000")</f>
        <v>86098040000</v>
      </c>
      <c r="N1809" s="30" t="str">
        <f ca="1">IFERROR(__xludf.DUMMYFUNCTION("""COMPUTED_VALUE"""),"SUNCHO CORRAL")</f>
        <v>SUNCHO CORRAL</v>
      </c>
      <c r="O1809" s="30" t="str">
        <f ca="1">IFERROR(__xludf.DUMMYFUNCTION("""COMPUTED_VALUE"""),"8698")</f>
        <v>8698</v>
      </c>
      <c r="P1809" s="30" t="str">
        <f ca="1">IFERROR(__xludf.DUMMYFUNCTION("""COMPUTED_VALUE"""),"JUAN F. IBARRA")</f>
        <v>JUAN F. IBARRA</v>
      </c>
      <c r="Q1809" s="30" t="str">
        <f ca="1">IFERROR(__xludf.DUMMYFUNCTION("""COMPUTED_VALUE"""),"-27.93270565")</f>
        <v>-27.93270565</v>
      </c>
      <c r="R1809" s="30" t="str">
        <f ca="1">IFERROR(__xludf.DUMMYFUNCTION("""COMPUTED_VALUE"""),"-63.42993593")</f>
        <v>-63.42993593</v>
      </c>
      <c r="S1809" s="30" t="str">
        <f ca="1">IFERROR(__xludf.DUMMYFUNCTION("""COMPUTED_VALUE"""),"Provincial")</f>
        <v>Provincial</v>
      </c>
      <c r="T1809" s="30" t="str">
        <f ca="1">IFERROR(__xludf.DUMMYFUNCTION("""COMPUTED_VALUE"""),"-")</f>
        <v>-</v>
      </c>
    </row>
    <row r="1810" spans="1:20" ht="15.75" customHeight="1" x14ac:dyDescent="0.25">
      <c r="A1810" s="30" t="str">
        <f ca="1">IFERROR(__xludf.DUMMYFUNCTION("""COMPUTED_VALUE"""),"10861052192057")</f>
        <v>10861052192057</v>
      </c>
      <c r="B1810" s="30" t="str">
        <f ca="1">IFERROR(__xludf.DUMMYFUNCTION("""COMPUTED_VALUE"""),"HOSPITAL DISTRITAL LORETO DR. OSCAR ABALOS")</f>
        <v>HOSPITAL DISTRITAL LORETO DR. OSCAR ABALOS</v>
      </c>
      <c r="C1810" s="30" t="str">
        <f ca="1">IFERROR(__xludf.DUMMYFUNCTION("""COMPUTED_VALUE"""),"Santiago del Estero")</f>
        <v>Santiago del Estero</v>
      </c>
      <c r="D1810" s="30" t="str">
        <f ca="1">IFERROR(__xludf.DUMMYFUNCTION("""COMPUTED_VALUE"""),"86")</f>
        <v>86</v>
      </c>
      <c r="E1810" s="30" t="str">
        <f ca="1">IFERROR(__xludf.DUMMYFUNCTION("""COMPUTED_VALUE"""),"si")</f>
        <v>si</v>
      </c>
      <c r="F1810" s="29"/>
      <c r="G1810" s="29"/>
      <c r="H1810" s="30" t="str">
        <f ca="1">IFERROR(__xludf.DUMMYFUNCTION("""COMPUTED_VALUE"""),"activo")</f>
        <v>activo</v>
      </c>
      <c r="I1810" s="30" t="str">
        <f ca="1">IFERROR(__xludf.DUMMYFUNCTION("""COMPUTED_VALUE"""),"No se encontro la circular2")</f>
        <v>No se encontro la circular2</v>
      </c>
      <c r="J1810" s="29"/>
      <c r="K1810" s="29"/>
      <c r="L1810" s="30" t="str">
        <f ca="1">IFERROR(__xludf.DUMMYFUNCTION("""COMPUTED_VALUE"""),"No")</f>
        <v>No</v>
      </c>
      <c r="M1810" s="30" t="str">
        <f ca="1">IFERROR(__xludf.DUMMYFUNCTION("""COMPUTED_VALUE"""),"86105010000")</f>
        <v>86105010000</v>
      </c>
      <c r="N1810" s="30" t="str">
        <f ca="1">IFERROR(__xludf.DUMMYFUNCTION("""COMPUTED_VALUE"""),"VILLA SAN MARTIN")</f>
        <v>VILLA SAN MARTIN</v>
      </c>
      <c r="O1810" s="30" t="str">
        <f ca="1">IFERROR(__xludf.DUMMYFUNCTION("""COMPUTED_VALUE"""),"86105")</f>
        <v>86105</v>
      </c>
      <c r="P1810" s="30" t="str">
        <f ca="1">IFERROR(__xludf.DUMMYFUNCTION("""COMPUTED_VALUE"""),"LORETO")</f>
        <v>LORETO</v>
      </c>
      <c r="Q1810" s="30" t="str">
        <f ca="1">IFERROR(__xludf.DUMMYFUNCTION("""COMPUTED_VALUE"""),"-27.775671")</f>
        <v>-27.775671</v>
      </c>
      <c r="R1810" s="30" t="str">
        <f ca="1">IFERROR(__xludf.DUMMYFUNCTION("""COMPUTED_VALUE"""),"-64.2699203")</f>
        <v>-64.2699203</v>
      </c>
      <c r="S1810" s="30" t="str">
        <f ca="1">IFERROR(__xludf.DUMMYFUNCTION("""COMPUTED_VALUE"""),"Provincial")</f>
        <v>Provincial</v>
      </c>
      <c r="T1810" s="30" t="str">
        <f ca="1">IFERROR(__xludf.DUMMYFUNCTION("""COMPUTED_VALUE"""),"-")</f>
        <v>-</v>
      </c>
    </row>
    <row r="1811" spans="1:20" ht="15.75" customHeight="1" x14ac:dyDescent="0.25">
      <c r="A1811" s="30" t="str">
        <f ca="1">IFERROR(__xludf.DUMMYFUNCTION("""COMPUTED_VALUE"""),"10861192192045")</f>
        <v>10861192192045</v>
      </c>
      <c r="B1811" s="30" t="str">
        <f ca="1">IFERROR(__xludf.DUMMYFUNCTION("""COMPUTED_VALUE"""),"HOSPITAL DISTRITAL TINTINA")</f>
        <v>HOSPITAL DISTRITAL TINTINA</v>
      </c>
      <c r="C1811" s="30" t="str">
        <f ca="1">IFERROR(__xludf.DUMMYFUNCTION("""COMPUTED_VALUE"""),"Santiago del Estero")</f>
        <v>Santiago del Estero</v>
      </c>
      <c r="D1811" s="30" t="str">
        <f ca="1">IFERROR(__xludf.DUMMYFUNCTION("""COMPUTED_VALUE"""),"86")</f>
        <v>86</v>
      </c>
      <c r="E1811" s="30" t="str">
        <f ca="1">IFERROR(__xludf.DUMMYFUNCTION("""COMPUTED_VALUE"""),"si")</f>
        <v>si</v>
      </c>
      <c r="F1811" s="29"/>
      <c r="G1811" s="29"/>
      <c r="H1811" s="30" t="str">
        <f ca="1">IFERROR(__xludf.DUMMYFUNCTION("""COMPUTED_VALUE"""),"activo")</f>
        <v>activo</v>
      </c>
      <c r="I1811" s="30" t="str">
        <f ca="1">IFERROR(__xludf.DUMMYFUNCTION("""COMPUTED_VALUE"""),"No se encontro la circular2")</f>
        <v>No se encontro la circular2</v>
      </c>
      <c r="J1811" s="29"/>
      <c r="K1811" s="29"/>
      <c r="L1811" s="30" t="str">
        <f ca="1">IFERROR(__xludf.DUMMYFUNCTION("""COMPUTED_VALUE"""),"No")</f>
        <v>No</v>
      </c>
      <c r="M1811" s="30" t="str">
        <f ca="1">IFERROR(__xludf.DUMMYFUNCTION("""COMPUTED_VALUE"""),"86119120000")</f>
        <v>86119120000</v>
      </c>
      <c r="N1811" s="30" t="str">
        <f ca="1">IFERROR(__xludf.DUMMYFUNCTION("""COMPUTED_VALUE"""),"TINTINA")</f>
        <v>TINTINA</v>
      </c>
      <c r="O1811" s="30" t="str">
        <f ca="1">IFERROR(__xludf.DUMMYFUNCTION("""COMPUTED_VALUE"""),"86119")</f>
        <v>86119</v>
      </c>
      <c r="P1811" s="30" t="str">
        <f ca="1">IFERROR(__xludf.DUMMYFUNCTION("""COMPUTED_VALUE"""),"MORENO")</f>
        <v>MORENO</v>
      </c>
      <c r="Q1811" s="30" t="str">
        <f ca="1">IFERROR(__xludf.DUMMYFUNCTION("""COMPUTED_VALUE"""),"-27.02752865")</f>
        <v>-27.02752865</v>
      </c>
      <c r="R1811" s="30" t="str">
        <f ca="1">IFERROR(__xludf.DUMMYFUNCTION("""COMPUTED_VALUE"""),"-62.70488119")</f>
        <v>-62.70488119</v>
      </c>
      <c r="S1811" s="30" t="str">
        <f ca="1">IFERROR(__xludf.DUMMYFUNCTION("""COMPUTED_VALUE"""),"Provincial")</f>
        <v>Provincial</v>
      </c>
      <c r="T1811" s="30" t="str">
        <f ca="1">IFERROR(__xludf.DUMMYFUNCTION("""COMPUTED_VALUE"""),"-")</f>
        <v>-</v>
      </c>
    </row>
    <row r="1812" spans="1:20" ht="15.75" customHeight="1" x14ac:dyDescent="0.25">
      <c r="A1812" s="30" t="str">
        <f ca="1">IFERROR(__xludf.DUMMYFUNCTION("""COMPUTED_VALUE"""),"10861192192055")</f>
        <v>10861192192055</v>
      </c>
      <c r="B1812" s="30" t="str">
        <f ca="1">IFERROR(__xludf.DUMMYFUNCTION("""COMPUTED_VALUE"""),"HOSPITAL ZONAL QUIMILI DR. BERNARDO HOUSSAY")</f>
        <v>HOSPITAL ZONAL QUIMILI DR. BERNARDO HOUSSAY</v>
      </c>
      <c r="C1812" s="30" t="str">
        <f ca="1">IFERROR(__xludf.DUMMYFUNCTION("""COMPUTED_VALUE"""),"Santiago del Estero")</f>
        <v>Santiago del Estero</v>
      </c>
      <c r="D1812" s="30" t="str">
        <f ca="1">IFERROR(__xludf.DUMMYFUNCTION("""COMPUTED_VALUE"""),"86")</f>
        <v>86</v>
      </c>
      <c r="E1812" s="30" t="str">
        <f ca="1">IFERROR(__xludf.DUMMYFUNCTION("""COMPUTED_VALUE"""),"si")</f>
        <v>si</v>
      </c>
      <c r="F1812" s="29"/>
      <c r="G1812" s="29"/>
      <c r="H1812" s="30" t="str">
        <f ca="1">IFERROR(__xludf.DUMMYFUNCTION("""COMPUTED_VALUE"""),"activo")</f>
        <v>activo</v>
      </c>
      <c r="I1812" s="30" t="str">
        <f ca="1">IFERROR(__xludf.DUMMYFUNCTION("""COMPUTED_VALUE"""),"No se encontro la circular2")</f>
        <v>No se encontro la circular2</v>
      </c>
      <c r="J1812" s="29"/>
      <c r="K1812" s="29"/>
      <c r="L1812" s="30" t="str">
        <f ca="1">IFERROR(__xludf.DUMMYFUNCTION("""COMPUTED_VALUE"""),"No")</f>
        <v>No</v>
      </c>
      <c r="M1812" s="30" t="str">
        <f ca="1">IFERROR(__xludf.DUMMYFUNCTION("""COMPUTED_VALUE"""),"86119100000")</f>
        <v>86119100000</v>
      </c>
      <c r="N1812" s="30" t="str">
        <f ca="1">IFERROR(__xludf.DUMMYFUNCTION("""COMPUTED_VALUE"""),"QUIMILI")</f>
        <v>QUIMILI</v>
      </c>
      <c r="O1812" s="30" t="str">
        <f ca="1">IFERROR(__xludf.DUMMYFUNCTION("""COMPUTED_VALUE"""),"86119")</f>
        <v>86119</v>
      </c>
      <c r="P1812" s="30" t="str">
        <f ca="1">IFERROR(__xludf.DUMMYFUNCTION("""COMPUTED_VALUE"""),"MORENO")</f>
        <v>MORENO</v>
      </c>
      <c r="Q1812" s="30" t="str">
        <f ca="1">IFERROR(__xludf.DUMMYFUNCTION("""COMPUTED_VALUE"""),"-27.64416979")</f>
        <v>-27.64416979</v>
      </c>
      <c r="R1812" s="30" t="str">
        <f ca="1">IFERROR(__xludf.DUMMYFUNCTION("""COMPUTED_VALUE"""),"-62.41556069")</f>
        <v>-62.41556069</v>
      </c>
      <c r="S1812" s="30" t="str">
        <f ca="1">IFERROR(__xludf.DUMMYFUNCTION("""COMPUTED_VALUE"""),"Provincial")</f>
        <v>Provincial</v>
      </c>
      <c r="T1812" s="30" t="str">
        <f ca="1">IFERROR(__xludf.DUMMYFUNCTION("""COMPUTED_VALUE"""),"-")</f>
        <v>-</v>
      </c>
    </row>
    <row r="1813" spans="1:20" ht="15.75" customHeight="1" x14ac:dyDescent="0.25">
      <c r="A1813" s="30" t="str">
        <f ca="1">IFERROR(__xludf.DUMMYFUNCTION("""COMPUTED_VALUE"""),"10861262192052")</f>
        <v>10861262192052</v>
      </c>
      <c r="B1813" s="30" t="str">
        <f ca="1">IFERROR(__xludf.DUMMYFUNCTION("""COMPUTED_VALUE"""),"HOSPITAL ZONAL OJO DE AGUA DR. CLEOFAS MAZZA")</f>
        <v>HOSPITAL ZONAL OJO DE AGUA DR. CLEOFAS MAZZA</v>
      </c>
      <c r="C1813" s="30" t="str">
        <f ca="1">IFERROR(__xludf.DUMMYFUNCTION("""COMPUTED_VALUE"""),"Santiago del Estero")</f>
        <v>Santiago del Estero</v>
      </c>
      <c r="D1813" s="30" t="str">
        <f ca="1">IFERROR(__xludf.DUMMYFUNCTION("""COMPUTED_VALUE"""),"86")</f>
        <v>86</v>
      </c>
      <c r="E1813" s="30" t="str">
        <f ca="1">IFERROR(__xludf.DUMMYFUNCTION("""COMPUTED_VALUE"""),"")</f>
        <v/>
      </c>
      <c r="F1813" s="29"/>
      <c r="G1813" s="29"/>
      <c r="H1813" s="30" t="str">
        <f ca="1">IFERROR(__xludf.DUMMYFUNCTION("""COMPUTED_VALUE"""),"activo")</f>
        <v>activo</v>
      </c>
      <c r="I1813" s="30" t="str">
        <f ca="1">IFERROR(__xludf.DUMMYFUNCTION("""COMPUTED_VALUE"""),"No se encontro la circular2")</f>
        <v>No se encontro la circular2</v>
      </c>
      <c r="J1813" s="29"/>
      <c r="K1813" s="29"/>
      <c r="L1813" s="30" t="str">
        <f ca="1">IFERROR(__xludf.DUMMYFUNCTION("""COMPUTED_VALUE"""),"No")</f>
        <v>No</v>
      </c>
      <c r="M1813" s="30" t="str">
        <f ca="1">IFERROR(__xludf.DUMMYFUNCTION("""COMPUTED_VALUE"""),"86126030000")</f>
        <v>86126030000</v>
      </c>
      <c r="N1813" s="30" t="str">
        <f ca="1">IFERROR(__xludf.DUMMYFUNCTION("""COMPUTED_VALUE"""),"VILLA OJO DE AGUA")</f>
        <v>VILLA OJO DE AGUA</v>
      </c>
      <c r="O1813" s="30" t="str">
        <f ca="1">IFERROR(__xludf.DUMMYFUNCTION("""COMPUTED_VALUE"""),"86126")</f>
        <v>86126</v>
      </c>
      <c r="P1813" s="30" t="str">
        <f ca="1">IFERROR(__xludf.DUMMYFUNCTION("""COMPUTED_VALUE"""),"OJO DE AGUA")</f>
        <v>OJO DE AGUA</v>
      </c>
      <c r="Q1813" s="30" t="str">
        <f ca="1">IFERROR(__xludf.DUMMYFUNCTION("""COMPUTED_VALUE"""),"-29.50132291")</f>
        <v>-29.50132291</v>
      </c>
      <c r="R1813" s="30" t="str">
        <f ca="1">IFERROR(__xludf.DUMMYFUNCTION("""COMPUTED_VALUE"""),"-63.69425154")</f>
        <v>-63.69425154</v>
      </c>
      <c r="S1813" s="30" t="str">
        <f ca="1">IFERROR(__xludf.DUMMYFUNCTION("""COMPUTED_VALUE"""),"Provincial")</f>
        <v>Provincial</v>
      </c>
      <c r="T1813" s="30" t="str">
        <f ca="1">IFERROR(__xludf.DUMMYFUNCTION("""COMPUTED_VALUE"""),"-")</f>
        <v>-</v>
      </c>
    </row>
    <row r="1814" spans="1:20" ht="15.75" customHeight="1" x14ac:dyDescent="0.25">
      <c r="A1814" s="30" t="str">
        <f ca="1">IFERROR(__xludf.DUMMYFUNCTION("""COMPUTED_VALUE"""),"10861332192018")</f>
        <v>10861332192018</v>
      </c>
      <c r="B1814" s="30" t="str">
        <f ca="1">IFERROR(__xludf.DUMMYFUNCTION("""COMPUTED_VALUE"""),"HOSPITAL DE TRANSITO EL MOJON")</f>
        <v>HOSPITAL DE TRANSITO EL MOJON</v>
      </c>
      <c r="C1814" s="30" t="str">
        <f ca="1">IFERROR(__xludf.DUMMYFUNCTION("""COMPUTED_VALUE"""),"Santiago del Estero")</f>
        <v>Santiago del Estero</v>
      </c>
      <c r="D1814" s="30" t="str">
        <f ca="1">IFERROR(__xludf.DUMMYFUNCTION("""COMPUTED_VALUE"""),"86")</f>
        <v>86</v>
      </c>
      <c r="E1814" s="30" t="str">
        <f ca="1">IFERROR(__xludf.DUMMYFUNCTION("""COMPUTED_VALUE"""),"")</f>
        <v/>
      </c>
      <c r="F1814" s="29"/>
      <c r="G1814" s="29"/>
      <c r="H1814" s="30" t="str">
        <f ca="1">IFERROR(__xludf.DUMMYFUNCTION("""COMPUTED_VALUE"""),"activo")</f>
        <v>activo</v>
      </c>
      <c r="I1814" s="30" t="str">
        <f ca="1">IFERROR(__xludf.DUMMYFUNCTION("""COMPUTED_VALUE"""),"No se encontro la circular2")</f>
        <v>No se encontro la circular2</v>
      </c>
      <c r="J1814" s="29"/>
      <c r="K1814" s="29"/>
      <c r="L1814" s="30" t="str">
        <f ca="1">IFERROR(__xludf.DUMMYFUNCTION("""COMPUTED_VALUE"""),"No")</f>
        <v>No</v>
      </c>
      <c r="M1814" s="30" t="str">
        <f ca="1">IFERROR(__xludf.DUMMYFUNCTION("""COMPUTED_VALUE"""),"86133010000")</f>
        <v>86133010000</v>
      </c>
      <c r="N1814" s="30" t="str">
        <f ca="1">IFERROR(__xludf.DUMMYFUNCTION("""COMPUTED_VALUE"""),"EL MOJON")</f>
        <v>EL MOJON</v>
      </c>
      <c r="O1814" s="30" t="str">
        <f ca="1">IFERROR(__xludf.DUMMYFUNCTION("""COMPUTED_VALUE"""),"86133")</f>
        <v>86133</v>
      </c>
      <c r="P1814" s="30" t="str">
        <f ca="1">IFERROR(__xludf.DUMMYFUNCTION("""COMPUTED_VALUE"""),"PELLEGRINI")</f>
        <v>PELLEGRINI</v>
      </c>
      <c r="Q1814" s="30" t="str">
        <f ca="1">IFERROR(__xludf.DUMMYFUNCTION("""COMPUTED_VALUE"""),"-30.01665034")</f>
        <v>-30.01665034</v>
      </c>
      <c r="R1814" s="30" t="str">
        <f ca="1">IFERROR(__xludf.DUMMYFUNCTION("""COMPUTED_VALUE"""),"-62.5333204")</f>
        <v>-62.5333204</v>
      </c>
      <c r="S1814" s="30" t="str">
        <f ca="1">IFERROR(__xludf.DUMMYFUNCTION("""COMPUTED_VALUE"""),"Provincial")</f>
        <v>Provincial</v>
      </c>
      <c r="T1814" s="30" t="str">
        <f ca="1">IFERROR(__xludf.DUMMYFUNCTION("""COMPUTED_VALUE"""),"-")</f>
        <v>-</v>
      </c>
    </row>
    <row r="1815" spans="1:20" ht="15.75" customHeight="1" x14ac:dyDescent="0.25">
      <c r="A1815" s="30" t="str">
        <f ca="1">IFERROR(__xludf.DUMMYFUNCTION("""COMPUTED_VALUE"""),"10861402192036")</f>
        <v>10861402192036</v>
      </c>
      <c r="B1815" s="30" t="str">
        <f ca="1">IFERROR(__xludf.DUMMYFUNCTION("""COMPUTED_VALUE"""),"HOSPITAL DISTRITAL SUMAMPA DR. SCHULD GRAU")</f>
        <v>HOSPITAL DISTRITAL SUMAMPA DR. SCHULD GRAU</v>
      </c>
      <c r="C1815" s="30" t="str">
        <f ca="1">IFERROR(__xludf.DUMMYFUNCTION("""COMPUTED_VALUE"""),"Santiago del Estero")</f>
        <v>Santiago del Estero</v>
      </c>
      <c r="D1815" s="30" t="str">
        <f ca="1">IFERROR(__xludf.DUMMYFUNCTION("""COMPUTED_VALUE"""),"86")</f>
        <v>86</v>
      </c>
      <c r="E1815" s="30" t="str">
        <f ca="1">IFERROR(__xludf.DUMMYFUNCTION("""COMPUTED_VALUE"""),"")</f>
        <v/>
      </c>
      <c r="F1815" s="29"/>
      <c r="G1815" s="29"/>
      <c r="H1815" s="30" t="str">
        <f ca="1">IFERROR(__xludf.DUMMYFUNCTION("""COMPUTED_VALUE"""),"activo")</f>
        <v>activo</v>
      </c>
      <c r="I1815" s="30" t="str">
        <f ca="1">IFERROR(__xludf.DUMMYFUNCTION("""COMPUTED_VALUE"""),"No se encontro la circular2")</f>
        <v>No se encontro la circular2</v>
      </c>
      <c r="J1815" s="29"/>
      <c r="K1815" s="29"/>
      <c r="L1815" s="30" t="str">
        <f ca="1">IFERROR(__xludf.DUMMYFUNCTION("""COMPUTED_VALUE"""),"No")</f>
        <v>No</v>
      </c>
      <c r="M1815" s="30" t="str">
        <f ca="1">IFERROR(__xludf.DUMMYFUNCTION("""COMPUTED_VALUE"""),"86140020000")</f>
        <v>86140020000</v>
      </c>
      <c r="N1815" s="30" t="str">
        <f ca="1">IFERROR(__xludf.DUMMYFUNCTION("""COMPUTED_VALUE"""),"SUMAMPA")</f>
        <v>SUMAMPA</v>
      </c>
      <c r="O1815" s="30" t="str">
        <f ca="1">IFERROR(__xludf.DUMMYFUNCTION("""COMPUTED_VALUE"""),"86140")</f>
        <v>86140</v>
      </c>
      <c r="P1815" s="30" t="str">
        <f ca="1">IFERROR(__xludf.DUMMYFUNCTION("""COMPUTED_VALUE"""),"QUEBRACHOS")</f>
        <v>QUEBRACHOS</v>
      </c>
      <c r="Q1815" s="30" t="str">
        <f ca="1">IFERROR(__xludf.DUMMYFUNCTION("""COMPUTED_VALUE"""),"-29.36617811")</f>
        <v>-29.36617811</v>
      </c>
      <c r="R1815" s="30" t="str">
        <f ca="1">IFERROR(__xludf.DUMMYFUNCTION("""COMPUTED_VALUE"""),"-63.46795893")</f>
        <v>-63.46795893</v>
      </c>
      <c r="S1815" s="30" t="str">
        <f ca="1">IFERROR(__xludf.DUMMYFUNCTION("""COMPUTED_VALUE"""),"Provincial")</f>
        <v>Provincial</v>
      </c>
      <c r="T1815" s="30" t="str">
        <f ca="1">IFERROR(__xludf.DUMMYFUNCTION("""COMPUTED_VALUE"""),"-")</f>
        <v>-</v>
      </c>
    </row>
    <row r="1816" spans="1:20" ht="15.75" customHeight="1" x14ac:dyDescent="0.25">
      <c r="A1816" s="30" t="str">
        <f ca="1">IFERROR(__xludf.DUMMYFUNCTION("""COMPUTED_VALUE"""),"10861472192019")</f>
        <v>10861472192019</v>
      </c>
      <c r="B1816" s="30" t="str">
        <f ca="1">IFERROR(__xludf.DUMMYFUNCTION("""COMPUTED_VALUE"""),"HOSPITAL DE TRANSITO EL CHARCO")</f>
        <v>HOSPITAL DE TRANSITO EL CHARCO</v>
      </c>
      <c r="C1816" s="30" t="str">
        <f ca="1">IFERROR(__xludf.DUMMYFUNCTION("""COMPUTED_VALUE"""),"Santiago del Estero")</f>
        <v>Santiago del Estero</v>
      </c>
      <c r="D1816" s="30" t="str">
        <f ca="1">IFERROR(__xludf.DUMMYFUNCTION("""COMPUTED_VALUE"""),"86")</f>
        <v>86</v>
      </c>
      <c r="E1816" s="30" t="str">
        <f ca="1">IFERROR(__xludf.DUMMYFUNCTION("""COMPUTED_VALUE"""),"")</f>
        <v/>
      </c>
      <c r="F1816" s="29"/>
      <c r="G1816" s="29"/>
      <c r="H1816" s="30" t="str">
        <f ca="1">IFERROR(__xludf.DUMMYFUNCTION("""COMPUTED_VALUE"""),"activo")</f>
        <v>activo</v>
      </c>
      <c r="I1816" s="30" t="str">
        <f ca="1">IFERROR(__xludf.DUMMYFUNCTION("""COMPUTED_VALUE"""),"No se encontro la circular2")</f>
        <v>No se encontro la circular2</v>
      </c>
      <c r="J1816" s="29"/>
      <c r="K1816" s="29"/>
      <c r="L1816" s="30" t="str">
        <f ca="1">IFERROR(__xludf.DUMMYFUNCTION("""COMPUTED_VALUE"""),"No")</f>
        <v>No</v>
      </c>
      <c r="M1816" s="30" t="str">
        <f ca="1">IFERROR(__xludf.DUMMYFUNCTION("""COMPUTED_VALUE"""),"86147040000")</f>
        <v>86147040000</v>
      </c>
      <c r="N1816" s="30" t="str">
        <f ca="1">IFERROR(__xludf.DUMMYFUNCTION("""COMPUTED_VALUE"""),"EL CHARCO")</f>
        <v>EL CHARCO</v>
      </c>
      <c r="O1816" s="30" t="str">
        <f ca="1">IFERROR(__xludf.DUMMYFUNCTION("""COMPUTED_VALUE"""),"86147")</f>
        <v>86147</v>
      </c>
      <c r="P1816" s="30" t="str">
        <f ca="1">IFERROR(__xludf.DUMMYFUNCTION("""COMPUTED_VALUE"""),"RÍO HONDO")</f>
        <v>RÍO HONDO</v>
      </c>
      <c r="Q1816" s="30" t="str">
        <f ca="1">IFERROR(__xludf.DUMMYFUNCTION("""COMPUTED_VALUE"""),"-27.23307796")</f>
        <v>-27.23307796</v>
      </c>
      <c r="R1816" s="30" t="str">
        <f ca="1">IFERROR(__xludf.DUMMYFUNCTION("""COMPUTED_VALUE"""),"-64.70001554")</f>
        <v>-64.70001554</v>
      </c>
      <c r="S1816" s="30" t="str">
        <f ca="1">IFERROR(__xludf.DUMMYFUNCTION("""COMPUTED_VALUE"""),"Provincial")</f>
        <v>Provincial</v>
      </c>
      <c r="T1816" s="30" t="str">
        <f ca="1">IFERROR(__xludf.DUMMYFUNCTION("""COMPUTED_VALUE"""),"-")</f>
        <v>-</v>
      </c>
    </row>
    <row r="1817" spans="1:20" ht="15.75" customHeight="1" x14ac:dyDescent="0.25">
      <c r="A1817" s="30" t="str">
        <f ca="1">IFERROR(__xludf.DUMMYFUNCTION("""COMPUTED_VALUE"""),"10861542192043")</f>
        <v>10861542192043</v>
      </c>
      <c r="B1817" s="30" t="str">
        <f ca="1">IFERROR(__xludf.DUMMYFUNCTION("""COMPUTED_VALUE"""),"HOSPITAL DISTRITAL SELVA")</f>
        <v>HOSPITAL DISTRITAL SELVA</v>
      </c>
      <c r="C1817" s="30" t="str">
        <f ca="1">IFERROR(__xludf.DUMMYFUNCTION("""COMPUTED_VALUE"""),"Santiago del Estero")</f>
        <v>Santiago del Estero</v>
      </c>
      <c r="D1817" s="30" t="str">
        <f ca="1">IFERROR(__xludf.DUMMYFUNCTION("""COMPUTED_VALUE"""),"86")</f>
        <v>86</v>
      </c>
      <c r="E1817" s="30" t="str">
        <f ca="1">IFERROR(__xludf.DUMMYFUNCTION("""COMPUTED_VALUE"""),"")</f>
        <v/>
      </c>
      <c r="F1817" s="29"/>
      <c r="G1817" s="29"/>
      <c r="H1817" s="30" t="str">
        <f ca="1">IFERROR(__xludf.DUMMYFUNCTION("""COMPUTED_VALUE"""),"activo")</f>
        <v>activo</v>
      </c>
      <c r="I1817" s="30" t="str">
        <f ca="1">IFERROR(__xludf.DUMMYFUNCTION("""COMPUTED_VALUE"""),"No se encontro la circular2")</f>
        <v>No se encontro la circular2</v>
      </c>
      <c r="J1817" s="29"/>
      <c r="K1817" s="29"/>
      <c r="L1817" s="30" t="str">
        <f ca="1">IFERROR(__xludf.DUMMYFUNCTION("""COMPUTED_VALUE"""),"No")</f>
        <v>No</v>
      </c>
      <c r="M1817" s="30" t="str">
        <f ca="1">IFERROR(__xludf.DUMMYFUNCTION("""COMPUTED_VALUE"""),"86154030000")</f>
        <v>86154030000</v>
      </c>
      <c r="N1817" s="30" t="str">
        <f ca="1">IFERROR(__xludf.DUMMYFUNCTION("""COMPUTED_VALUE"""),"SELVA")</f>
        <v>SELVA</v>
      </c>
      <c r="O1817" s="30" t="str">
        <f ca="1">IFERROR(__xludf.DUMMYFUNCTION("""COMPUTED_VALUE"""),"86154")</f>
        <v>86154</v>
      </c>
      <c r="P1817" s="30" t="str">
        <f ca="1">IFERROR(__xludf.DUMMYFUNCTION("""COMPUTED_VALUE"""),"RIVADAVIA")</f>
        <v>RIVADAVIA</v>
      </c>
      <c r="Q1817" s="30" t="str">
        <f ca="1">IFERROR(__xludf.DUMMYFUNCTION("""COMPUTED_VALUE"""),"-27.8232077")</f>
        <v>-27.8232077</v>
      </c>
      <c r="R1817" s="30" t="str">
        <f ca="1">IFERROR(__xludf.DUMMYFUNCTION("""COMPUTED_VALUE"""),"-64.2659094")</f>
        <v>-64.2659094</v>
      </c>
      <c r="S1817" s="30" t="str">
        <f ca="1">IFERROR(__xludf.DUMMYFUNCTION("""COMPUTED_VALUE"""),"Provincial")</f>
        <v>Provincial</v>
      </c>
      <c r="T1817" s="30" t="str">
        <f ca="1">IFERROR(__xludf.DUMMYFUNCTION("""COMPUTED_VALUE"""),"-")</f>
        <v>-</v>
      </c>
    </row>
    <row r="1818" spans="1:20" ht="15.75" customHeight="1" x14ac:dyDescent="0.25">
      <c r="A1818" s="30" t="str">
        <f ca="1">IFERROR(__xludf.DUMMYFUNCTION("""COMPUTED_VALUE"""),"10861612192014")</f>
        <v>10861612192014</v>
      </c>
      <c r="B1818" s="30" t="str">
        <f ca="1">IFERROR(__xludf.DUMMYFUNCTION("""COMPUTED_VALUE"""),"HOSPITAL DE TRANSITO BELTRAN")</f>
        <v>HOSPITAL DE TRANSITO BELTRAN</v>
      </c>
      <c r="C1818" s="30" t="str">
        <f ca="1">IFERROR(__xludf.DUMMYFUNCTION("""COMPUTED_VALUE"""),"Santiago del Estero")</f>
        <v>Santiago del Estero</v>
      </c>
      <c r="D1818" s="30" t="str">
        <f ca="1">IFERROR(__xludf.DUMMYFUNCTION("""COMPUTED_VALUE"""),"86")</f>
        <v>86</v>
      </c>
      <c r="E1818" s="30" t="str">
        <f ca="1">IFERROR(__xludf.DUMMYFUNCTION("""COMPUTED_VALUE"""),"")</f>
        <v/>
      </c>
      <c r="F1818" s="29"/>
      <c r="G1818" s="29"/>
      <c r="H1818" s="30" t="str">
        <f ca="1">IFERROR(__xludf.DUMMYFUNCTION("""COMPUTED_VALUE"""),"activo")</f>
        <v>activo</v>
      </c>
      <c r="I1818" s="30" t="str">
        <f ca="1">IFERROR(__xludf.DUMMYFUNCTION("""COMPUTED_VALUE"""),"No se encontro la circular2")</f>
        <v>No se encontro la circular2</v>
      </c>
      <c r="J1818" s="29"/>
      <c r="K1818" s="29"/>
      <c r="L1818" s="30" t="str">
        <f ca="1">IFERROR(__xludf.DUMMYFUNCTION("""COMPUTED_VALUE"""),"No")</f>
        <v>No</v>
      </c>
      <c r="M1818" s="30" t="str">
        <f ca="1">IFERROR(__xludf.DUMMYFUNCTION("""COMPUTED_VALUE"""),"86161140")</f>
        <v>86161140</v>
      </c>
      <c r="N1818" s="30" t="str">
        <f ca="1">IFERROR(__xludf.DUMMYFUNCTION("""COMPUTED_VALUE"""),"ROBLES")</f>
        <v>ROBLES</v>
      </c>
      <c r="O1818" s="30" t="str">
        <f ca="1">IFERROR(__xludf.DUMMYFUNCTION("""COMPUTED_VALUE"""),"86161")</f>
        <v>86161</v>
      </c>
      <c r="P1818" s="30" t="str">
        <f ca="1">IFERROR(__xludf.DUMMYFUNCTION("""COMPUTED_VALUE"""),"ROBLES")</f>
        <v>ROBLES</v>
      </c>
      <c r="Q1818" s="30" t="str">
        <f ca="1">IFERROR(__xludf.DUMMYFUNCTION("""COMPUTED_VALUE"""),"-27.93331384")</f>
        <v>-27.93331384</v>
      </c>
      <c r="R1818" s="30" t="str">
        <f ca="1">IFERROR(__xludf.DUMMYFUNCTION("""COMPUTED_VALUE"""),"-64.13332781")</f>
        <v>-64.13332781</v>
      </c>
      <c r="S1818" s="30" t="str">
        <f ca="1">IFERROR(__xludf.DUMMYFUNCTION("""COMPUTED_VALUE"""),"Provincial")</f>
        <v>Provincial</v>
      </c>
      <c r="T1818" s="30" t="str">
        <f ca="1">IFERROR(__xludf.DUMMYFUNCTION("""COMPUTED_VALUE"""),"-")</f>
        <v>-</v>
      </c>
    </row>
    <row r="1819" spans="1:20" ht="15.75" customHeight="1" x14ac:dyDescent="0.25">
      <c r="A1819" s="30" t="str">
        <f ca="1">IFERROR(__xludf.DUMMYFUNCTION("""COMPUTED_VALUE"""),"10861612192033")</f>
        <v>10861612192033</v>
      </c>
      <c r="B1819" s="30" t="str">
        <f ca="1">IFERROR(__xludf.DUMMYFUNCTION("""COMPUTED_VALUE"""),"HOSPITAL DISTRITAL COLONIA EL SIMBOLAR")</f>
        <v>HOSPITAL DISTRITAL COLONIA EL SIMBOLAR</v>
      </c>
      <c r="C1819" s="30" t="str">
        <f ca="1">IFERROR(__xludf.DUMMYFUNCTION("""COMPUTED_VALUE"""),"Santiago del Estero")</f>
        <v>Santiago del Estero</v>
      </c>
      <c r="D1819" s="30" t="str">
        <f ca="1">IFERROR(__xludf.DUMMYFUNCTION("""COMPUTED_VALUE"""),"86")</f>
        <v>86</v>
      </c>
      <c r="E1819" s="30" t="str">
        <f ca="1">IFERROR(__xludf.DUMMYFUNCTION("""COMPUTED_VALUE"""),"")</f>
        <v/>
      </c>
      <c r="F1819" s="29"/>
      <c r="G1819" s="29"/>
      <c r="H1819" s="30" t="str">
        <f ca="1">IFERROR(__xludf.DUMMYFUNCTION("""COMPUTED_VALUE"""),"activo")</f>
        <v>activo</v>
      </c>
      <c r="I1819" s="30" t="str">
        <f ca="1">IFERROR(__xludf.DUMMYFUNCTION("""COMPUTED_VALUE"""),"No se encontro la circular2")</f>
        <v>No se encontro la circular2</v>
      </c>
      <c r="J1819" s="29"/>
      <c r="K1819" s="29"/>
      <c r="L1819" s="30" t="str">
        <f ca="1">IFERROR(__xludf.DUMMYFUNCTION("""COMPUTED_VALUE"""),"No")</f>
        <v>No</v>
      </c>
      <c r="M1819" s="30" t="str">
        <f ca="1">IFERROR(__xludf.DUMMYFUNCTION("""COMPUTED_VALUE"""),"86161020000")</f>
        <v>86161020000</v>
      </c>
      <c r="N1819" s="30" t="str">
        <f ca="1">IFERROR(__xludf.DUMMYFUNCTION("""COMPUTED_VALUE"""),"COLONIA EL SIMBOLAR")</f>
        <v>COLONIA EL SIMBOLAR</v>
      </c>
      <c r="O1819" s="30" t="str">
        <f ca="1">IFERROR(__xludf.DUMMYFUNCTION("""COMPUTED_VALUE"""),"86161")</f>
        <v>86161</v>
      </c>
      <c r="P1819" s="30" t="str">
        <f ca="1">IFERROR(__xludf.DUMMYFUNCTION("""COMPUTED_VALUE"""),"ROBLES")</f>
        <v>ROBLES</v>
      </c>
      <c r="Q1819" s="30" t="str">
        <f ca="1">IFERROR(__xludf.DUMMYFUNCTION("""COMPUTED_VALUE"""),"-27.64903898")</f>
        <v>-27.64903898</v>
      </c>
      <c r="R1819" s="30" t="str">
        <f ca="1">IFERROR(__xludf.DUMMYFUNCTION("""COMPUTED_VALUE"""),"-64.20009041")</f>
        <v>-64.20009041</v>
      </c>
      <c r="S1819" s="30" t="str">
        <f ca="1">IFERROR(__xludf.DUMMYFUNCTION("""COMPUTED_VALUE"""),"Provincial")</f>
        <v>Provincial</v>
      </c>
      <c r="T1819" s="30" t="str">
        <f ca="1">IFERROR(__xludf.DUMMYFUNCTION("""COMPUTED_VALUE"""),"-")</f>
        <v>-</v>
      </c>
    </row>
    <row r="1820" spans="1:20" ht="15.75" customHeight="1" x14ac:dyDescent="0.25">
      <c r="A1820" s="30" t="str">
        <f ca="1">IFERROR(__xludf.DUMMYFUNCTION("""COMPUTED_VALUE"""),"10861612192038")</f>
        <v>10861612192038</v>
      </c>
      <c r="B1820" s="30" t="str">
        <f ca="1">IFERROR(__xludf.DUMMYFUNCTION("""COMPUTED_VALUE"""),"HOSPITAL DISTRITAL FORRES")</f>
        <v>HOSPITAL DISTRITAL FORRES</v>
      </c>
      <c r="C1820" s="30" t="str">
        <f ca="1">IFERROR(__xludf.DUMMYFUNCTION("""COMPUTED_VALUE"""),"Santiago del Estero")</f>
        <v>Santiago del Estero</v>
      </c>
      <c r="D1820" s="30" t="str">
        <f ca="1">IFERROR(__xludf.DUMMYFUNCTION("""COMPUTED_VALUE"""),"86")</f>
        <v>86</v>
      </c>
      <c r="E1820" s="30" t="str">
        <f ca="1">IFERROR(__xludf.DUMMYFUNCTION("""COMPUTED_VALUE"""),"")</f>
        <v/>
      </c>
      <c r="F1820" s="29"/>
      <c r="G1820" s="29"/>
      <c r="H1820" s="30" t="str">
        <f ca="1">IFERROR(__xludf.DUMMYFUNCTION("""COMPUTED_VALUE"""),"activo")</f>
        <v>activo</v>
      </c>
      <c r="I1820" s="30" t="str">
        <f ca="1">IFERROR(__xludf.DUMMYFUNCTION("""COMPUTED_VALUE"""),"No se encontro la circular2")</f>
        <v>No se encontro la circular2</v>
      </c>
      <c r="J1820" s="29"/>
      <c r="K1820" s="29"/>
      <c r="L1820" s="30" t="str">
        <f ca="1">IFERROR(__xludf.DUMMYFUNCTION("""COMPUTED_VALUE"""),"No")</f>
        <v>No</v>
      </c>
      <c r="M1820" s="30" t="str">
        <f ca="1">IFERROR(__xludf.DUMMYFUNCTION("""COMPUTED_VALUE"""),"86161040000")</f>
        <v>86161040000</v>
      </c>
      <c r="N1820" s="30" t="str">
        <f ca="1">IFERROR(__xludf.DUMMYFUNCTION("""COMPUTED_VALUE"""),"INGENIERO FORRES")</f>
        <v>INGENIERO FORRES</v>
      </c>
      <c r="O1820" s="30" t="str">
        <f ca="1">IFERROR(__xludf.DUMMYFUNCTION("""COMPUTED_VALUE"""),"86161")</f>
        <v>86161</v>
      </c>
      <c r="P1820" s="30" t="str">
        <f ca="1">IFERROR(__xludf.DUMMYFUNCTION("""COMPUTED_VALUE"""),"ROBLES")</f>
        <v>ROBLES</v>
      </c>
      <c r="Q1820" s="30" t="str">
        <f ca="1">IFERROR(__xludf.DUMMYFUNCTION("""COMPUTED_VALUE"""),"-27.87463092")</f>
        <v>-27.87463092</v>
      </c>
      <c r="R1820" s="30" t="str">
        <f ca="1">IFERROR(__xludf.DUMMYFUNCTION("""COMPUTED_VALUE"""),"-63.97924563")</f>
        <v>-63.97924563</v>
      </c>
      <c r="S1820" s="30" t="str">
        <f ca="1">IFERROR(__xludf.DUMMYFUNCTION("""COMPUTED_VALUE"""),"Provincial")</f>
        <v>Provincial</v>
      </c>
      <c r="T1820" s="30" t="str">
        <f ca="1">IFERROR(__xludf.DUMMYFUNCTION("""COMPUTED_VALUE"""),"-")</f>
        <v>-</v>
      </c>
    </row>
    <row r="1821" spans="1:20" ht="15.75" customHeight="1" x14ac:dyDescent="0.25">
      <c r="A1821" s="30" t="str">
        <f ca="1">IFERROR(__xludf.DUMMYFUNCTION("""COMPUTED_VALUE"""),"10861612192058")</f>
        <v>10861612192058</v>
      </c>
      <c r="B1821" s="30" t="str">
        <f ca="1">IFERROR(__xludf.DUMMYFUNCTION("""COMPUTED_VALUE"""),"HOSPITAL ZONAL FERNANDEZ DR. RUDECINDO DEL V. CAZZANIGA")</f>
        <v>HOSPITAL ZONAL FERNANDEZ DR. RUDECINDO DEL V. CAZZANIGA</v>
      </c>
      <c r="C1821" s="30" t="str">
        <f ca="1">IFERROR(__xludf.DUMMYFUNCTION("""COMPUTED_VALUE"""),"Santiago del Estero")</f>
        <v>Santiago del Estero</v>
      </c>
      <c r="D1821" s="30" t="str">
        <f ca="1">IFERROR(__xludf.DUMMYFUNCTION("""COMPUTED_VALUE"""),"86")</f>
        <v>86</v>
      </c>
      <c r="E1821" s="30" t="str">
        <f ca="1">IFERROR(__xludf.DUMMYFUNCTION("""COMPUTED_VALUE"""),"")</f>
        <v/>
      </c>
      <c r="F1821" s="29"/>
      <c r="G1821" s="29"/>
      <c r="H1821" s="30" t="str">
        <f ca="1">IFERROR(__xludf.DUMMYFUNCTION("""COMPUTED_VALUE"""),"activo")</f>
        <v>activo</v>
      </c>
      <c r="I1821" s="30" t="str">
        <f ca="1">IFERROR(__xludf.DUMMYFUNCTION("""COMPUTED_VALUE"""),"No se encontro la circular2")</f>
        <v>No se encontro la circular2</v>
      </c>
      <c r="J1821" s="29"/>
      <c r="K1821" s="29"/>
      <c r="L1821" s="30" t="str">
        <f ca="1">IFERROR(__xludf.DUMMYFUNCTION("""COMPUTED_VALUE"""),"No")</f>
        <v>No</v>
      </c>
      <c r="M1821" s="30" t="str">
        <f ca="1">IFERROR(__xludf.DUMMYFUNCTION("""COMPUTED_VALUE"""),"86161030000")</f>
        <v>86161030000</v>
      </c>
      <c r="N1821" s="30" t="str">
        <f ca="1">IFERROR(__xludf.DUMMYFUNCTION("""COMPUTED_VALUE"""),"FERNANDEZ")</f>
        <v>FERNANDEZ</v>
      </c>
      <c r="O1821" s="30" t="str">
        <f ca="1">IFERROR(__xludf.DUMMYFUNCTION("""COMPUTED_VALUE"""),"86161")</f>
        <v>86161</v>
      </c>
      <c r="P1821" s="30" t="str">
        <f ca="1">IFERROR(__xludf.DUMMYFUNCTION("""COMPUTED_VALUE"""),"ROBLES")</f>
        <v>ROBLES</v>
      </c>
      <c r="Q1821" s="30" t="str">
        <f ca="1">IFERROR(__xludf.DUMMYFUNCTION("""COMPUTED_VALUE"""),"-27.7974298")</f>
        <v>-27.7974298</v>
      </c>
      <c r="R1821" s="30" t="str">
        <f ca="1">IFERROR(__xludf.DUMMYFUNCTION("""COMPUTED_VALUE"""),"-64.2483882")</f>
        <v>-64.2483882</v>
      </c>
      <c r="S1821" s="30" t="str">
        <f ca="1">IFERROR(__xludf.DUMMYFUNCTION("""COMPUTED_VALUE"""),"Provincial")</f>
        <v>Provincial</v>
      </c>
      <c r="T1821" s="30" t="str">
        <f ca="1">IFERROR(__xludf.DUMMYFUNCTION("""COMPUTED_VALUE"""),"-")</f>
        <v>-</v>
      </c>
    </row>
    <row r="1822" spans="1:20" ht="15.75" customHeight="1" x14ac:dyDescent="0.25">
      <c r="A1822" s="30" t="str">
        <f ca="1">IFERROR(__xludf.DUMMYFUNCTION("""COMPUTED_VALUE"""),"10861682192024")</f>
        <v>10861682192024</v>
      </c>
      <c r="B1822" s="30" t="str">
        <f ca="1">IFERROR(__xludf.DUMMYFUNCTION("""COMPUTED_VALUE"""),"HOSPITAL DE TRANSITO LOS TELARES")</f>
        <v>HOSPITAL DE TRANSITO LOS TELARES</v>
      </c>
      <c r="C1822" s="30" t="str">
        <f ca="1">IFERROR(__xludf.DUMMYFUNCTION("""COMPUTED_VALUE"""),"Santiago del Estero")</f>
        <v>Santiago del Estero</v>
      </c>
      <c r="D1822" s="30" t="str">
        <f ca="1">IFERROR(__xludf.DUMMYFUNCTION("""COMPUTED_VALUE"""),"86")</f>
        <v>86</v>
      </c>
      <c r="E1822" s="30" t="str">
        <f ca="1">IFERROR(__xludf.DUMMYFUNCTION("""COMPUTED_VALUE"""),"si")</f>
        <v>si</v>
      </c>
      <c r="F1822" s="29"/>
      <c r="G1822" s="29"/>
      <c r="H1822" s="30" t="str">
        <f ca="1">IFERROR(__xludf.DUMMYFUNCTION("""COMPUTED_VALUE"""),"activo")</f>
        <v>activo</v>
      </c>
      <c r="I1822" s="30" t="str">
        <f ca="1">IFERROR(__xludf.DUMMYFUNCTION("""COMPUTED_VALUE"""),"No se encontro la circular2")</f>
        <v>No se encontro la circular2</v>
      </c>
      <c r="J1822" s="29"/>
      <c r="K1822" s="29"/>
      <c r="L1822" s="30" t="str">
        <f ca="1">IFERROR(__xludf.DUMMYFUNCTION("""COMPUTED_VALUE"""),"No")</f>
        <v>No</v>
      </c>
      <c r="M1822" s="30" t="str">
        <f ca="1">IFERROR(__xludf.DUMMYFUNCTION("""COMPUTED_VALUE"""),"86168020000")</f>
        <v>86168020000</v>
      </c>
      <c r="N1822" s="30" t="str">
        <f ca="1">IFERROR(__xludf.DUMMYFUNCTION("""COMPUTED_VALUE"""),"LOS TELARES")</f>
        <v>LOS TELARES</v>
      </c>
      <c r="O1822" s="30" t="str">
        <f ca="1">IFERROR(__xludf.DUMMYFUNCTION("""COMPUTED_VALUE"""),"86168")</f>
        <v>86168</v>
      </c>
      <c r="P1822" s="30" t="str">
        <f ca="1">IFERROR(__xludf.DUMMYFUNCTION("""COMPUTED_VALUE"""),"SALAVINA")</f>
        <v>SALAVINA</v>
      </c>
      <c r="Q1822" s="30" t="str">
        <f ca="1">IFERROR(__xludf.DUMMYFUNCTION("""COMPUTED_VALUE"""),"-28.98458657")</f>
        <v>-28.98458657</v>
      </c>
      <c r="R1822" s="30" t="str">
        <f ca="1">IFERROR(__xludf.DUMMYFUNCTION("""COMPUTED_VALUE"""),"-63.44652843")</f>
        <v>-63.44652843</v>
      </c>
      <c r="S1822" s="30" t="str">
        <f ca="1">IFERROR(__xludf.DUMMYFUNCTION("""COMPUTED_VALUE"""),"Provincial")</f>
        <v>Provincial</v>
      </c>
      <c r="T1822" s="30" t="str">
        <f ca="1">IFERROR(__xludf.DUMMYFUNCTION("""COMPUTED_VALUE"""),"-")</f>
        <v>-</v>
      </c>
    </row>
    <row r="1823" spans="1:20" ht="15.75" customHeight="1" x14ac:dyDescent="0.25">
      <c r="A1823" s="30" t="str">
        <f ca="1">IFERROR(__xludf.DUMMYFUNCTION("""COMPUTED_VALUE"""),"10861682192047")</f>
        <v>10861682192047</v>
      </c>
      <c r="B1823" s="30" t="str">
        <f ca="1">IFERROR(__xludf.DUMMYFUNCTION("""COMPUTED_VALUE"""),"HOSPITAL DISTRITAL VILLA SALAVINA DR. ALBERT SCHWEITZER")</f>
        <v>HOSPITAL DISTRITAL VILLA SALAVINA DR. ALBERT SCHWEITZER</v>
      </c>
      <c r="C1823" s="30" t="str">
        <f ca="1">IFERROR(__xludf.DUMMYFUNCTION("""COMPUTED_VALUE"""),"Santiago del Estero")</f>
        <v>Santiago del Estero</v>
      </c>
      <c r="D1823" s="30" t="str">
        <f ca="1">IFERROR(__xludf.DUMMYFUNCTION("""COMPUTED_VALUE"""),"86")</f>
        <v>86</v>
      </c>
      <c r="E1823" s="30" t="str">
        <f ca="1">IFERROR(__xludf.DUMMYFUNCTION("""COMPUTED_VALUE"""),"si")</f>
        <v>si</v>
      </c>
      <c r="F1823" s="29"/>
      <c r="G1823" s="29"/>
      <c r="H1823" s="30" t="str">
        <f ca="1">IFERROR(__xludf.DUMMYFUNCTION("""COMPUTED_VALUE"""),"activo")</f>
        <v>activo</v>
      </c>
      <c r="I1823" s="30" t="str">
        <f ca="1">IFERROR(__xludf.DUMMYFUNCTION("""COMPUTED_VALUE"""),"No se encontro la circular2")</f>
        <v>No se encontro la circular2</v>
      </c>
      <c r="J1823" s="29"/>
      <c r="K1823" s="29"/>
      <c r="L1823" s="30" t="str">
        <f ca="1">IFERROR(__xludf.DUMMYFUNCTION("""COMPUTED_VALUE"""),"No")</f>
        <v>No</v>
      </c>
      <c r="M1823" s="30" t="str">
        <f ca="1">IFERROR(__xludf.DUMMYFUNCTION("""COMPUTED_VALUE"""),"86168030000")</f>
        <v>86168030000</v>
      </c>
      <c r="N1823" s="30" t="str">
        <f ca="1">IFERROR(__xludf.DUMMYFUNCTION("""COMPUTED_VALUE"""),"VILLA SALAVINA")</f>
        <v>VILLA SALAVINA</v>
      </c>
      <c r="O1823" s="30" t="str">
        <f ca="1">IFERROR(__xludf.DUMMYFUNCTION("""COMPUTED_VALUE"""),"86168")</f>
        <v>86168</v>
      </c>
      <c r="P1823" s="30" t="str">
        <f ca="1">IFERROR(__xludf.DUMMYFUNCTION("""COMPUTED_VALUE"""),"SALAVINA")</f>
        <v>SALAVINA</v>
      </c>
      <c r="Q1823" s="30" t="str">
        <f ca="1">IFERROR(__xludf.DUMMYFUNCTION("""COMPUTED_VALUE"""),"-28.79996701")</f>
        <v>-28.79996701</v>
      </c>
      <c r="R1823" s="30" t="str">
        <f ca="1">IFERROR(__xludf.DUMMYFUNCTION("""COMPUTED_VALUE"""),"-63.41666839")</f>
        <v>-63.41666839</v>
      </c>
      <c r="S1823" s="30" t="str">
        <f ca="1">IFERROR(__xludf.DUMMYFUNCTION("""COMPUTED_VALUE"""),"Provincial")</f>
        <v>Provincial</v>
      </c>
      <c r="T1823" s="30" t="str">
        <f ca="1">IFERROR(__xludf.DUMMYFUNCTION("""COMPUTED_VALUE"""),"-")</f>
        <v>-</v>
      </c>
    </row>
    <row r="1824" spans="1:20" ht="15.75" customHeight="1" x14ac:dyDescent="0.25">
      <c r="A1824" s="30" t="str">
        <f ca="1">IFERROR(__xludf.DUMMYFUNCTION("""COMPUTED_VALUE"""),"10861752192015")</f>
        <v>10861752192015</v>
      </c>
      <c r="B1824" s="30" t="str">
        <f ca="1">IFERROR(__xludf.DUMMYFUNCTION("""COMPUTED_VALUE"""),"HOSPITAL DE TRANSITO BREA POZO")</f>
        <v>HOSPITAL DE TRANSITO BREA POZO</v>
      </c>
      <c r="C1824" s="30" t="str">
        <f ca="1">IFERROR(__xludf.DUMMYFUNCTION("""COMPUTED_VALUE"""),"Santiago del Estero")</f>
        <v>Santiago del Estero</v>
      </c>
      <c r="D1824" s="30" t="str">
        <f ca="1">IFERROR(__xludf.DUMMYFUNCTION("""COMPUTED_VALUE"""),"86")</f>
        <v>86</v>
      </c>
      <c r="E1824" s="30" t="str">
        <f ca="1">IFERROR(__xludf.DUMMYFUNCTION("""COMPUTED_VALUE"""),"si")</f>
        <v>si</v>
      </c>
      <c r="F1824" s="29"/>
      <c r="G1824" s="29"/>
      <c r="H1824" s="30" t="str">
        <f ca="1">IFERROR(__xludf.DUMMYFUNCTION("""COMPUTED_VALUE"""),"activo")</f>
        <v>activo</v>
      </c>
      <c r="I1824" s="30" t="str">
        <f ca="1">IFERROR(__xludf.DUMMYFUNCTION("""COMPUTED_VALUE"""),"No se encontro la circular2")</f>
        <v>No se encontro la circular2</v>
      </c>
      <c r="J1824" s="29"/>
      <c r="K1824" s="29"/>
      <c r="L1824" s="30" t="str">
        <f ca="1">IFERROR(__xludf.DUMMYFUNCTION("""COMPUTED_VALUE"""),"No")</f>
        <v>No</v>
      </c>
      <c r="M1824" s="30" t="str">
        <f ca="1">IFERROR(__xludf.DUMMYFUNCTION("""COMPUTED_VALUE"""),"86175010000")</f>
        <v>86175010000</v>
      </c>
      <c r="N1824" s="30" t="str">
        <f ca="1">IFERROR(__xludf.DUMMYFUNCTION("""COMPUTED_VALUE"""),"BREA POZO")</f>
        <v>BREA POZO</v>
      </c>
      <c r="O1824" s="30" t="str">
        <f ca="1">IFERROR(__xludf.DUMMYFUNCTION("""COMPUTED_VALUE"""),"86175")</f>
        <v>86175</v>
      </c>
      <c r="P1824" s="30" t="str">
        <f ca="1">IFERROR(__xludf.DUMMYFUNCTION("""COMPUTED_VALUE"""),"SAN MARTÍN")</f>
        <v>SAN MARTÍN</v>
      </c>
      <c r="Q1824" s="30" t="str">
        <f ca="1">IFERROR(__xludf.DUMMYFUNCTION("""COMPUTED_VALUE"""),"-28.24363492")</f>
        <v>-28.24363492</v>
      </c>
      <c r="R1824" s="30" t="str">
        <f ca="1">IFERROR(__xludf.DUMMYFUNCTION("""COMPUTED_VALUE"""),"-63.94883743")</f>
        <v>-63.94883743</v>
      </c>
      <c r="S1824" s="30" t="str">
        <f ca="1">IFERROR(__xludf.DUMMYFUNCTION("""COMPUTED_VALUE"""),"Provincial")</f>
        <v>Provincial</v>
      </c>
      <c r="T1824" s="30" t="str">
        <f ca="1">IFERROR(__xludf.DUMMYFUNCTION("""COMPUTED_VALUE"""),"-")</f>
        <v>-</v>
      </c>
    </row>
    <row r="1825" spans="1:20" ht="15.75" customHeight="1" x14ac:dyDescent="0.25">
      <c r="A1825" s="30" t="str">
        <f ca="1">IFERROR(__xludf.DUMMYFUNCTION("""COMPUTED_VALUE"""),"50860282192289")</f>
        <v>50860282192289</v>
      </c>
      <c r="B1825" s="30" t="str">
        <f ca="1">IFERROR(__xludf.DUMMYFUNCTION("""COMPUTED_VALUE"""),"PUESTO SANITARIO HERRERA (AÑATUYA)")</f>
        <v>PUESTO SANITARIO HERRERA (AÑATUYA)</v>
      </c>
      <c r="C1825" s="30" t="str">
        <f ca="1">IFERROR(__xludf.DUMMYFUNCTION("""COMPUTED_VALUE"""),"Santiago del Estero")</f>
        <v>Santiago del Estero</v>
      </c>
      <c r="D1825" s="30" t="str">
        <f ca="1">IFERROR(__xludf.DUMMYFUNCTION("""COMPUTED_VALUE"""),"86")</f>
        <v>86</v>
      </c>
      <c r="E1825" s="30" t="str">
        <f ca="1">IFERROR(__xludf.DUMMYFUNCTION("""COMPUTED_VALUE"""),"")</f>
        <v/>
      </c>
      <c r="F1825" s="29"/>
      <c r="G1825" s="29"/>
      <c r="H1825" s="30" t="str">
        <f ca="1">IFERROR(__xludf.DUMMYFUNCTION("""COMPUTED_VALUE"""),"activo")</f>
        <v>activo</v>
      </c>
      <c r="I1825" s="30" t="str">
        <f ca="1">IFERROR(__xludf.DUMMYFUNCTION("""COMPUTED_VALUE"""),"No se encontro la circular2")</f>
        <v>No se encontro la circular2</v>
      </c>
      <c r="J1825" s="29"/>
      <c r="K1825" s="29"/>
      <c r="L1825" s="30" t="str">
        <f ca="1">IFERROR(__xludf.DUMMYFUNCTION("""COMPUTED_VALUE"""),"No")</f>
        <v>No</v>
      </c>
      <c r="M1825" s="30" t="str">
        <f ca="1">IFERROR(__xludf.DUMMYFUNCTION("""COMPUTED_VALUE"""),"86028020000")</f>
        <v>86028020000</v>
      </c>
      <c r="N1825" s="30" t="str">
        <f ca="1">IFERROR(__xludf.DUMMYFUNCTION("""COMPUTED_VALUE"""),"HERRERA")</f>
        <v>HERRERA</v>
      </c>
      <c r="O1825" s="30" t="str">
        <f ca="1">IFERROR(__xludf.DUMMYFUNCTION("""COMPUTED_VALUE"""),"8628")</f>
        <v>8628</v>
      </c>
      <c r="P1825" s="30" t="str">
        <f ca="1">IFERROR(__xludf.DUMMYFUNCTION("""COMPUTED_VALUE"""),"AVELLANEDA")</f>
        <v>AVELLANEDA</v>
      </c>
      <c r="Q1825" s="30" t="str">
        <f ca="1">IFERROR(__xludf.DUMMYFUNCTION("""COMPUTED_VALUE"""),"-28.28667")</f>
        <v>-28.28667</v>
      </c>
      <c r="R1825" s="30" t="str">
        <f ca="1">IFERROR(__xludf.DUMMYFUNCTION("""COMPUTED_VALUE"""),"-63.03957")</f>
        <v>-63.03957</v>
      </c>
      <c r="S1825" s="30" t="str">
        <f ca="1">IFERROR(__xludf.DUMMYFUNCTION("""COMPUTED_VALUE"""),"Provincial")</f>
        <v>Provincial</v>
      </c>
      <c r="T1825" s="30" t="str">
        <f ca="1">IFERROR(__xludf.DUMMYFUNCTION("""COMPUTED_VALUE"""),"-")</f>
        <v>-</v>
      </c>
    </row>
    <row r="1826" spans="1:20" ht="15.75" customHeight="1" x14ac:dyDescent="0.25">
      <c r="A1826" s="30" t="str">
        <f ca="1">IFERROR(__xludf.DUMMYFUNCTION("""COMPUTED_VALUE"""),"50860282192292")</f>
        <v>50860282192292</v>
      </c>
      <c r="B1826" s="30" t="str">
        <f ca="1">IFERROR(__xludf.DUMMYFUNCTION("""COMPUTED_VALUE"""),"PUESTO SANITARIO ICAÑO (AÑATUYA)")</f>
        <v>PUESTO SANITARIO ICAÑO (AÑATUYA)</v>
      </c>
      <c r="C1826" s="30" t="str">
        <f ca="1">IFERROR(__xludf.DUMMYFUNCTION("""COMPUTED_VALUE"""),"Santiago del Estero")</f>
        <v>Santiago del Estero</v>
      </c>
      <c r="D1826" s="30" t="str">
        <f ca="1">IFERROR(__xludf.DUMMYFUNCTION("""COMPUTED_VALUE"""),"86")</f>
        <v>86</v>
      </c>
      <c r="E1826" s="30" t="str">
        <f ca="1">IFERROR(__xludf.DUMMYFUNCTION("""COMPUTED_VALUE"""),"")</f>
        <v/>
      </c>
      <c r="F1826" s="29"/>
      <c r="G1826" s="29"/>
      <c r="H1826" s="30" t="str">
        <f ca="1">IFERROR(__xludf.DUMMYFUNCTION("""COMPUTED_VALUE"""),"activo")</f>
        <v>activo</v>
      </c>
      <c r="I1826" s="30" t="str">
        <f ca="1">IFERROR(__xludf.DUMMYFUNCTION("""COMPUTED_VALUE"""),"No se encontro la circular2")</f>
        <v>No se encontro la circular2</v>
      </c>
      <c r="J1826" s="29"/>
      <c r="K1826" s="29"/>
      <c r="L1826" s="30" t="str">
        <f ca="1">IFERROR(__xludf.DUMMYFUNCTION("""COMPUTED_VALUE"""),"No")</f>
        <v>No</v>
      </c>
      <c r="M1826" s="30" t="str">
        <f ca="1">IFERROR(__xludf.DUMMYFUNCTION("""COMPUTED_VALUE"""),"86028030000")</f>
        <v>86028030000</v>
      </c>
      <c r="N1826" s="30" t="str">
        <f ca="1">IFERROR(__xludf.DUMMYFUNCTION("""COMPUTED_VALUE"""),"ICAÑO")</f>
        <v>ICAÑO</v>
      </c>
      <c r="O1826" s="30" t="str">
        <f ca="1">IFERROR(__xludf.DUMMYFUNCTION("""COMPUTED_VALUE"""),"8628")</f>
        <v>8628</v>
      </c>
      <c r="P1826" s="30" t="str">
        <f ca="1">IFERROR(__xludf.DUMMYFUNCTION("""COMPUTED_VALUE"""),"AVELLANEDA")</f>
        <v>AVELLANEDA</v>
      </c>
      <c r="Q1826" s="30" t="str">
        <f ca="1">IFERROR(__xludf.DUMMYFUNCTION("""COMPUTED_VALUE"""),"-28.40897")</f>
        <v>-28.40897</v>
      </c>
      <c r="R1826" s="30" t="str">
        <f ca="1">IFERROR(__xludf.DUMMYFUNCTION("""COMPUTED_VALUE"""),"-62.5305")</f>
        <v>-62.5305</v>
      </c>
      <c r="S1826" s="30" t="str">
        <f ca="1">IFERROR(__xludf.DUMMYFUNCTION("""COMPUTED_VALUE"""),"Provincial")</f>
        <v>Provincial</v>
      </c>
      <c r="T1826" s="30" t="str">
        <f ca="1">IFERROR(__xludf.DUMMYFUNCTION("""COMPUTED_VALUE"""),"-")</f>
        <v>-</v>
      </c>
    </row>
    <row r="1827" spans="1:20" ht="15.75" customHeight="1" x14ac:dyDescent="0.25">
      <c r="A1827" s="30" t="str">
        <f ca="1">IFERROR(__xludf.DUMMYFUNCTION("""COMPUTED_VALUE"""),"50860352192157")</f>
        <v>50860352192157</v>
      </c>
      <c r="B1827" s="30" t="str">
        <f ca="1">IFERROR(__xludf.DUMMYFUNCTION("""COMPUTED_VALUE"""),"UPA Nº 6 Bº DORREGO- LA BANDA")</f>
        <v>UPA Nº 6 Bº DORREGO- LA BANDA</v>
      </c>
      <c r="C1827" s="30" t="str">
        <f ca="1">IFERROR(__xludf.DUMMYFUNCTION("""COMPUTED_VALUE"""),"Santiago del Estero")</f>
        <v>Santiago del Estero</v>
      </c>
      <c r="D1827" s="30" t="str">
        <f ca="1">IFERROR(__xludf.DUMMYFUNCTION("""COMPUTED_VALUE"""),"86")</f>
        <v>86</v>
      </c>
      <c r="E1827" s="30" t="str">
        <f ca="1">IFERROR(__xludf.DUMMYFUNCTION("""COMPUTED_VALUE"""),"")</f>
        <v/>
      </c>
      <c r="F1827" s="29"/>
      <c r="G1827" s="29"/>
      <c r="H1827" s="30" t="str">
        <f ca="1">IFERROR(__xludf.DUMMYFUNCTION("""COMPUTED_VALUE"""),"activo")</f>
        <v>activo</v>
      </c>
      <c r="I1827" s="30" t="str">
        <f ca="1">IFERROR(__xludf.DUMMYFUNCTION("""COMPUTED_VALUE"""),"No se encontro la circular2")</f>
        <v>No se encontro la circular2</v>
      </c>
      <c r="J1827" s="29"/>
      <c r="K1827" s="29"/>
      <c r="L1827" s="30" t="str">
        <f ca="1">IFERROR(__xludf.DUMMYFUNCTION("""COMPUTED_VALUE"""),"No")</f>
        <v>No</v>
      </c>
      <c r="M1827" s="30" t="str">
        <f ca="1">IFERROR(__xludf.DUMMYFUNCTION("""COMPUTED_VALUE"""),"86035090000")</f>
        <v>86035090000</v>
      </c>
      <c r="N1827" s="30" t="str">
        <f ca="1">IFERROR(__xludf.DUMMYFUNCTION("""COMPUTED_VALUE"""),"LA BANDA")</f>
        <v>LA BANDA</v>
      </c>
      <c r="O1827" s="30" t="str">
        <f ca="1">IFERROR(__xludf.DUMMYFUNCTION("""COMPUTED_VALUE"""),"8635")</f>
        <v>8635</v>
      </c>
      <c r="P1827" s="30" t="str">
        <f ca="1">IFERROR(__xludf.DUMMYFUNCTION("""COMPUTED_VALUE"""),"BANDA")</f>
        <v>BANDA</v>
      </c>
      <c r="Q1827" s="30" t="str">
        <f ca="1">IFERROR(__xludf.DUMMYFUNCTION("""COMPUTED_VALUE"""),"-27.72729842")</f>
        <v>-27.72729842</v>
      </c>
      <c r="R1827" s="30" t="str">
        <f ca="1">IFERROR(__xludf.DUMMYFUNCTION("""COMPUTED_VALUE"""),"-64.28787231")</f>
        <v>-64.28787231</v>
      </c>
      <c r="S1827" s="30" t="str">
        <f ca="1">IFERROR(__xludf.DUMMYFUNCTION("""COMPUTED_VALUE"""),"Provincial")</f>
        <v>Provincial</v>
      </c>
      <c r="T1827" s="30" t="str">
        <f ca="1">IFERROR(__xludf.DUMMYFUNCTION("""COMPUTED_VALUE"""),"-")</f>
        <v>-</v>
      </c>
    </row>
    <row r="1828" spans="1:20" ht="15.75" customHeight="1" x14ac:dyDescent="0.25">
      <c r="A1828" s="30" t="str">
        <f ca="1">IFERROR(__xludf.DUMMYFUNCTION("""COMPUTED_VALUE"""),"50860352192168")</f>
        <v>50860352192168</v>
      </c>
      <c r="B1828" s="30" t="str">
        <f ca="1">IFERROR(__xludf.DUMMYFUNCTION("""COMPUTED_VALUE"""),"PUESTO SANITARIO ESTACION SIMBOLAR (CLODOMIRA).")</f>
        <v>PUESTO SANITARIO ESTACION SIMBOLAR (CLODOMIRA).</v>
      </c>
      <c r="C1828" s="30" t="str">
        <f ca="1">IFERROR(__xludf.DUMMYFUNCTION("""COMPUTED_VALUE"""),"Santiago del Estero")</f>
        <v>Santiago del Estero</v>
      </c>
      <c r="D1828" s="30" t="str">
        <f ca="1">IFERROR(__xludf.DUMMYFUNCTION("""COMPUTED_VALUE"""),"86")</f>
        <v>86</v>
      </c>
      <c r="E1828" s="30" t="str">
        <f ca="1">IFERROR(__xludf.DUMMYFUNCTION("""COMPUTED_VALUE"""),"")</f>
        <v/>
      </c>
      <c r="F1828" s="29"/>
      <c r="G1828" s="29"/>
      <c r="H1828" s="30" t="str">
        <f ca="1">IFERROR(__xludf.DUMMYFUNCTION("""COMPUTED_VALUE"""),"activo")</f>
        <v>activo</v>
      </c>
      <c r="I1828" s="30" t="str">
        <f ca="1">IFERROR(__xludf.DUMMYFUNCTION("""COMPUTED_VALUE"""),"No se encontro la circular2")</f>
        <v>No se encontro la circular2</v>
      </c>
      <c r="J1828" s="29"/>
      <c r="K1828" s="29"/>
      <c r="L1828" s="30" t="str">
        <f ca="1">IFERROR(__xludf.DUMMYFUNCTION("""COMPUTED_VALUE"""),"No")</f>
        <v>No</v>
      </c>
      <c r="M1828" s="30" t="str">
        <f ca="1">IFERROR(__xludf.DUMMYFUNCTION("""COMPUTED_VALUE"""),"86035130000")</f>
        <v>86035130000</v>
      </c>
      <c r="N1828" s="30" t="str">
        <f ca="1">IFERROR(__xludf.DUMMYFUNCTION("""COMPUTED_VALUE"""),"SIMBOLAR")</f>
        <v>SIMBOLAR</v>
      </c>
      <c r="O1828" s="30" t="str">
        <f ca="1">IFERROR(__xludf.DUMMYFUNCTION("""COMPUTED_VALUE"""),"8635")</f>
        <v>8635</v>
      </c>
      <c r="P1828" s="30" t="str">
        <f ca="1">IFERROR(__xludf.DUMMYFUNCTION("""COMPUTED_VALUE"""),"BANDA")</f>
        <v>BANDA</v>
      </c>
      <c r="Q1828" s="30" t="str">
        <f ca="1">IFERROR(__xludf.DUMMYFUNCTION("""COMPUTED_VALUE"""),"-27.64863096")</f>
        <v>-27.64863096</v>
      </c>
      <c r="R1828" s="30" t="str">
        <f ca="1">IFERROR(__xludf.DUMMYFUNCTION("""COMPUTED_VALUE"""),"-64.20043373")</f>
        <v>-64.20043373</v>
      </c>
      <c r="S1828" s="30" t="str">
        <f ca="1">IFERROR(__xludf.DUMMYFUNCTION("""COMPUTED_VALUE"""),"Provincial")</f>
        <v>Provincial</v>
      </c>
      <c r="T1828" s="30" t="str">
        <f ca="1">IFERROR(__xludf.DUMMYFUNCTION("""COMPUTED_VALUE"""),"-")</f>
        <v>-</v>
      </c>
    </row>
    <row r="1829" spans="1:20" ht="15.75" customHeight="1" x14ac:dyDescent="0.25">
      <c r="A1829" s="30" t="str">
        <f ca="1">IFERROR(__xludf.DUMMYFUNCTION("""COMPUTED_VALUE"""),"50860352192179")</f>
        <v>50860352192179</v>
      </c>
      <c r="B1829" s="30" t="str">
        <f ca="1">IFERROR(__xludf.DUMMYFUNCTION("""COMPUTED_VALUE"""),"UPA Nº 7 LOS LAGOS")</f>
        <v>UPA Nº 7 LOS LAGOS</v>
      </c>
      <c r="C1829" s="30" t="str">
        <f ca="1">IFERROR(__xludf.DUMMYFUNCTION("""COMPUTED_VALUE"""),"Santiago del Estero")</f>
        <v>Santiago del Estero</v>
      </c>
      <c r="D1829" s="30" t="str">
        <f ca="1">IFERROR(__xludf.DUMMYFUNCTION("""COMPUTED_VALUE"""),"86")</f>
        <v>86</v>
      </c>
      <c r="E1829" s="30" t="str">
        <f ca="1">IFERROR(__xludf.DUMMYFUNCTION("""COMPUTED_VALUE"""),"")</f>
        <v/>
      </c>
      <c r="F1829" s="29"/>
      <c r="G1829" s="29"/>
      <c r="H1829" s="30" t="str">
        <f ca="1">IFERROR(__xludf.DUMMYFUNCTION("""COMPUTED_VALUE"""),"activo")</f>
        <v>activo</v>
      </c>
      <c r="I1829" s="30" t="str">
        <f ca="1">IFERROR(__xludf.DUMMYFUNCTION("""COMPUTED_VALUE"""),"No se encontro la circular2")</f>
        <v>No se encontro la circular2</v>
      </c>
      <c r="J1829" s="29"/>
      <c r="K1829" s="29"/>
      <c r="L1829" s="30" t="str">
        <f ca="1">IFERROR(__xludf.DUMMYFUNCTION("""COMPUTED_VALUE"""),"No")</f>
        <v>No</v>
      </c>
      <c r="M1829" s="30" t="str">
        <f ca="1">IFERROR(__xludf.DUMMYFUNCTION("""COMPUTED_VALUE"""),"86035090000")</f>
        <v>86035090000</v>
      </c>
      <c r="N1829" s="30" t="str">
        <f ca="1">IFERROR(__xludf.DUMMYFUNCTION("""COMPUTED_VALUE"""),"LA BANDA")</f>
        <v>LA BANDA</v>
      </c>
      <c r="O1829" s="30" t="str">
        <f ca="1">IFERROR(__xludf.DUMMYFUNCTION("""COMPUTED_VALUE"""),"8635")</f>
        <v>8635</v>
      </c>
      <c r="P1829" s="30" t="str">
        <f ca="1">IFERROR(__xludf.DUMMYFUNCTION("""COMPUTED_VALUE"""),"BANDA")</f>
        <v>BANDA</v>
      </c>
      <c r="Q1829" s="30" t="str">
        <f ca="1">IFERROR(__xludf.DUMMYFUNCTION("""COMPUTED_VALUE"""),"-27.7229364")</f>
        <v>-27.7229364</v>
      </c>
      <c r="R1829" s="30" t="str">
        <f ca="1">IFERROR(__xludf.DUMMYFUNCTION("""COMPUTED_VALUE"""),"-64.2471776")</f>
        <v>-64.2471776</v>
      </c>
      <c r="S1829" s="30" t="str">
        <f ca="1">IFERROR(__xludf.DUMMYFUNCTION("""COMPUTED_VALUE"""),"Provincial")</f>
        <v>Provincial</v>
      </c>
      <c r="T1829" s="30" t="str">
        <f ca="1">IFERROR(__xludf.DUMMYFUNCTION("""COMPUTED_VALUE"""),"-")</f>
        <v>-</v>
      </c>
    </row>
    <row r="1830" spans="1:20" ht="15.75" customHeight="1" x14ac:dyDescent="0.25">
      <c r="A1830" s="30" t="str">
        <f ca="1">IFERROR(__xludf.DUMMYFUNCTION("""COMPUTED_VALUE"""),"50860352192181")</f>
        <v>50860352192181</v>
      </c>
      <c r="B1830" s="30" t="str">
        <f ca="1">IFERROR(__xludf.DUMMYFUNCTION("""COMPUTED_VALUE"""),"PUESTO SANITARIO (BANDA RURAL NORTE) LOS QUIROGA")</f>
        <v>PUESTO SANITARIO (BANDA RURAL NORTE) LOS QUIROGA</v>
      </c>
      <c r="C1830" s="30" t="str">
        <f ca="1">IFERROR(__xludf.DUMMYFUNCTION("""COMPUTED_VALUE"""),"Santiago del Estero")</f>
        <v>Santiago del Estero</v>
      </c>
      <c r="D1830" s="30" t="str">
        <f ca="1">IFERROR(__xludf.DUMMYFUNCTION("""COMPUTED_VALUE"""),"86")</f>
        <v>86</v>
      </c>
      <c r="E1830" s="30" t="str">
        <f ca="1">IFERROR(__xludf.DUMMYFUNCTION("""COMPUTED_VALUE"""),"")</f>
        <v/>
      </c>
      <c r="F1830" s="29"/>
      <c r="G1830" s="29"/>
      <c r="H1830" s="30" t="str">
        <f ca="1">IFERROR(__xludf.DUMMYFUNCTION("""COMPUTED_VALUE"""),"activo")</f>
        <v>activo</v>
      </c>
      <c r="I1830" s="30" t="str">
        <f ca="1">IFERROR(__xludf.DUMMYFUNCTION("""COMPUTED_VALUE"""),"No se encontro la circular2")</f>
        <v>No se encontro la circular2</v>
      </c>
      <c r="J1830" s="29"/>
      <c r="K1830" s="29"/>
      <c r="L1830" s="30" t="str">
        <f ca="1">IFERROR(__xludf.DUMMYFUNCTION("""COMPUTED_VALUE"""),"No")</f>
        <v>No</v>
      </c>
      <c r="M1830" s="30" t="str">
        <f ca="1">IFERROR(__xludf.DUMMYFUNCTION("""COMPUTED_VALUE"""),"86035110000")</f>
        <v>86035110000</v>
      </c>
      <c r="N1830" s="30" t="str">
        <f ca="1">IFERROR(__xludf.DUMMYFUNCTION("""COMPUTED_VALUE"""),"LOS QUIROGA")</f>
        <v>LOS QUIROGA</v>
      </c>
      <c r="O1830" s="30" t="str">
        <f ca="1">IFERROR(__xludf.DUMMYFUNCTION("""COMPUTED_VALUE"""),"8635")</f>
        <v>8635</v>
      </c>
      <c r="P1830" s="30" t="str">
        <f ca="1">IFERROR(__xludf.DUMMYFUNCTION("""COMPUTED_VALUE"""),"BANDA")</f>
        <v>BANDA</v>
      </c>
      <c r="Q1830" s="30" t="str">
        <f ca="1">IFERROR(__xludf.DUMMYFUNCTION("""COMPUTED_VALUE"""),"-27.66665643")</f>
        <v>-27.66665643</v>
      </c>
      <c r="R1830" s="30" t="str">
        <f ca="1">IFERROR(__xludf.DUMMYFUNCTION("""COMPUTED_VALUE"""),"-64.36672729")</f>
        <v>-64.36672729</v>
      </c>
      <c r="S1830" s="30" t="str">
        <f ca="1">IFERROR(__xludf.DUMMYFUNCTION("""COMPUTED_VALUE"""),"Provincial")</f>
        <v>Provincial</v>
      </c>
      <c r="T1830" s="30" t="str">
        <f ca="1">IFERROR(__xludf.DUMMYFUNCTION("""COMPUTED_VALUE"""),"-")</f>
        <v>-</v>
      </c>
    </row>
    <row r="1831" spans="1:20" ht="15.75" customHeight="1" x14ac:dyDescent="0.25">
      <c r="A1831" s="30" t="str">
        <f ca="1">IFERROR(__xludf.DUMMYFUNCTION("""COMPUTED_VALUE"""),"50860352192451")</f>
        <v>50860352192451</v>
      </c>
      <c r="B1831" s="30" t="str">
        <f ca="1">IFERROR(__xludf.DUMMYFUNCTION("""COMPUTED_VALUE"""),"UPA Nº 4 Bº MISKY MAYU")</f>
        <v>UPA Nº 4 Bº MISKY MAYU</v>
      </c>
      <c r="C1831" s="30" t="str">
        <f ca="1">IFERROR(__xludf.DUMMYFUNCTION("""COMPUTED_VALUE"""),"Santiago del Estero")</f>
        <v>Santiago del Estero</v>
      </c>
      <c r="D1831" s="30" t="str">
        <f ca="1">IFERROR(__xludf.DUMMYFUNCTION("""COMPUTED_VALUE"""),"86")</f>
        <v>86</v>
      </c>
      <c r="E1831" s="30" t="str">
        <f ca="1">IFERROR(__xludf.DUMMYFUNCTION("""COMPUTED_VALUE"""),"")</f>
        <v/>
      </c>
      <c r="F1831" s="29"/>
      <c r="G1831" s="29"/>
      <c r="H1831" s="30" t="str">
        <f ca="1">IFERROR(__xludf.DUMMYFUNCTION("""COMPUTED_VALUE"""),"activo")</f>
        <v>activo</v>
      </c>
      <c r="I1831" s="30" t="str">
        <f ca="1">IFERROR(__xludf.DUMMYFUNCTION("""COMPUTED_VALUE"""),"No se encontro la circular2")</f>
        <v>No se encontro la circular2</v>
      </c>
      <c r="J1831" s="29"/>
      <c r="K1831" s="29"/>
      <c r="L1831" s="30" t="str">
        <f ca="1">IFERROR(__xludf.DUMMYFUNCTION("""COMPUTED_VALUE"""),"No")</f>
        <v>No</v>
      </c>
      <c r="M1831" s="30" t="str">
        <f ca="1">IFERROR(__xludf.DUMMYFUNCTION("""COMPUTED_VALUE"""),"86035090000")</f>
        <v>86035090000</v>
      </c>
      <c r="N1831" s="30" t="str">
        <f ca="1">IFERROR(__xludf.DUMMYFUNCTION("""COMPUTED_VALUE"""),"LA BANDA")</f>
        <v>LA BANDA</v>
      </c>
      <c r="O1831" s="30" t="str">
        <f ca="1">IFERROR(__xludf.DUMMYFUNCTION("""COMPUTED_VALUE"""),"8635")</f>
        <v>8635</v>
      </c>
      <c r="P1831" s="30" t="str">
        <f ca="1">IFERROR(__xludf.DUMMYFUNCTION("""COMPUTED_VALUE"""),"BANDA")</f>
        <v>BANDA</v>
      </c>
      <c r="Q1831" s="30" t="str">
        <f ca="1">IFERROR(__xludf.DUMMYFUNCTION("""COMPUTED_VALUE"""),"-27.75768416")</f>
        <v>-27.75768416</v>
      </c>
      <c r="R1831" s="30" t="str">
        <f ca="1">IFERROR(__xludf.DUMMYFUNCTION("""COMPUTED_VALUE"""),"-64.243927")</f>
        <v>-64.243927</v>
      </c>
      <c r="S1831" s="30" t="str">
        <f ca="1">IFERROR(__xludf.DUMMYFUNCTION("""COMPUTED_VALUE"""),"Provincial")</f>
        <v>Provincial</v>
      </c>
      <c r="T1831" s="30" t="str">
        <f ca="1">IFERROR(__xludf.DUMMYFUNCTION("""COMPUTED_VALUE"""),"-")</f>
        <v>-</v>
      </c>
    </row>
    <row r="1832" spans="1:20" ht="15.75" customHeight="1" x14ac:dyDescent="0.25">
      <c r="A1832" s="30" t="str">
        <f ca="1">IFERROR(__xludf.DUMMYFUNCTION("""COMPUTED_VALUE"""),"50860352192454")</f>
        <v>50860352192454</v>
      </c>
      <c r="B1832" s="30" t="str">
        <f ca="1">IFERROR(__xludf.DUMMYFUNCTION("""COMPUTED_VALUE"""),"UPA Nº 5 BARRIO AMPLIACION PARQUE INDUSTRIAL")</f>
        <v>UPA Nº 5 BARRIO AMPLIACION PARQUE INDUSTRIAL</v>
      </c>
      <c r="C1832" s="30" t="str">
        <f ca="1">IFERROR(__xludf.DUMMYFUNCTION("""COMPUTED_VALUE"""),"Santiago del Estero")</f>
        <v>Santiago del Estero</v>
      </c>
      <c r="D1832" s="30" t="str">
        <f ca="1">IFERROR(__xludf.DUMMYFUNCTION("""COMPUTED_VALUE"""),"86")</f>
        <v>86</v>
      </c>
      <c r="E1832" s="30" t="str">
        <f ca="1">IFERROR(__xludf.DUMMYFUNCTION("""COMPUTED_VALUE"""),"")</f>
        <v/>
      </c>
      <c r="F1832" s="29"/>
      <c r="G1832" s="29"/>
      <c r="H1832" s="30" t="str">
        <f ca="1">IFERROR(__xludf.DUMMYFUNCTION("""COMPUTED_VALUE"""),"activo")</f>
        <v>activo</v>
      </c>
      <c r="I1832" s="30" t="str">
        <f ca="1">IFERROR(__xludf.DUMMYFUNCTION("""COMPUTED_VALUE"""),"No se encontro la circular2")</f>
        <v>No se encontro la circular2</v>
      </c>
      <c r="J1832" s="29"/>
      <c r="K1832" s="29"/>
      <c r="L1832" s="30" t="str">
        <f ca="1">IFERROR(__xludf.DUMMYFUNCTION("""COMPUTED_VALUE"""),"No")</f>
        <v>No</v>
      </c>
      <c r="M1832" s="30" t="str">
        <f ca="1">IFERROR(__xludf.DUMMYFUNCTION("""COMPUTED_VALUE"""),"86035090000")</f>
        <v>86035090000</v>
      </c>
      <c r="N1832" s="30" t="str">
        <f ca="1">IFERROR(__xludf.DUMMYFUNCTION("""COMPUTED_VALUE"""),"LA BANDA")</f>
        <v>LA BANDA</v>
      </c>
      <c r="O1832" s="30" t="str">
        <f ca="1">IFERROR(__xludf.DUMMYFUNCTION("""COMPUTED_VALUE"""),"8635")</f>
        <v>8635</v>
      </c>
      <c r="P1832" s="30" t="str">
        <f ca="1">IFERROR(__xludf.DUMMYFUNCTION("""COMPUTED_VALUE"""),"BANDA")</f>
        <v>BANDA</v>
      </c>
      <c r="Q1832" s="30" t="str">
        <f ca="1">IFERROR(__xludf.DUMMYFUNCTION("""COMPUTED_VALUE"""),"-27.7334979")</f>
        <v>-27.7334979</v>
      </c>
      <c r="R1832" s="30" t="str">
        <f ca="1">IFERROR(__xludf.DUMMYFUNCTION("""COMPUTED_VALUE"""),"-64.2690555")</f>
        <v>-64.2690555</v>
      </c>
      <c r="S1832" s="30" t="str">
        <f ca="1">IFERROR(__xludf.DUMMYFUNCTION("""COMPUTED_VALUE"""),"Provincial")</f>
        <v>Provincial</v>
      </c>
      <c r="T1832" s="30" t="str">
        <f ca="1">IFERROR(__xludf.DUMMYFUNCTION("""COMPUTED_VALUE"""),"-")</f>
        <v>-</v>
      </c>
    </row>
    <row r="1833" spans="1:20" ht="15.75" customHeight="1" x14ac:dyDescent="0.25">
      <c r="A1833" s="30" t="str">
        <f ca="1">IFERROR(__xludf.DUMMYFUNCTION("""COMPUTED_VALUE"""),"50860352192460")</f>
        <v>50860352192460</v>
      </c>
      <c r="B1833" s="30" t="str">
        <f ca="1">IFERROR(__xludf.DUMMYFUNCTION("""COMPUTED_VALUE"""),"UPA Nº 1 Bº EL CRUCE")</f>
        <v>UPA Nº 1 Bº EL CRUCE</v>
      </c>
      <c r="C1833" s="30" t="str">
        <f ca="1">IFERROR(__xludf.DUMMYFUNCTION("""COMPUTED_VALUE"""),"Santiago del Estero")</f>
        <v>Santiago del Estero</v>
      </c>
      <c r="D1833" s="30" t="str">
        <f ca="1">IFERROR(__xludf.DUMMYFUNCTION("""COMPUTED_VALUE"""),"86")</f>
        <v>86</v>
      </c>
      <c r="E1833" s="30" t="str">
        <f ca="1">IFERROR(__xludf.DUMMYFUNCTION("""COMPUTED_VALUE"""),"si")</f>
        <v>si</v>
      </c>
      <c r="F1833" s="29"/>
      <c r="G1833" s="29"/>
      <c r="H1833" s="30" t="str">
        <f ca="1">IFERROR(__xludf.DUMMYFUNCTION("""COMPUTED_VALUE"""),"activo")</f>
        <v>activo</v>
      </c>
      <c r="I1833" s="30" t="str">
        <f ca="1">IFERROR(__xludf.DUMMYFUNCTION("""COMPUTED_VALUE"""),"No se encontro la circular2")</f>
        <v>No se encontro la circular2</v>
      </c>
      <c r="J1833" s="29"/>
      <c r="K1833" s="29"/>
      <c r="L1833" s="30" t="str">
        <f ca="1">IFERROR(__xludf.DUMMYFUNCTION("""COMPUTED_VALUE"""),"No")</f>
        <v>No</v>
      </c>
      <c r="M1833" s="30" t="str">
        <f ca="1">IFERROR(__xludf.DUMMYFUNCTION("""COMPUTED_VALUE"""),"86035090000")</f>
        <v>86035090000</v>
      </c>
      <c r="N1833" s="30" t="str">
        <f ca="1">IFERROR(__xludf.DUMMYFUNCTION("""COMPUTED_VALUE"""),"LA BANDA")</f>
        <v>LA BANDA</v>
      </c>
      <c r="O1833" s="30" t="str">
        <f ca="1">IFERROR(__xludf.DUMMYFUNCTION("""COMPUTED_VALUE"""),"8635")</f>
        <v>8635</v>
      </c>
      <c r="P1833" s="30" t="str">
        <f ca="1">IFERROR(__xludf.DUMMYFUNCTION("""COMPUTED_VALUE"""),"BANDA")</f>
        <v>BANDA</v>
      </c>
      <c r="Q1833" s="30" t="str">
        <f ca="1">IFERROR(__xludf.DUMMYFUNCTION("""COMPUTED_VALUE"""),"-27.7506194")</f>
        <v>-27.7506194</v>
      </c>
      <c r="R1833" s="30" t="str">
        <f ca="1">IFERROR(__xludf.DUMMYFUNCTION("""COMPUTED_VALUE"""),"-64.2630625")</f>
        <v>-64.2630625</v>
      </c>
      <c r="S1833" s="30" t="str">
        <f ca="1">IFERROR(__xludf.DUMMYFUNCTION("""COMPUTED_VALUE"""),"Provincial")</f>
        <v>Provincial</v>
      </c>
      <c r="T1833" s="30" t="str">
        <f ca="1">IFERROR(__xludf.DUMMYFUNCTION("""COMPUTED_VALUE"""),"-")</f>
        <v>-</v>
      </c>
    </row>
    <row r="1834" spans="1:20" ht="15.75" customHeight="1" x14ac:dyDescent="0.25">
      <c r="A1834" s="30" t="str">
        <f ca="1">IFERROR(__xludf.DUMMYFUNCTION("""COMPUTED_VALUE"""),"50860352192467")</f>
        <v>50860352192467</v>
      </c>
      <c r="B1834" s="30" t="str">
        <f ca="1">IFERROR(__xludf.DUMMYFUNCTION("""COMPUTED_VALUE"""),"UPA Nº 2 CENTRAL ARGENTINO")</f>
        <v>UPA Nº 2 CENTRAL ARGENTINO</v>
      </c>
      <c r="C1834" s="30" t="str">
        <f ca="1">IFERROR(__xludf.DUMMYFUNCTION("""COMPUTED_VALUE"""),"Santiago del Estero")</f>
        <v>Santiago del Estero</v>
      </c>
      <c r="D1834" s="30" t="str">
        <f ca="1">IFERROR(__xludf.DUMMYFUNCTION("""COMPUTED_VALUE"""),"86")</f>
        <v>86</v>
      </c>
      <c r="E1834" s="30" t="str">
        <f ca="1">IFERROR(__xludf.DUMMYFUNCTION("""COMPUTED_VALUE"""),"")</f>
        <v/>
      </c>
      <c r="F1834" s="29"/>
      <c r="G1834" s="29"/>
      <c r="H1834" s="30" t="str">
        <f ca="1">IFERROR(__xludf.DUMMYFUNCTION("""COMPUTED_VALUE"""),"activo")</f>
        <v>activo</v>
      </c>
      <c r="I1834" s="30" t="str">
        <f ca="1">IFERROR(__xludf.DUMMYFUNCTION("""COMPUTED_VALUE"""),"No se encontro la circular2")</f>
        <v>No se encontro la circular2</v>
      </c>
      <c r="J1834" s="29"/>
      <c r="K1834" s="29"/>
      <c r="L1834" s="30" t="str">
        <f ca="1">IFERROR(__xludf.DUMMYFUNCTION("""COMPUTED_VALUE"""),"No")</f>
        <v>No</v>
      </c>
      <c r="M1834" s="30" t="str">
        <f ca="1">IFERROR(__xludf.DUMMYFUNCTION("""COMPUTED_VALUE"""),"86035090000")</f>
        <v>86035090000</v>
      </c>
      <c r="N1834" s="30" t="str">
        <f ca="1">IFERROR(__xludf.DUMMYFUNCTION("""COMPUTED_VALUE"""),"LA BANDA")</f>
        <v>LA BANDA</v>
      </c>
      <c r="O1834" s="30" t="str">
        <f ca="1">IFERROR(__xludf.DUMMYFUNCTION("""COMPUTED_VALUE"""),"8635")</f>
        <v>8635</v>
      </c>
      <c r="P1834" s="30" t="str">
        <f ca="1">IFERROR(__xludf.DUMMYFUNCTION("""COMPUTED_VALUE"""),"BANDA")</f>
        <v>BANDA</v>
      </c>
      <c r="Q1834" s="30" t="str">
        <f ca="1">IFERROR(__xludf.DUMMYFUNCTION("""COMPUTED_VALUE"""),"-27.7220249")</f>
        <v>-27.7220249</v>
      </c>
      <c r="R1834" s="30" t="str">
        <f ca="1">IFERROR(__xludf.DUMMYFUNCTION("""COMPUTED_VALUE"""),"-64.2365022")</f>
        <v>-64.2365022</v>
      </c>
      <c r="S1834" s="30" t="str">
        <f ca="1">IFERROR(__xludf.DUMMYFUNCTION("""COMPUTED_VALUE"""),"Provincial")</f>
        <v>Provincial</v>
      </c>
      <c r="T1834" s="30" t="str">
        <f ca="1">IFERROR(__xludf.DUMMYFUNCTION("""COMPUTED_VALUE"""),"-")</f>
        <v>-</v>
      </c>
    </row>
    <row r="1835" spans="1:20" ht="15.75" customHeight="1" x14ac:dyDescent="0.25">
      <c r="A1835" s="30" t="str">
        <f ca="1">IFERROR(__xludf.DUMMYFUNCTION("""COMPUTED_VALUE"""),"50860352192470")</f>
        <v>50860352192470</v>
      </c>
      <c r="B1835" s="30" t="str">
        <f ca="1">IFERROR(__xludf.DUMMYFUNCTION("""COMPUTED_VALUE"""),"UPA Nº 3 VILLA GRISELDA (CENTRAL/ADULTOS)")</f>
        <v>UPA Nº 3 VILLA GRISELDA (CENTRAL/ADULTOS)</v>
      </c>
      <c r="C1835" s="30" t="str">
        <f ca="1">IFERROR(__xludf.DUMMYFUNCTION("""COMPUTED_VALUE"""),"Santiago del Estero")</f>
        <v>Santiago del Estero</v>
      </c>
      <c r="D1835" s="30" t="str">
        <f ca="1">IFERROR(__xludf.DUMMYFUNCTION("""COMPUTED_VALUE"""),"86")</f>
        <v>86</v>
      </c>
      <c r="E1835" s="30" t="str">
        <f ca="1">IFERROR(__xludf.DUMMYFUNCTION("""COMPUTED_VALUE"""),"si")</f>
        <v>si</v>
      </c>
      <c r="F1835" s="29"/>
      <c r="G1835" s="29"/>
      <c r="H1835" s="30" t="str">
        <f ca="1">IFERROR(__xludf.DUMMYFUNCTION("""COMPUTED_VALUE"""),"activo")</f>
        <v>activo</v>
      </c>
      <c r="I1835" s="30" t="str">
        <f ca="1">IFERROR(__xludf.DUMMYFUNCTION("""COMPUTED_VALUE"""),"No se encontro la circular2")</f>
        <v>No se encontro la circular2</v>
      </c>
      <c r="J1835" s="29"/>
      <c r="K1835" s="29"/>
      <c r="L1835" s="30" t="str">
        <f ca="1">IFERROR(__xludf.DUMMYFUNCTION("""COMPUTED_VALUE"""),"No")</f>
        <v>No</v>
      </c>
      <c r="M1835" s="30" t="str">
        <f ca="1">IFERROR(__xludf.DUMMYFUNCTION("""COMPUTED_VALUE"""),"86035090000")</f>
        <v>86035090000</v>
      </c>
      <c r="N1835" s="30" t="str">
        <f ca="1">IFERROR(__xludf.DUMMYFUNCTION("""COMPUTED_VALUE"""),"LA BANDA")</f>
        <v>LA BANDA</v>
      </c>
      <c r="O1835" s="30" t="str">
        <f ca="1">IFERROR(__xludf.DUMMYFUNCTION("""COMPUTED_VALUE"""),"8635")</f>
        <v>8635</v>
      </c>
      <c r="P1835" s="30" t="str">
        <f ca="1">IFERROR(__xludf.DUMMYFUNCTION("""COMPUTED_VALUE"""),"BANDA")</f>
        <v>BANDA</v>
      </c>
      <c r="Q1835" s="30" t="str">
        <f ca="1">IFERROR(__xludf.DUMMYFUNCTION("""COMPUTED_VALUE"""),"-27.7449193")</f>
        <v>-27.7449193</v>
      </c>
      <c r="R1835" s="30" t="str">
        <f ca="1">IFERROR(__xludf.DUMMYFUNCTION("""COMPUTED_VALUE"""),"-64.2366372")</f>
        <v>-64.2366372</v>
      </c>
      <c r="S1835" s="30" t="str">
        <f ca="1">IFERROR(__xludf.DUMMYFUNCTION("""COMPUTED_VALUE"""),"Provincial")</f>
        <v>Provincial</v>
      </c>
      <c r="T1835" s="30" t="str">
        <f ca="1">IFERROR(__xludf.DUMMYFUNCTION("""COMPUTED_VALUE"""),"-")</f>
        <v>-</v>
      </c>
    </row>
    <row r="1836" spans="1:20" ht="15.75" customHeight="1" x14ac:dyDescent="0.25">
      <c r="A1836" s="30" t="str">
        <f ca="1">IFERROR(__xludf.DUMMYFUNCTION("""COMPUTED_VALUE"""),"50860352292783")</f>
        <v>50860352292783</v>
      </c>
      <c r="B1836" s="30" t="str">
        <f ca="1">IFERROR(__xludf.DUMMYFUNCTION("""COMPUTED_VALUE"""),"CAMM Nº 4 Bº AMPLIACION 25 DE MAYO")</f>
        <v>CAMM Nº 4 Bº AMPLIACION 25 DE MAYO</v>
      </c>
      <c r="C1836" s="30" t="str">
        <f ca="1">IFERROR(__xludf.DUMMYFUNCTION("""COMPUTED_VALUE"""),"Santiago del Estero")</f>
        <v>Santiago del Estero</v>
      </c>
      <c r="D1836" s="30" t="str">
        <f ca="1">IFERROR(__xludf.DUMMYFUNCTION("""COMPUTED_VALUE"""),"86")</f>
        <v>86</v>
      </c>
      <c r="E1836" s="30" t="str">
        <f ca="1">IFERROR(__xludf.DUMMYFUNCTION("""COMPUTED_VALUE"""),"")</f>
        <v/>
      </c>
      <c r="F1836" s="29"/>
      <c r="G1836" s="29"/>
      <c r="H1836" s="30" t="str">
        <f ca="1">IFERROR(__xludf.DUMMYFUNCTION("""COMPUTED_VALUE"""),"activo")</f>
        <v>activo</v>
      </c>
      <c r="I1836" s="30" t="str">
        <f ca="1">IFERROR(__xludf.DUMMYFUNCTION("""COMPUTED_VALUE"""),"No se encontro la circular2")</f>
        <v>No se encontro la circular2</v>
      </c>
      <c r="J1836" s="29"/>
      <c r="K1836" s="29"/>
      <c r="L1836" s="30" t="str">
        <f ca="1">IFERROR(__xludf.DUMMYFUNCTION("""COMPUTED_VALUE"""),"No")</f>
        <v>No</v>
      </c>
      <c r="M1836" s="30" t="str">
        <f ca="1">IFERROR(__xludf.DUMMYFUNCTION("""COMPUTED_VALUE"""),"86035090000")</f>
        <v>86035090000</v>
      </c>
      <c r="N1836" s="30" t="str">
        <f ca="1">IFERROR(__xludf.DUMMYFUNCTION("""COMPUTED_VALUE"""),"LA BANDA")</f>
        <v>LA BANDA</v>
      </c>
      <c r="O1836" s="30" t="str">
        <f ca="1">IFERROR(__xludf.DUMMYFUNCTION("""COMPUTED_VALUE"""),"8635")</f>
        <v>8635</v>
      </c>
      <c r="P1836" s="30" t="str">
        <f ca="1">IFERROR(__xludf.DUMMYFUNCTION("""COMPUTED_VALUE"""),"BANDA")</f>
        <v>BANDA</v>
      </c>
      <c r="Q1836" s="30" t="str">
        <f ca="1">IFERROR(__xludf.DUMMYFUNCTION("""COMPUTED_VALUE"""),"-27.7192318")</f>
        <v>-27.7192318</v>
      </c>
      <c r="R1836" s="30" t="str">
        <f ca="1">IFERROR(__xludf.DUMMYFUNCTION("""COMPUTED_VALUE"""),"-64.24459469")</f>
        <v>-64.24459469</v>
      </c>
      <c r="S1836" s="30" t="str">
        <f ca="1">IFERROR(__xludf.DUMMYFUNCTION("""COMPUTED_VALUE"""),"Municipal")</f>
        <v>Municipal</v>
      </c>
      <c r="T1836" s="29"/>
    </row>
    <row r="1837" spans="1:20" ht="15.75" customHeight="1" x14ac:dyDescent="0.25">
      <c r="A1837" s="30" t="str">
        <f ca="1">IFERROR(__xludf.DUMMYFUNCTION("""COMPUTED_VALUE"""),"50860492192387")</f>
        <v>50860492192387</v>
      </c>
      <c r="B1837" s="30" t="str">
        <f ca="1">IFERROR(__xludf.DUMMYFUNCTION("""COMPUTED_VALUE"""),"PUESTO SANITARIO (CAPITAL RURAL SUR) SAN PEDRO")</f>
        <v>PUESTO SANITARIO (CAPITAL RURAL SUR) SAN PEDRO</v>
      </c>
      <c r="C1837" s="30" t="str">
        <f ca="1">IFERROR(__xludf.DUMMYFUNCTION("""COMPUTED_VALUE"""),"Santiago del Estero")</f>
        <v>Santiago del Estero</v>
      </c>
      <c r="D1837" s="30" t="str">
        <f ca="1">IFERROR(__xludf.DUMMYFUNCTION("""COMPUTED_VALUE"""),"86")</f>
        <v>86</v>
      </c>
      <c r="E1837" s="30" t="str">
        <f ca="1">IFERROR(__xludf.DUMMYFUNCTION("""COMPUTED_VALUE"""),"")</f>
        <v/>
      </c>
      <c r="F1837" s="29"/>
      <c r="G1837" s="29"/>
      <c r="H1837" s="30" t="str">
        <f ca="1">IFERROR(__xludf.DUMMYFUNCTION("""COMPUTED_VALUE"""),"activo")</f>
        <v>activo</v>
      </c>
      <c r="I1837" s="30" t="str">
        <f ca="1">IFERROR(__xludf.DUMMYFUNCTION("""COMPUTED_VALUE"""),"No se encontro la circular2")</f>
        <v>No se encontro la circular2</v>
      </c>
      <c r="J1837" s="29"/>
      <c r="K1837" s="29"/>
      <c r="L1837" s="30" t="str">
        <f ca="1">IFERROR(__xludf.DUMMYFUNCTION("""COMPUTED_VALUE"""),"No")</f>
        <v>No</v>
      </c>
      <c r="M1837" s="30" t="str">
        <f ca="1">IFERROR(__xludf.DUMMYFUNCTION("""COMPUTED_VALUE"""),"86049090000")</f>
        <v>86049090000</v>
      </c>
      <c r="N1837" s="30" t="str">
        <f ca="1">IFERROR(__xludf.DUMMYFUNCTION("""COMPUTED_VALUE"""),"SAN PEDRO")</f>
        <v>SAN PEDRO</v>
      </c>
      <c r="O1837" s="30" t="str">
        <f ca="1">IFERROR(__xludf.DUMMYFUNCTION("""COMPUTED_VALUE"""),"8649")</f>
        <v>8649</v>
      </c>
      <c r="P1837" s="30" t="str">
        <f ca="1">IFERROR(__xludf.DUMMYFUNCTION("""COMPUTED_VALUE"""),"CAPITAL")</f>
        <v>CAPITAL</v>
      </c>
      <c r="Q1837" s="30" t="str">
        <f ca="1">IFERROR(__xludf.DUMMYFUNCTION("""COMPUTED_VALUE"""),"-27.95363875")</f>
        <v>-27.95363875</v>
      </c>
      <c r="R1837" s="30" t="str">
        <f ca="1">IFERROR(__xludf.DUMMYFUNCTION("""COMPUTED_VALUE"""),"-65.16125393")</f>
        <v>-65.16125393</v>
      </c>
      <c r="S1837" s="30" t="str">
        <f ca="1">IFERROR(__xludf.DUMMYFUNCTION("""COMPUTED_VALUE"""),"Provincial")</f>
        <v>Provincial</v>
      </c>
      <c r="T1837" s="30" t="str">
        <f ca="1">IFERROR(__xludf.DUMMYFUNCTION("""COMPUTED_VALUE"""),"-")</f>
        <v>-</v>
      </c>
    </row>
    <row r="1838" spans="1:20" ht="15.75" customHeight="1" x14ac:dyDescent="0.25">
      <c r="A1838" s="30" t="str">
        <f ca="1">IFERROR(__xludf.DUMMYFUNCTION("""COMPUTED_VALUE"""),"50860492192093")</f>
        <v>50860492192093</v>
      </c>
      <c r="B1838" s="30" t="str">
        <f ca="1">IFERROR(__xludf.DUMMYFUNCTION("""COMPUTED_VALUE"""),"APS MOVIL")</f>
        <v>APS MOVIL</v>
      </c>
      <c r="C1838" s="30" t="str">
        <f ca="1">IFERROR(__xludf.DUMMYFUNCTION("""COMPUTED_VALUE"""),"Santiago del Estero")</f>
        <v>Santiago del Estero</v>
      </c>
      <c r="D1838" s="30" t="str">
        <f ca="1">IFERROR(__xludf.DUMMYFUNCTION("""COMPUTED_VALUE"""),"86")</f>
        <v>86</v>
      </c>
      <c r="E1838" s="30" t="str">
        <f ca="1">IFERROR(__xludf.DUMMYFUNCTION("""COMPUTED_VALUE"""),"")</f>
        <v/>
      </c>
      <c r="F1838" s="29"/>
      <c r="G1838" s="29"/>
      <c r="H1838" s="30" t="str">
        <f ca="1">IFERROR(__xludf.DUMMYFUNCTION("""COMPUTED_VALUE"""),"activo")</f>
        <v>activo</v>
      </c>
      <c r="I1838" s="30" t="str">
        <f ca="1">IFERROR(__xludf.DUMMYFUNCTION("""COMPUTED_VALUE"""),"No se encontro la circular2")</f>
        <v>No se encontro la circular2</v>
      </c>
      <c r="J1838" s="29"/>
      <c r="K1838" s="29"/>
      <c r="L1838" s="30" t="str">
        <f ca="1">IFERROR(__xludf.DUMMYFUNCTION("""COMPUTED_VALUE"""),"No")</f>
        <v>No</v>
      </c>
      <c r="M1838" s="30" t="str">
        <f ca="1">IFERROR(__xludf.DUMMYFUNCTION("""COMPUTED_VALUE"""),"86049110000")</f>
        <v>86049110000</v>
      </c>
      <c r="N1838" s="30" t="str">
        <f ca="1">IFERROR(__xludf.DUMMYFUNCTION("""COMPUTED_VALUE"""),"SANTIAGO DEL ESTERO")</f>
        <v>SANTIAGO DEL ESTERO</v>
      </c>
      <c r="O1838" s="30" t="str">
        <f ca="1">IFERROR(__xludf.DUMMYFUNCTION("""COMPUTED_VALUE"""),"8649")</f>
        <v>8649</v>
      </c>
      <c r="P1838" s="30" t="str">
        <f ca="1">IFERROR(__xludf.DUMMYFUNCTION("""COMPUTED_VALUE"""),"CAPITAL")</f>
        <v>CAPITAL</v>
      </c>
      <c r="Q1838" s="30" t="str">
        <f ca="1">IFERROR(__xludf.DUMMYFUNCTION("""COMPUTED_VALUE"""),"-27.8032183")</f>
        <v>-27.8032183</v>
      </c>
      <c r="R1838" s="30" t="str">
        <f ca="1">IFERROR(__xludf.DUMMYFUNCTION("""COMPUTED_VALUE"""),"-64.2499074")</f>
        <v>-64.2499074</v>
      </c>
      <c r="S1838" s="30" t="str">
        <f ca="1">IFERROR(__xludf.DUMMYFUNCTION("""COMPUTED_VALUE"""),"Provincial")</f>
        <v>Provincial</v>
      </c>
      <c r="T1838" s="30" t="str">
        <f ca="1">IFERROR(__xludf.DUMMYFUNCTION("""COMPUTED_VALUE"""),"-")</f>
        <v>-</v>
      </c>
    </row>
    <row r="1839" spans="1:20" ht="15.75" customHeight="1" x14ac:dyDescent="0.25">
      <c r="A1839" s="30" t="str">
        <f ca="1">IFERROR(__xludf.DUMMYFUNCTION("""COMPUTED_VALUE"""),"50860492192224")</f>
        <v>50860492192224</v>
      </c>
      <c r="B1839" s="30" t="str">
        <f ca="1">IFERROR(__xludf.DUMMYFUNCTION("""COMPUTED_VALUE"""),"PUESTO SANITARIO BARRIO ALMIRANTE BROWN")</f>
        <v>PUESTO SANITARIO BARRIO ALMIRANTE BROWN</v>
      </c>
      <c r="C1839" s="30" t="str">
        <f ca="1">IFERROR(__xludf.DUMMYFUNCTION("""COMPUTED_VALUE"""),"Santiago del Estero")</f>
        <v>Santiago del Estero</v>
      </c>
      <c r="D1839" s="30" t="str">
        <f ca="1">IFERROR(__xludf.DUMMYFUNCTION("""COMPUTED_VALUE"""),"86")</f>
        <v>86</v>
      </c>
      <c r="E1839" s="30" t="str">
        <f ca="1">IFERROR(__xludf.DUMMYFUNCTION("""COMPUTED_VALUE"""),"")</f>
        <v/>
      </c>
      <c r="F1839" s="29"/>
      <c r="G1839" s="30" t="str">
        <f ca="1">IFERROR(__xludf.DUMMYFUNCTION("""COMPUTED_VALUE"""),"50860492192456")</f>
        <v>50860492192456</v>
      </c>
      <c r="H1839" s="30" t="str">
        <f ca="1">IFERROR(__xludf.DUMMYFUNCTION("""COMPUTED_VALUE"""),"inactivo")</f>
        <v>inactivo</v>
      </c>
      <c r="I1839" s="30" t="str">
        <f ca="1">IFERROR(__xludf.DUMMYFUNCTION("""COMPUTED_VALUE"""),"No existe sisa - a partir de 2020 cambio de Sisa y nombre. ahora es el 50860492192449	UPA Nº 14 Bº ALMIRANTE BROWN activo")</f>
        <v>No existe sisa - a partir de 2020 cambio de Sisa y nombre. ahora es el 50860492192449	UPA Nº 14 Bº ALMIRANTE BROWN activo</v>
      </c>
      <c r="J1839" s="29"/>
      <c r="K1839" s="29"/>
      <c r="L1839" s="30" t="str">
        <f ca="1">IFERROR(__xludf.DUMMYFUNCTION("""COMPUTED_VALUE"""),"No")</f>
        <v>No</v>
      </c>
      <c r="M1839" s="30" t="str">
        <f ca="1">IFERROR(__xludf.DUMMYFUNCTION("""COMPUTED_VALUE"""),"86049110000")</f>
        <v>86049110000</v>
      </c>
      <c r="N1839" s="30" t="str">
        <f ca="1">IFERROR(__xludf.DUMMYFUNCTION("""COMPUTED_VALUE"""),"SANTIAGO DEL ESTERO")</f>
        <v>SANTIAGO DEL ESTERO</v>
      </c>
      <c r="O1839" s="30" t="str">
        <f ca="1">IFERROR(__xludf.DUMMYFUNCTION("""COMPUTED_VALUE"""),"8649")</f>
        <v>8649</v>
      </c>
      <c r="P1839" s="30" t="str">
        <f ca="1">IFERROR(__xludf.DUMMYFUNCTION("""COMPUTED_VALUE"""),"#N/A")</f>
        <v>#N/A</v>
      </c>
      <c r="Q1839" s="30" t="str">
        <f ca="1">IFERROR(__xludf.DUMMYFUNCTION("""COMPUTED_VALUE"""),"-27.82323147")</f>
        <v>-27.82323147</v>
      </c>
      <c r="R1839" s="30" t="str">
        <f ca="1">IFERROR(__xludf.DUMMYFUNCTION("""COMPUTED_VALUE"""),"-64.24654484")</f>
        <v>-64.24654484</v>
      </c>
      <c r="S1839" s="30" t="str">
        <f ca="1">IFERROR(__xludf.DUMMYFUNCTION("""COMPUTED_VALUE"""),"Provincial")</f>
        <v>Provincial</v>
      </c>
      <c r="T1839" s="29"/>
    </row>
    <row r="1840" spans="1:20" ht="15.75" customHeight="1" x14ac:dyDescent="0.25">
      <c r="A1840" s="30" t="str">
        <f ca="1">IFERROR(__xludf.DUMMYFUNCTION("""COMPUTED_VALUE"""),"50860492192265")</f>
        <v>50860492192265</v>
      </c>
      <c r="B1840" s="30" t="str">
        <f ca="1">IFERROR(__xludf.DUMMYFUNCTION("""COMPUTED_VALUE"""),"PUESTO SANITARIO (CAPITAL RURAL NORTE) RAMON CARRILLO - EL DEAN - RUTA 211")</f>
        <v>PUESTO SANITARIO (CAPITAL RURAL NORTE) RAMON CARRILLO - EL DEAN - RUTA 211</v>
      </c>
      <c r="C1840" s="30" t="str">
        <f ca="1">IFERROR(__xludf.DUMMYFUNCTION("""COMPUTED_VALUE"""),"Santiago del Estero")</f>
        <v>Santiago del Estero</v>
      </c>
      <c r="D1840" s="30" t="str">
        <f ca="1">IFERROR(__xludf.DUMMYFUNCTION("""COMPUTED_VALUE"""),"86")</f>
        <v>86</v>
      </c>
      <c r="E1840" s="30" t="str">
        <f ca="1">IFERROR(__xludf.DUMMYFUNCTION("""COMPUTED_VALUE"""),"")</f>
        <v/>
      </c>
      <c r="F1840" s="29"/>
      <c r="G1840" s="29"/>
      <c r="H1840" s="30" t="str">
        <f ca="1">IFERROR(__xludf.DUMMYFUNCTION("""COMPUTED_VALUE"""),"activo")</f>
        <v>activo</v>
      </c>
      <c r="I1840" s="30" t="str">
        <f ca="1">IFERROR(__xludf.DUMMYFUNCTION("""COMPUTED_VALUE"""),"No se encontro la circular2")</f>
        <v>No se encontro la circular2</v>
      </c>
      <c r="J1840" s="29"/>
      <c r="K1840" s="29"/>
      <c r="L1840" s="30" t="str">
        <f ca="1">IFERROR(__xludf.DUMMYFUNCTION("""COMPUTED_VALUE"""),"No")</f>
        <v>No</v>
      </c>
      <c r="M1840" s="30" t="str">
        <f ca="1">IFERROR(__xludf.DUMMYFUNCTION("""COMPUTED_VALUE"""),"86049010000")</f>
        <v>86049010000</v>
      </c>
      <c r="N1840" s="30" t="str">
        <f ca="1">IFERROR(__xludf.DUMMYFUNCTION("""COMPUTED_VALUE"""),"EL DEAN")</f>
        <v>EL DEAN</v>
      </c>
      <c r="O1840" s="30" t="str">
        <f ca="1">IFERROR(__xludf.DUMMYFUNCTION("""COMPUTED_VALUE"""),"8649")</f>
        <v>8649</v>
      </c>
      <c r="P1840" s="30" t="str">
        <f ca="1">IFERROR(__xludf.DUMMYFUNCTION("""COMPUTED_VALUE"""),"CAPITAL")</f>
        <v>CAPITAL</v>
      </c>
      <c r="Q1840" s="30" t="str">
        <f ca="1">IFERROR(__xludf.DUMMYFUNCTION("""COMPUTED_VALUE"""),"-27.78077164")</f>
        <v>-27.78077164</v>
      </c>
      <c r="R1840" s="30" t="str">
        <f ca="1">IFERROR(__xludf.DUMMYFUNCTION("""COMPUTED_VALUE"""),"-64.24804688")</f>
        <v>-64.24804688</v>
      </c>
      <c r="S1840" s="30" t="str">
        <f ca="1">IFERROR(__xludf.DUMMYFUNCTION("""COMPUTED_VALUE"""),"Provincial")</f>
        <v>Provincial</v>
      </c>
      <c r="T1840" s="30" t="str">
        <f ca="1">IFERROR(__xludf.DUMMYFUNCTION("""COMPUTED_VALUE"""),"-")</f>
        <v>-</v>
      </c>
    </row>
    <row r="1841" spans="1:20" ht="15.75" customHeight="1" x14ac:dyDescent="0.25">
      <c r="A1841" s="30" t="str">
        <f ca="1">IFERROR(__xludf.DUMMYFUNCTION("""COMPUTED_VALUE"""),"50860492192429")</f>
        <v>50860492192429</v>
      </c>
      <c r="B1841" s="30" t="str">
        <f ca="1">IFERROR(__xludf.DUMMYFUNCTION("""COMPUTED_VALUE"""),"PUESTO SANITARIO (CAPITAL RURAL SUR) VILLA ZANJON")</f>
        <v>PUESTO SANITARIO (CAPITAL RURAL SUR) VILLA ZANJON</v>
      </c>
      <c r="C1841" s="30" t="str">
        <f ca="1">IFERROR(__xludf.DUMMYFUNCTION("""COMPUTED_VALUE"""),"Santiago del Estero")</f>
        <v>Santiago del Estero</v>
      </c>
      <c r="D1841" s="30" t="str">
        <f ca="1">IFERROR(__xludf.DUMMYFUNCTION("""COMPUTED_VALUE"""),"86")</f>
        <v>86</v>
      </c>
      <c r="E1841" s="30" t="str">
        <f ca="1">IFERROR(__xludf.DUMMYFUNCTION("""COMPUTED_VALUE"""),"")</f>
        <v/>
      </c>
      <c r="F1841" s="29"/>
      <c r="G1841" s="29"/>
      <c r="H1841" s="30" t="str">
        <f ca="1">IFERROR(__xludf.DUMMYFUNCTION("""COMPUTED_VALUE"""),"activo")</f>
        <v>activo</v>
      </c>
      <c r="I1841" s="30" t="str">
        <f ca="1">IFERROR(__xludf.DUMMYFUNCTION("""COMPUTED_VALUE"""),"No se encontro la circular2")</f>
        <v>No se encontro la circular2</v>
      </c>
      <c r="J1841" s="29"/>
      <c r="K1841" s="29"/>
      <c r="L1841" s="30" t="str">
        <f ca="1">IFERROR(__xludf.DUMMYFUNCTION("""COMPUTED_VALUE"""),"No")</f>
        <v>No</v>
      </c>
      <c r="M1841" s="30" t="str">
        <f ca="1">IFERROR(__xludf.DUMMYFUNCTION("""COMPUTED_VALUE"""),"86049030000")</f>
        <v>86049030000</v>
      </c>
      <c r="N1841" s="30" t="str">
        <f ca="1">IFERROR(__xludf.DUMMYFUNCTION("""COMPUTED_VALUE"""),"EL ZANJON")</f>
        <v>EL ZANJON</v>
      </c>
      <c r="O1841" s="30" t="str">
        <f ca="1">IFERROR(__xludf.DUMMYFUNCTION("""COMPUTED_VALUE"""),"8649")</f>
        <v>8649</v>
      </c>
      <c r="P1841" s="30" t="str">
        <f ca="1">IFERROR(__xludf.DUMMYFUNCTION("""COMPUTED_VALUE"""),"CAPITAL")</f>
        <v>CAPITAL</v>
      </c>
      <c r="Q1841" s="30" t="str">
        <f ca="1">IFERROR(__xludf.DUMMYFUNCTION("""COMPUTED_VALUE"""),"-27.91402265")</f>
        <v>-27.91402265</v>
      </c>
      <c r="R1841" s="30" t="str">
        <f ca="1">IFERROR(__xludf.DUMMYFUNCTION("""COMPUTED_VALUE"""),"-64.24858502")</f>
        <v>-64.24858502</v>
      </c>
      <c r="S1841" s="30" t="str">
        <f ca="1">IFERROR(__xludf.DUMMYFUNCTION("""COMPUTED_VALUE"""),"Provincial")</f>
        <v>Provincial</v>
      </c>
      <c r="T1841" s="30" t="str">
        <f ca="1">IFERROR(__xludf.DUMMYFUNCTION("""COMPUTED_VALUE"""),"-")</f>
        <v>-</v>
      </c>
    </row>
    <row r="1842" spans="1:20" ht="15.75" customHeight="1" x14ac:dyDescent="0.25">
      <c r="A1842" s="30" t="str">
        <f ca="1">IFERROR(__xludf.DUMMYFUNCTION("""COMPUTED_VALUE"""),"50860492192445")</f>
        <v>50860492192445</v>
      </c>
      <c r="B1842" s="30" t="str">
        <f ca="1">IFERROR(__xludf.DUMMYFUNCTION("""COMPUTED_VALUE"""),"UPA Nº 21 LA CATOLICA")</f>
        <v>UPA Nº 21 LA CATOLICA</v>
      </c>
      <c r="C1842" s="30" t="str">
        <f ca="1">IFERROR(__xludf.DUMMYFUNCTION("""COMPUTED_VALUE"""),"Santiago del Estero")</f>
        <v>Santiago del Estero</v>
      </c>
      <c r="D1842" s="30" t="str">
        <f ca="1">IFERROR(__xludf.DUMMYFUNCTION("""COMPUTED_VALUE"""),"86")</f>
        <v>86</v>
      </c>
      <c r="E1842" s="30" t="str">
        <f ca="1">IFERROR(__xludf.DUMMYFUNCTION("""COMPUTED_VALUE"""),"")</f>
        <v/>
      </c>
      <c r="F1842" s="29"/>
      <c r="G1842" s="29"/>
      <c r="H1842" s="30" t="str">
        <f ca="1">IFERROR(__xludf.DUMMYFUNCTION("""COMPUTED_VALUE"""),"activo")</f>
        <v>activo</v>
      </c>
      <c r="I1842" s="30" t="str">
        <f ca="1">IFERROR(__xludf.DUMMYFUNCTION("""COMPUTED_VALUE"""),"No se encontro la circular2")</f>
        <v>No se encontro la circular2</v>
      </c>
      <c r="J1842" s="29"/>
      <c r="K1842" s="29"/>
      <c r="L1842" s="30" t="str">
        <f ca="1">IFERROR(__xludf.DUMMYFUNCTION("""COMPUTED_VALUE"""),"No")</f>
        <v>No</v>
      </c>
      <c r="M1842" s="30" t="str">
        <f ca="1">IFERROR(__xludf.DUMMYFUNCTION("""COMPUTED_VALUE"""),"86049110000")</f>
        <v>86049110000</v>
      </c>
      <c r="N1842" s="30" t="str">
        <f ca="1">IFERROR(__xludf.DUMMYFUNCTION("""COMPUTED_VALUE"""),"SANTIAGO DEL ESTERO")</f>
        <v>SANTIAGO DEL ESTERO</v>
      </c>
      <c r="O1842" s="30" t="str">
        <f ca="1">IFERROR(__xludf.DUMMYFUNCTION("""COMPUTED_VALUE"""),"8649")</f>
        <v>8649</v>
      </c>
      <c r="P1842" s="30" t="str">
        <f ca="1">IFERROR(__xludf.DUMMYFUNCTION("""COMPUTED_VALUE"""),"CAPITAL")</f>
        <v>CAPITAL</v>
      </c>
      <c r="Q1842" s="30" t="str">
        <f ca="1">IFERROR(__xludf.DUMMYFUNCTION("""COMPUTED_VALUE"""),"-27.80113763")</f>
        <v>-27.80113763</v>
      </c>
      <c r="R1842" s="30" t="str">
        <f ca="1">IFERROR(__xludf.DUMMYFUNCTION("""COMPUTED_VALUE"""),"-64.23878253")</f>
        <v>-64.23878253</v>
      </c>
      <c r="S1842" s="30" t="str">
        <f ca="1">IFERROR(__xludf.DUMMYFUNCTION("""COMPUTED_VALUE"""),"Provincial")</f>
        <v>Provincial</v>
      </c>
      <c r="T1842" s="30" t="str">
        <f ca="1">IFERROR(__xludf.DUMMYFUNCTION("""COMPUTED_VALUE"""),"-")</f>
        <v>-</v>
      </c>
    </row>
    <row r="1843" spans="1:20" ht="15.75" customHeight="1" x14ac:dyDescent="0.25">
      <c r="A1843" s="30" t="str">
        <f ca="1">IFERROR(__xludf.DUMMYFUNCTION("""COMPUTED_VALUE"""),"50860492192446")</f>
        <v>50860492192446</v>
      </c>
      <c r="B1843" s="30" t="str">
        <f ca="1">IFERROR(__xludf.DUMMYFUNCTION("""COMPUTED_VALUE"""),"UPA N° 1 BARRIO GENERAL PAZ")</f>
        <v>UPA N° 1 BARRIO GENERAL PAZ</v>
      </c>
      <c r="C1843" s="30" t="str">
        <f ca="1">IFERROR(__xludf.DUMMYFUNCTION("""COMPUTED_VALUE"""),"Santiago del Estero")</f>
        <v>Santiago del Estero</v>
      </c>
      <c r="D1843" s="30" t="str">
        <f ca="1">IFERROR(__xludf.DUMMYFUNCTION("""COMPUTED_VALUE"""),"86")</f>
        <v>86</v>
      </c>
      <c r="E1843" s="30" t="str">
        <f ca="1">IFERROR(__xludf.DUMMYFUNCTION("""COMPUTED_VALUE"""),"")</f>
        <v/>
      </c>
      <c r="F1843" s="29"/>
      <c r="G1843" s="29"/>
      <c r="H1843" s="30" t="str">
        <f ca="1">IFERROR(__xludf.DUMMYFUNCTION("""COMPUTED_VALUE"""),"activo")</f>
        <v>activo</v>
      </c>
      <c r="I1843" s="30" t="str">
        <f ca="1">IFERROR(__xludf.DUMMYFUNCTION("""COMPUTED_VALUE"""),"No se encontro la circular2")</f>
        <v>No se encontro la circular2</v>
      </c>
      <c r="J1843" s="29"/>
      <c r="K1843" s="29"/>
      <c r="L1843" s="30" t="str">
        <f ca="1">IFERROR(__xludf.DUMMYFUNCTION("""COMPUTED_VALUE"""),"No")</f>
        <v>No</v>
      </c>
      <c r="M1843" s="30" t="str">
        <f ca="1">IFERROR(__xludf.DUMMYFUNCTION("""COMPUTED_VALUE"""),"86049110000")</f>
        <v>86049110000</v>
      </c>
      <c r="N1843" s="30" t="str">
        <f ca="1">IFERROR(__xludf.DUMMYFUNCTION("""COMPUTED_VALUE"""),"SANTIAGO DEL ESTERO")</f>
        <v>SANTIAGO DEL ESTERO</v>
      </c>
      <c r="O1843" s="30" t="str">
        <f ca="1">IFERROR(__xludf.DUMMYFUNCTION("""COMPUTED_VALUE"""),"8649")</f>
        <v>8649</v>
      </c>
      <c r="P1843" s="30" t="str">
        <f ca="1">IFERROR(__xludf.DUMMYFUNCTION("""COMPUTED_VALUE"""),"CAPITAL")</f>
        <v>CAPITAL</v>
      </c>
      <c r="Q1843" s="30" t="str">
        <f ca="1">IFERROR(__xludf.DUMMYFUNCTION("""COMPUTED_VALUE"""),"-27.783388")</f>
        <v>-27.783388</v>
      </c>
      <c r="R1843" s="30" t="str">
        <f ca="1">IFERROR(__xludf.DUMMYFUNCTION("""COMPUTED_VALUE"""),"-64.291238")</f>
        <v>-64.291238</v>
      </c>
      <c r="S1843" s="30" t="str">
        <f ca="1">IFERROR(__xludf.DUMMYFUNCTION("""COMPUTED_VALUE"""),"Provincial")</f>
        <v>Provincial</v>
      </c>
      <c r="T1843" s="30" t="str">
        <f ca="1">IFERROR(__xludf.DUMMYFUNCTION("""COMPUTED_VALUE"""),"-")</f>
        <v>-</v>
      </c>
    </row>
    <row r="1844" spans="1:20" ht="15.75" customHeight="1" x14ac:dyDescent="0.25">
      <c r="A1844" s="30" t="str">
        <f ca="1">IFERROR(__xludf.DUMMYFUNCTION("""COMPUTED_VALUE"""),"50860492192447")</f>
        <v>50860492192447</v>
      </c>
      <c r="B1844" s="30" t="str">
        <f ca="1">IFERROR(__xludf.DUMMYFUNCTION("""COMPUTED_VALUE"""),"UPA Nº 10 BARRIO JOHN KENNEDY")</f>
        <v>UPA Nº 10 BARRIO JOHN KENNEDY</v>
      </c>
      <c r="C1844" s="30" t="str">
        <f ca="1">IFERROR(__xludf.DUMMYFUNCTION("""COMPUTED_VALUE"""),"Santiago del Estero")</f>
        <v>Santiago del Estero</v>
      </c>
      <c r="D1844" s="30" t="str">
        <f ca="1">IFERROR(__xludf.DUMMYFUNCTION("""COMPUTED_VALUE"""),"86")</f>
        <v>86</v>
      </c>
      <c r="E1844" s="30" t="str">
        <f ca="1">IFERROR(__xludf.DUMMYFUNCTION("""COMPUTED_VALUE"""),"")</f>
        <v/>
      </c>
      <c r="F1844" s="29"/>
      <c r="G1844" s="29"/>
      <c r="H1844" s="30" t="str">
        <f ca="1">IFERROR(__xludf.DUMMYFUNCTION("""COMPUTED_VALUE"""),"activo")</f>
        <v>activo</v>
      </c>
      <c r="I1844" s="30" t="str">
        <f ca="1">IFERROR(__xludf.DUMMYFUNCTION("""COMPUTED_VALUE"""),"No se encontro la circular2")</f>
        <v>No se encontro la circular2</v>
      </c>
      <c r="J1844" s="29"/>
      <c r="K1844" s="29"/>
      <c r="L1844" s="30" t="str">
        <f ca="1">IFERROR(__xludf.DUMMYFUNCTION("""COMPUTED_VALUE"""),"No")</f>
        <v>No</v>
      </c>
      <c r="M1844" s="30" t="str">
        <f ca="1">IFERROR(__xludf.DUMMYFUNCTION("""COMPUTED_VALUE"""),"86049110000")</f>
        <v>86049110000</v>
      </c>
      <c r="N1844" s="30" t="str">
        <f ca="1">IFERROR(__xludf.DUMMYFUNCTION("""COMPUTED_VALUE"""),"SANTIAGO DEL ESTERO")</f>
        <v>SANTIAGO DEL ESTERO</v>
      </c>
      <c r="O1844" s="30" t="str">
        <f ca="1">IFERROR(__xludf.DUMMYFUNCTION("""COMPUTED_VALUE"""),"8649")</f>
        <v>8649</v>
      </c>
      <c r="P1844" s="30" t="str">
        <f ca="1">IFERROR(__xludf.DUMMYFUNCTION("""COMPUTED_VALUE"""),"CAPITAL")</f>
        <v>CAPITAL</v>
      </c>
      <c r="Q1844" s="30" t="str">
        <f ca="1">IFERROR(__xludf.DUMMYFUNCTION("""COMPUTED_VALUE"""),"-27.79881482")</f>
        <v>-27.79881482</v>
      </c>
      <c r="R1844" s="30" t="str">
        <f ca="1">IFERROR(__xludf.DUMMYFUNCTION("""COMPUTED_VALUE"""),"-64.29094648")</f>
        <v>-64.29094648</v>
      </c>
      <c r="S1844" s="30" t="str">
        <f ca="1">IFERROR(__xludf.DUMMYFUNCTION("""COMPUTED_VALUE"""),"Provincial")</f>
        <v>Provincial</v>
      </c>
      <c r="T1844" s="30" t="str">
        <f ca="1">IFERROR(__xludf.DUMMYFUNCTION("""COMPUTED_VALUE"""),"-")</f>
        <v>-</v>
      </c>
    </row>
    <row r="1845" spans="1:20" ht="15.75" customHeight="1" x14ac:dyDescent="0.25">
      <c r="A1845" s="30" t="str">
        <f ca="1">IFERROR(__xludf.DUMMYFUNCTION("""COMPUTED_VALUE"""),"50860492192448")</f>
        <v>50860492192448</v>
      </c>
      <c r="B1845" s="30" t="str">
        <f ca="1">IFERROR(__xludf.DUMMYFUNCTION("""COMPUTED_VALUE"""),"UPA Nº 11 DR. RENE FAVALORO CAMPO CONTRERAS OESTE")</f>
        <v>UPA Nº 11 DR. RENE FAVALORO CAMPO CONTRERAS OESTE</v>
      </c>
      <c r="C1845" s="30" t="str">
        <f ca="1">IFERROR(__xludf.DUMMYFUNCTION("""COMPUTED_VALUE"""),"Santiago del Estero")</f>
        <v>Santiago del Estero</v>
      </c>
      <c r="D1845" s="30" t="str">
        <f ca="1">IFERROR(__xludf.DUMMYFUNCTION("""COMPUTED_VALUE"""),"86")</f>
        <v>86</v>
      </c>
      <c r="E1845" s="30" t="str">
        <f ca="1">IFERROR(__xludf.DUMMYFUNCTION("""COMPUTED_VALUE"""),"si")</f>
        <v>si</v>
      </c>
      <c r="F1845" s="29"/>
      <c r="G1845" s="29"/>
      <c r="H1845" s="30" t="str">
        <f ca="1">IFERROR(__xludf.DUMMYFUNCTION("""COMPUTED_VALUE"""),"activo")</f>
        <v>activo</v>
      </c>
      <c r="I1845" s="30" t="str">
        <f ca="1">IFERROR(__xludf.DUMMYFUNCTION("""COMPUTED_VALUE"""),"No se encontro la circular2")</f>
        <v>No se encontro la circular2</v>
      </c>
      <c r="J1845" s="29"/>
      <c r="K1845" s="29"/>
      <c r="L1845" s="30" t="str">
        <f ca="1">IFERROR(__xludf.DUMMYFUNCTION("""COMPUTED_VALUE"""),"No")</f>
        <v>No</v>
      </c>
      <c r="M1845" s="30" t="str">
        <f ca="1">IFERROR(__xludf.DUMMYFUNCTION("""COMPUTED_VALUE"""),"86049110000")</f>
        <v>86049110000</v>
      </c>
      <c r="N1845" s="30" t="str">
        <f ca="1">IFERROR(__xludf.DUMMYFUNCTION("""COMPUTED_VALUE"""),"SANTIAGO DEL ESTERO")</f>
        <v>SANTIAGO DEL ESTERO</v>
      </c>
      <c r="O1845" s="30" t="str">
        <f ca="1">IFERROR(__xludf.DUMMYFUNCTION("""COMPUTED_VALUE"""),"8649")</f>
        <v>8649</v>
      </c>
      <c r="P1845" s="30" t="str">
        <f ca="1">IFERROR(__xludf.DUMMYFUNCTION("""COMPUTED_VALUE"""),"CAPITAL")</f>
        <v>CAPITAL</v>
      </c>
      <c r="Q1845" s="30" t="str">
        <f ca="1">IFERROR(__xludf.DUMMYFUNCTION("""COMPUTED_VALUE"""),"-27.84537535")</f>
        <v>-27.84537535</v>
      </c>
      <c r="R1845" s="30" t="str">
        <f ca="1">IFERROR(__xludf.DUMMYFUNCTION("""COMPUTED_VALUE"""),"-64.27825928")</f>
        <v>-64.27825928</v>
      </c>
      <c r="S1845" s="30" t="str">
        <f ca="1">IFERROR(__xludf.DUMMYFUNCTION("""COMPUTED_VALUE"""),"Provincial")</f>
        <v>Provincial</v>
      </c>
      <c r="T1845" s="30" t="str">
        <f ca="1">IFERROR(__xludf.DUMMYFUNCTION("""COMPUTED_VALUE"""),"-")</f>
        <v>-</v>
      </c>
    </row>
    <row r="1846" spans="1:20" ht="15.75" customHeight="1" x14ac:dyDescent="0.25">
      <c r="A1846" s="30" t="str">
        <f ca="1">IFERROR(__xludf.DUMMYFUNCTION("""COMPUTED_VALUE"""),"50860492192452")</f>
        <v>50860492192452</v>
      </c>
      <c r="B1846" s="30" t="str">
        <f ca="1">IFERROR(__xludf.DUMMYFUNCTION("""COMPUTED_VALUE"""),"UPA Nº 16 Bº CAMPO CONTRERAS")</f>
        <v>UPA Nº 16 Bº CAMPO CONTRERAS</v>
      </c>
      <c r="C1846" s="30" t="str">
        <f ca="1">IFERROR(__xludf.DUMMYFUNCTION("""COMPUTED_VALUE"""),"Santiago del Estero")</f>
        <v>Santiago del Estero</v>
      </c>
      <c r="D1846" s="30" t="str">
        <f ca="1">IFERROR(__xludf.DUMMYFUNCTION("""COMPUTED_VALUE"""),"86")</f>
        <v>86</v>
      </c>
      <c r="E1846" s="30" t="str">
        <f ca="1">IFERROR(__xludf.DUMMYFUNCTION("""COMPUTED_VALUE"""),"")</f>
        <v/>
      </c>
      <c r="F1846" s="29"/>
      <c r="G1846" s="29"/>
      <c r="H1846" s="30" t="str">
        <f ca="1">IFERROR(__xludf.DUMMYFUNCTION("""COMPUTED_VALUE"""),"activo")</f>
        <v>activo</v>
      </c>
      <c r="I1846" s="30" t="str">
        <f ca="1">IFERROR(__xludf.DUMMYFUNCTION("""COMPUTED_VALUE"""),"No se encontro la circular2")</f>
        <v>No se encontro la circular2</v>
      </c>
      <c r="J1846" s="29"/>
      <c r="K1846" s="29"/>
      <c r="L1846" s="30" t="str">
        <f ca="1">IFERROR(__xludf.DUMMYFUNCTION("""COMPUTED_VALUE"""),"No")</f>
        <v>No</v>
      </c>
      <c r="M1846" s="30" t="str">
        <f ca="1">IFERROR(__xludf.DUMMYFUNCTION("""COMPUTED_VALUE"""),"86049110000")</f>
        <v>86049110000</v>
      </c>
      <c r="N1846" s="30" t="str">
        <f ca="1">IFERROR(__xludf.DUMMYFUNCTION("""COMPUTED_VALUE"""),"SANTIAGO DEL ESTERO")</f>
        <v>SANTIAGO DEL ESTERO</v>
      </c>
      <c r="O1846" s="30" t="str">
        <f ca="1">IFERROR(__xludf.DUMMYFUNCTION("""COMPUTED_VALUE"""),"8649")</f>
        <v>8649</v>
      </c>
      <c r="P1846" s="30" t="str">
        <f ca="1">IFERROR(__xludf.DUMMYFUNCTION("""COMPUTED_VALUE"""),"CAPITAL")</f>
        <v>CAPITAL</v>
      </c>
      <c r="Q1846" s="30" t="str">
        <f ca="1">IFERROR(__xludf.DUMMYFUNCTION("""COMPUTED_VALUE"""),"-27.83231268")</f>
        <v>-27.83231268</v>
      </c>
      <c r="R1846" s="30" t="str">
        <f ca="1">IFERROR(__xludf.DUMMYFUNCTION("""COMPUTED_VALUE"""),"-64.26477438")</f>
        <v>-64.26477438</v>
      </c>
      <c r="S1846" s="30" t="str">
        <f ca="1">IFERROR(__xludf.DUMMYFUNCTION("""COMPUTED_VALUE"""),"Provincial")</f>
        <v>Provincial</v>
      </c>
      <c r="T1846" s="30" t="str">
        <f ca="1">IFERROR(__xludf.DUMMYFUNCTION("""COMPUTED_VALUE"""),"-")</f>
        <v>-</v>
      </c>
    </row>
    <row r="1847" spans="1:20" ht="15.75" customHeight="1" x14ac:dyDescent="0.25">
      <c r="A1847" s="30" t="str">
        <f ca="1">IFERROR(__xludf.DUMMYFUNCTION("""COMPUTED_VALUE"""),"50860492192453")</f>
        <v>50860492192453</v>
      </c>
      <c r="B1847" s="30" t="str">
        <f ca="1">IFERROR(__xludf.DUMMYFUNCTION("""COMPUTED_VALUE"""),"UPA Nº 4 Bº EJERCITO ARGENTINO")</f>
        <v>UPA Nº 4 Bº EJERCITO ARGENTINO</v>
      </c>
      <c r="C1847" s="30" t="str">
        <f ca="1">IFERROR(__xludf.DUMMYFUNCTION("""COMPUTED_VALUE"""),"Santiago del Estero")</f>
        <v>Santiago del Estero</v>
      </c>
      <c r="D1847" s="30" t="str">
        <f ca="1">IFERROR(__xludf.DUMMYFUNCTION("""COMPUTED_VALUE"""),"86")</f>
        <v>86</v>
      </c>
      <c r="E1847" s="30" t="str">
        <f ca="1">IFERROR(__xludf.DUMMYFUNCTION("""COMPUTED_VALUE"""),"")</f>
        <v/>
      </c>
      <c r="F1847" s="29"/>
      <c r="G1847" s="29"/>
      <c r="H1847" s="30" t="str">
        <f ca="1">IFERROR(__xludf.DUMMYFUNCTION("""COMPUTED_VALUE"""),"activo")</f>
        <v>activo</v>
      </c>
      <c r="I1847" s="30" t="str">
        <f ca="1">IFERROR(__xludf.DUMMYFUNCTION("""COMPUTED_VALUE"""),"No se encontro la circular2")</f>
        <v>No se encontro la circular2</v>
      </c>
      <c r="J1847" s="29"/>
      <c r="K1847" s="29"/>
      <c r="L1847" s="30" t="str">
        <f ca="1">IFERROR(__xludf.DUMMYFUNCTION("""COMPUTED_VALUE"""),"No")</f>
        <v>No</v>
      </c>
      <c r="M1847" s="30" t="str">
        <f ca="1">IFERROR(__xludf.DUMMYFUNCTION("""COMPUTED_VALUE"""),"86049110000")</f>
        <v>86049110000</v>
      </c>
      <c r="N1847" s="30" t="str">
        <f ca="1">IFERROR(__xludf.DUMMYFUNCTION("""COMPUTED_VALUE"""),"SANTIAGO DEL ESTERO")</f>
        <v>SANTIAGO DEL ESTERO</v>
      </c>
      <c r="O1847" s="30" t="str">
        <f ca="1">IFERROR(__xludf.DUMMYFUNCTION("""COMPUTED_VALUE"""),"8649")</f>
        <v>8649</v>
      </c>
      <c r="P1847" s="30" t="str">
        <f ca="1">IFERROR(__xludf.DUMMYFUNCTION("""COMPUTED_VALUE"""),"CAPITAL")</f>
        <v>CAPITAL</v>
      </c>
      <c r="Q1847" s="30" t="str">
        <f ca="1">IFERROR(__xludf.DUMMYFUNCTION("""COMPUTED_VALUE"""),"-27.83133434")</f>
        <v>-27.83133434</v>
      </c>
      <c r="R1847" s="30" t="str">
        <f ca="1">IFERROR(__xludf.DUMMYFUNCTION("""COMPUTED_VALUE"""),"-64.24907684")</f>
        <v>-64.24907684</v>
      </c>
      <c r="S1847" s="30" t="str">
        <f ca="1">IFERROR(__xludf.DUMMYFUNCTION("""COMPUTED_VALUE"""),"Provincial")</f>
        <v>Provincial</v>
      </c>
      <c r="T1847" s="30" t="str">
        <f ca="1">IFERROR(__xludf.DUMMYFUNCTION("""COMPUTED_VALUE"""),"-")</f>
        <v>-</v>
      </c>
    </row>
    <row r="1848" spans="1:20" ht="15.75" customHeight="1" x14ac:dyDescent="0.25">
      <c r="A1848" s="30" t="str">
        <f ca="1">IFERROR(__xludf.DUMMYFUNCTION("""COMPUTED_VALUE"""),"50860492192455")</f>
        <v>50860492192455</v>
      </c>
      <c r="B1848" s="30" t="str">
        <f ca="1">IFERROR(__xludf.DUMMYFUNCTION("""COMPUTED_VALUE"""),"UPA Nº 5 BARRIO AUTONOMIA")</f>
        <v>UPA Nº 5 BARRIO AUTONOMIA</v>
      </c>
      <c r="C1848" s="30" t="str">
        <f ca="1">IFERROR(__xludf.DUMMYFUNCTION("""COMPUTED_VALUE"""),"Santiago del Estero")</f>
        <v>Santiago del Estero</v>
      </c>
      <c r="D1848" s="30" t="str">
        <f ca="1">IFERROR(__xludf.DUMMYFUNCTION("""COMPUTED_VALUE"""),"86")</f>
        <v>86</v>
      </c>
      <c r="E1848" s="30" t="str">
        <f ca="1">IFERROR(__xludf.DUMMYFUNCTION("""COMPUTED_VALUE"""),"")</f>
        <v/>
      </c>
      <c r="F1848" s="29"/>
      <c r="G1848" s="29"/>
      <c r="H1848" s="30" t="str">
        <f ca="1">IFERROR(__xludf.DUMMYFUNCTION("""COMPUTED_VALUE"""),"activo")</f>
        <v>activo</v>
      </c>
      <c r="I1848" s="30" t="str">
        <f ca="1">IFERROR(__xludf.DUMMYFUNCTION("""COMPUTED_VALUE"""),"No se encontro la circular2")</f>
        <v>No se encontro la circular2</v>
      </c>
      <c r="J1848" s="29"/>
      <c r="K1848" s="29"/>
      <c r="L1848" s="30" t="str">
        <f ca="1">IFERROR(__xludf.DUMMYFUNCTION("""COMPUTED_VALUE"""),"No")</f>
        <v>No</v>
      </c>
      <c r="M1848" s="30" t="str">
        <f ca="1">IFERROR(__xludf.DUMMYFUNCTION("""COMPUTED_VALUE"""),"86049110000")</f>
        <v>86049110000</v>
      </c>
      <c r="N1848" s="30" t="str">
        <f ca="1">IFERROR(__xludf.DUMMYFUNCTION("""COMPUTED_VALUE"""),"SANTIAGO DEL ESTERO")</f>
        <v>SANTIAGO DEL ESTERO</v>
      </c>
      <c r="O1848" s="30" t="str">
        <f ca="1">IFERROR(__xludf.DUMMYFUNCTION("""COMPUTED_VALUE"""),"8649")</f>
        <v>8649</v>
      </c>
      <c r="P1848" s="30" t="str">
        <f ca="1">IFERROR(__xludf.DUMMYFUNCTION("""COMPUTED_VALUE"""),"CAPITAL")</f>
        <v>CAPITAL</v>
      </c>
      <c r="Q1848" s="30" t="str">
        <f ca="1">IFERROR(__xludf.DUMMYFUNCTION("""COMPUTED_VALUE"""),"-27.8085556")</f>
        <v>-27.8085556</v>
      </c>
      <c r="R1848" s="30" t="str">
        <f ca="1">IFERROR(__xludf.DUMMYFUNCTION("""COMPUTED_VALUE"""),"-64.3049316")</f>
        <v>-64.3049316</v>
      </c>
      <c r="S1848" s="30" t="str">
        <f ca="1">IFERROR(__xludf.DUMMYFUNCTION("""COMPUTED_VALUE"""),"Provincial")</f>
        <v>Provincial</v>
      </c>
      <c r="T1848" s="30" t="str">
        <f ca="1">IFERROR(__xludf.DUMMYFUNCTION("""COMPUTED_VALUE"""),"-")</f>
        <v>-</v>
      </c>
    </row>
    <row r="1849" spans="1:20" ht="15.75" customHeight="1" x14ac:dyDescent="0.25">
      <c r="A1849" s="30" t="str">
        <f ca="1">IFERROR(__xludf.DUMMYFUNCTION("""COMPUTED_VALUE"""),"50860492192457")</f>
        <v>50860492192457</v>
      </c>
      <c r="B1849" s="30" t="str">
        <f ca="1">IFERROR(__xludf.DUMMYFUNCTION("""COMPUTED_VALUE"""),"UPA Nº 7 BARRIO PARQUE AGUIRRE")</f>
        <v>UPA Nº 7 BARRIO PARQUE AGUIRRE</v>
      </c>
      <c r="C1849" s="30" t="str">
        <f ca="1">IFERROR(__xludf.DUMMYFUNCTION("""COMPUTED_VALUE"""),"Santiago del Estero")</f>
        <v>Santiago del Estero</v>
      </c>
      <c r="D1849" s="30" t="str">
        <f ca="1">IFERROR(__xludf.DUMMYFUNCTION("""COMPUTED_VALUE"""),"86")</f>
        <v>86</v>
      </c>
      <c r="E1849" s="30" t="str">
        <f ca="1">IFERROR(__xludf.DUMMYFUNCTION("""COMPUTED_VALUE"""),"")</f>
        <v/>
      </c>
      <c r="F1849" s="29"/>
      <c r="G1849" s="29"/>
      <c r="H1849" s="30" t="str">
        <f ca="1">IFERROR(__xludf.DUMMYFUNCTION("""COMPUTED_VALUE"""),"activo")</f>
        <v>activo</v>
      </c>
      <c r="I1849" s="30" t="str">
        <f ca="1">IFERROR(__xludf.DUMMYFUNCTION("""COMPUTED_VALUE"""),"No se encontro la circular2")</f>
        <v>No se encontro la circular2</v>
      </c>
      <c r="J1849" s="29"/>
      <c r="K1849" s="29"/>
      <c r="L1849" s="30" t="str">
        <f ca="1">IFERROR(__xludf.DUMMYFUNCTION("""COMPUTED_VALUE"""),"No")</f>
        <v>No</v>
      </c>
      <c r="M1849" s="30" t="str">
        <f ca="1">IFERROR(__xludf.DUMMYFUNCTION("""COMPUTED_VALUE"""),"86049110000")</f>
        <v>86049110000</v>
      </c>
      <c r="N1849" s="30" t="str">
        <f ca="1">IFERROR(__xludf.DUMMYFUNCTION("""COMPUTED_VALUE"""),"SANTIAGO DEL ESTERO")</f>
        <v>SANTIAGO DEL ESTERO</v>
      </c>
      <c r="O1849" s="30" t="str">
        <f ca="1">IFERROR(__xludf.DUMMYFUNCTION("""COMPUTED_VALUE"""),"8649")</f>
        <v>8649</v>
      </c>
      <c r="P1849" s="30" t="str">
        <f ca="1">IFERROR(__xludf.DUMMYFUNCTION("""COMPUTED_VALUE"""),"CAPITAL")</f>
        <v>CAPITAL</v>
      </c>
      <c r="Q1849" s="30" t="str">
        <f ca="1">IFERROR(__xludf.DUMMYFUNCTION("""COMPUTED_VALUE"""),"-27.78442")</f>
        <v>-27.78442</v>
      </c>
      <c r="R1849" s="30" t="str">
        <f ca="1">IFERROR(__xludf.DUMMYFUNCTION("""COMPUTED_VALUE"""),"-64.2672806")</f>
        <v>-64.2672806</v>
      </c>
      <c r="S1849" s="30" t="str">
        <f ca="1">IFERROR(__xludf.DUMMYFUNCTION("""COMPUTED_VALUE"""),"Provincial")</f>
        <v>Provincial</v>
      </c>
      <c r="T1849" s="30" t="str">
        <f ca="1">IFERROR(__xludf.DUMMYFUNCTION("""COMPUTED_VALUE"""),"-")</f>
        <v>-</v>
      </c>
    </row>
    <row r="1850" spans="1:20" ht="15.75" customHeight="1" x14ac:dyDescent="0.25">
      <c r="A1850" s="30" t="str">
        <f ca="1">IFERROR(__xludf.DUMMYFUNCTION("""COMPUTED_VALUE"""),"50860492192464")</f>
        <v>50860492192464</v>
      </c>
      <c r="B1850" s="30" t="str">
        <f ca="1">IFERROR(__xludf.DUMMYFUNCTION("""COMPUTED_VALUE"""),"UPA Nº 17 BARRIO BORGES")</f>
        <v>UPA Nº 17 BARRIO BORGES</v>
      </c>
      <c r="C1850" s="30" t="str">
        <f ca="1">IFERROR(__xludf.DUMMYFUNCTION("""COMPUTED_VALUE"""),"Santiago del Estero")</f>
        <v>Santiago del Estero</v>
      </c>
      <c r="D1850" s="30" t="str">
        <f ca="1">IFERROR(__xludf.DUMMYFUNCTION("""COMPUTED_VALUE"""),"86")</f>
        <v>86</v>
      </c>
      <c r="E1850" s="30" t="str">
        <f ca="1">IFERROR(__xludf.DUMMYFUNCTION("""COMPUTED_VALUE"""),"")</f>
        <v/>
      </c>
      <c r="F1850" s="29"/>
      <c r="G1850" s="29"/>
      <c r="H1850" s="30" t="str">
        <f ca="1">IFERROR(__xludf.DUMMYFUNCTION("""COMPUTED_VALUE"""),"activo")</f>
        <v>activo</v>
      </c>
      <c r="I1850" s="30" t="str">
        <f ca="1">IFERROR(__xludf.DUMMYFUNCTION("""COMPUTED_VALUE"""),"No se encontro la circular2")</f>
        <v>No se encontro la circular2</v>
      </c>
      <c r="J1850" s="29"/>
      <c r="K1850" s="29"/>
      <c r="L1850" s="30" t="str">
        <f ca="1">IFERROR(__xludf.DUMMYFUNCTION("""COMPUTED_VALUE"""),"No")</f>
        <v>No</v>
      </c>
      <c r="M1850" s="30" t="str">
        <f ca="1">IFERROR(__xludf.DUMMYFUNCTION("""COMPUTED_VALUE"""),"86049110000")</f>
        <v>86049110000</v>
      </c>
      <c r="N1850" s="30" t="str">
        <f ca="1">IFERROR(__xludf.DUMMYFUNCTION("""COMPUTED_VALUE"""),"SANTIAGO DEL ESTERO")</f>
        <v>SANTIAGO DEL ESTERO</v>
      </c>
      <c r="O1850" s="30" t="str">
        <f ca="1">IFERROR(__xludf.DUMMYFUNCTION("""COMPUTED_VALUE"""),"8649")</f>
        <v>8649</v>
      </c>
      <c r="P1850" s="30" t="str">
        <f ca="1">IFERROR(__xludf.DUMMYFUNCTION("""COMPUTED_VALUE"""),"CAPITAL")</f>
        <v>CAPITAL</v>
      </c>
      <c r="Q1850" s="30" t="str">
        <f ca="1">IFERROR(__xludf.DUMMYFUNCTION("""COMPUTED_VALUE"""),"-27.76873486")</f>
        <v>-27.76873486</v>
      </c>
      <c r="R1850" s="30" t="str">
        <f ca="1">IFERROR(__xludf.DUMMYFUNCTION("""COMPUTED_VALUE"""),"-64.29750681")</f>
        <v>-64.29750681</v>
      </c>
      <c r="S1850" s="30" t="str">
        <f ca="1">IFERROR(__xludf.DUMMYFUNCTION("""COMPUTED_VALUE"""),"Provincial")</f>
        <v>Provincial</v>
      </c>
      <c r="T1850" s="30" t="str">
        <f ca="1">IFERROR(__xludf.DUMMYFUNCTION("""COMPUTED_VALUE"""),"-")</f>
        <v>-</v>
      </c>
    </row>
    <row r="1851" spans="1:20" ht="15.75" customHeight="1" x14ac:dyDescent="0.25">
      <c r="A1851" s="30" t="str">
        <f ca="1">IFERROR(__xludf.DUMMYFUNCTION("""COMPUTED_VALUE"""),"50860492192465")</f>
        <v>50860492192465</v>
      </c>
      <c r="B1851" s="30" t="str">
        <f ca="1">IFERROR(__xludf.DUMMYFUNCTION("""COMPUTED_VALUE"""),"UPA Nº 2 BARRIO CACERES")</f>
        <v>UPA Nº 2 BARRIO CACERES</v>
      </c>
      <c r="C1851" s="30" t="str">
        <f ca="1">IFERROR(__xludf.DUMMYFUNCTION("""COMPUTED_VALUE"""),"Santiago del Estero")</f>
        <v>Santiago del Estero</v>
      </c>
      <c r="D1851" s="30" t="str">
        <f ca="1">IFERROR(__xludf.DUMMYFUNCTION("""COMPUTED_VALUE"""),"86")</f>
        <v>86</v>
      </c>
      <c r="E1851" s="30" t="str">
        <f ca="1">IFERROR(__xludf.DUMMYFUNCTION("""COMPUTED_VALUE"""),"")</f>
        <v/>
      </c>
      <c r="F1851" s="29"/>
      <c r="G1851" s="29"/>
      <c r="H1851" s="30" t="str">
        <f ca="1">IFERROR(__xludf.DUMMYFUNCTION("""COMPUTED_VALUE"""),"activo")</f>
        <v>activo</v>
      </c>
      <c r="I1851" s="30" t="str">
        <f ca="1">IFERROR(__xludf.DUMMYFUNCTION("""COMPUTED_VALUE"""),"No se encontro la circular2")</f>
        <v>No se encontro la circular2</v>
      </c>
      <c r="J1851" s="29"/>
      <c r="K1851" s="29"/>
      <c r="L1851" s="30" t="str">
        <f ca="1">IFERROR(__xludf.DUMMYFUNCTION("""COMPUTED_VALUE"""),"No")</f>
        <v>No</v>
      </c>
      <c r="M1851" s="30" t="str">
        <f ca="1">IFERROR(__xludf.DUMMYFUNCTION("""COMPUTED_VALUE"""),"86049110000")</f>
        <v>86049110000</v>
      </c>
      <c r="N1851" s="30" t="str">
        <f ca="1">IFERROR(__xludf.DUMMYFUNCTION("""COMPUTED_VALUE"""),"SANTIAGO DEL ESTERO")</f>
        <v>SANTIAGO DEL ESTERO</v>
      </c>
      <c r="O1851" s="30" t="str">
        <f ca="1">IFERROR(__xludf.DUMMYFUNCTION("""COMPUTED_VALUE"""),"8649")</f>
        <v>8649</v>
      </c>
      <c r="P1851" s="30" t="str">
        <f ca="1">IFERROR(__xludf.DUMMYFUNCTION("""COMPUTED_VALUE"""),"CAPITAL")</f>
        <v>CAPITAL</v>
      </c>
      <c r="Q1851" s="30" t="str">
        <f ca="1">IFERROR(__xludf.DUMMYFUNCTION("""COMPUTED_VALUE"""),"-27.79042668")</f>
        <v>-27.79042668</v>
      </c>
      <c r="R1851" s="30" t="str">
        <f ca="1">IFERROR(__xludf.DUMMYFUNCTION("""COMPUTED_VALUE"""),"-64.24938869")</f>
        <v>-64.24938869</v>
      </c>
      <c r="S1851" s="30" t="str">
        <f ca="1">IFERROR(__xludf.DUMMYFUNCTION("""COMPUTED_VALUE"""),"Provincial")</f>
        <v>Provincial</v>
      </c>
      <c r="T1851" s="30" t="str">
        <f ca="1">IFERROR(__xludf.DUMMYFUNCTION("""COMPUTED_VALUE"""),"-")</f>
        <v>-</v>
      </c>
    </row>
    <row r="1852" spans="1:20" ht="15.75" customHeight="1" x14ac:dyDescent="0.25">
      <c r="A1852" s="30" t="str">
        <f ca="1">IFERROR(__xludf.DUMMYFUNCTION("""COMPUTED_VALUE"""),"50860492192469")</f>
        <v>50860492192469</v>
      </c>
      <c r="B1852" s="30" t="str">
        <f ca="1">IFERROR(__xludf.DUMMYFUNCTION("""COMPUTED_VALUE"""),"UPA Nº 3 Bº RECONQUISTA")</f>
        <v>UPA Nº 3 Bº RECONQUISTA</v>
      </c>
      <c r="C1852" s="30" t="str">
        <f ca="1">IFERROR(__xludf.DUMMYFUNCTION("""COMPUTED_VALUE"""),"Santiago del Estero")</f>
        <v>Santiago del Estero</v>
      </c>
      <c r="D1852" s="30" t="str">
        <f ca="1">IFERROR(__xludf.DUMMYFUNCTION("""COMPUTED_VALUE"""),"86")</f>
        <v>86</v>
      </c>
      <c r="E1852" s="30" t="str">
        <f ca="1">IFERROR(__xludf.DUMMYFUNCTION("""COMPUTED_VALUE"""),"")</f>
        <v/>
      </c>
      <c r="F1852" s="29"/>
      <c r="G1852" s="29"/>
      <c r="H1852" s="30" t="str">
        <f ca="1">IFERROR(__xludf.DUMMYFUNCTION("""COMPUTED_VALUE"""),"activo")</f>
        <v>activo</v>
      </c>
      <c r="I1852" s="30" t="str">
        <f ca="1">IFERROR(__xludf.DUMMYFUNCTION("""COMPUTED_VALUE"""),"No se encontro la circular2")</f>
        <v>No se encontro la circular2</v>
      </c>
      <c r="J1852" s="29"/>
      <c r="K1852" s="29"/>
      <c r="L1852" s="30" t="str">
        <f ca="1">IFERROR(__xludf.DUMMYFUNCTION("""COMPUTED_VALUE"""),"No")</f>
        <v>No</v>
      </c>
      <c r="M1852" s="30" t="str">
        <f ca="1">IFERROR(__xludf.DUMMYFUNCTION("""COMPUTED_VALUE"""),"86049110000")</f>
        <v>86049110000</v>
      </c>
      <c r="N1852" s="30" t="str">
        <f ca="1">IFERROR(__xludf.DUMMYFUNCTION("""COMPUTED_VALUE"""),"SANTIAGO DEL ESTERO")</f>
        <v>SANTIAGO DEL ESTERO</v>
      </c>
      <c r="O1852" s="30" t="str">
        <f ca="1">IFERROR(__xludf.DUMMYFUNCTION("""COMPUTED_VALUE"""),"8649")</f>
        <v>8649</v>
      </c>
      <c r="P1852" s="30" t="str">
        <f ca="1">IFERROR(__xludf.DUMMYFUNCTION("""COMPUTED_VALUE"""),"CAPITAL")</f>
        <v>CAPITAL</v>
      </c>
      <c r="Q1852" s="30" t="str">
        <f ca="1">IFERROR(__xludf.DUMMYFUNCTION("""COMPUTED_VALUE"""),"-27.807676")</f>
        <v>-27.807676</v>
      </c>
      <c r="R1852" s="30" t="str">
        <f ca="1">IFERROR(__xludf.DUMMYFUNCTION("""COMPUTED_VALUE"""),"-64.238107")</f>
        <v>-64.238107</v>
      </c>
      <c r="S1852" s="30" t="str">
        <f ca="1">IFERROR(__xludf.DUMMYFUNCTION("""COMPUTED_VALUE"""),"Provincial")</f>
        <v>Provincial</v>
      </c>
      <c r="T1852" s="30" t="str">
        <f ca="1">IFERROR(__xludf.DUMMYFUNCTION("""COMPUTED_VALUE"""),"-")</f>
        <v>-</v>
      </c>
    </row>
    <row r="1853" spans="1:20" ht="15.75" customHeight="1" x14ac:dyDescent="0.25">
      <c r="A1853" s="30" t="str">
        <f ca="1">IFERROR(__xludf.DUMMYFUNCTION("""COMPUTED_VALUE"""),"50860492192471")</f>
        <v>50860492192471</v>
      </c>
      <c r="B1853" s="30" t="str">
        <f ca="1">IFERROR(__xludf.DUMMYFUNCTION("""COMPUTED_VALUE"""),"UPA Nº 6 Bº SMATA")</f>
        <v>UPA Nº 6 Bº SMATA</v>
      </c>
      <c r="C1853" s="30" t="str">
        <f ca="1">IFERROR(__xludf.DUMMYFUNCTION("""COMPUTED_VALUE"""),"Santiago del Estero")</f>
        <v>Santiago del Estero</v>
      </c>
      <c r="D1853" s="30" t="str">
        <f ca="1">IFERROR(__xludf.DUMMYFUNCTION("""COMPUTED_VALUE"""),"86")</f>
        <v>86</v>
      </c>
      <c r="E1853" s="30" t="str">
        <f ca="1">IFERROR(__xludf.DUMMYFUNCTION("""COMPUTED_VALUE"""),"si")</f>
        <v>si</v>
      </c>
      <c r="F1853" s="29"/>
      <c r="G1853" s="29"/>
      <c r="H1853" s="30" t="str">
        <f ca="1">IFERROR(__xludf.DUMMYFUNCTION("""COMPUTED_VALUE"""),"activo")</f>
        <v>activo</v>
      </c>
      <c r="I1853" s="30" t="str">
        <f ca="1">IFERROR(__xludf.DUMMYFUNCTION("""COMPUTED_VALUE"""),"No se encontro la circular2")</f>
        <v>No se encontro la circular2</v>
      </c>
      <c r="J1853" s="29"/>
      <c r="K1853" s="29"/>
      <c r="L1853" s="30" t="str">
        <f ca="1">IFERROR(__xludf.DUMMYFUNCTION("""COMPUTED_VALUE"""),"No")</f>
        <v>No</v>
      </c>
      <c r="M1853" s="30" t="str">
        <f ca="1">IFERROR(__xludf.DUMMYFUNCTION("""COMPUTED_VALUE"""),"86049110000")</f>
        <v>86049110000</v>
      </c>
      <c r="N1853" s="30" t="str">
        <f ca="1">IFERROR(__xludf.DUMMYFUNCTION("""COMPUTED_VALUE"""),"SANTIAGO DEL ESTERO")</f>
        <v>SANTIAGO DEL ESTERO</v>
      </c>
      <c r="O1853" s="30" t="str">
        <f ca="1">IFERROR(__xludf.DUMMYFUNCTION("""COMPUTED_VALUE"""),"8649")</f>
        <v>8649</v>
      </c>
      <c r="P1853" s="30" t="str">
        <f ca="1">IFERROR(__xludf.DUMMYFUNCTION("""COMPUTED_VALUE"""),"CAPITAL")</f>
        <v>CAPITAL</v>
      </c>
      <c r="Q1853" s="30" t="str">
        <f ca="1">IFERROR(__xludf.DUMMYFUNCTION("""COMPUTED_VALUE"""),"-27.82205299")</f>
        <v>-27.82205299</v>
      </c>
      <c r="R1853" s="30" t="str">
        <f ca="1">IFERROR(__xludf.DUMMYFUNCTION("""COMPUTED_VALUE"""),"-64.27622652")</f>
        <v>-64.27622652</v>
      </c>
      <c r="S1853" s="30" t="str">
        <f ca="1">IFERROR(__xludf.DUMMYFUNCTION("""COMPUTED_VALUE"""),"Provincial")</f>
        <v>Provincial</v>
      </c>
      <c r="T1853" s="30" t="str">
        <f ca="1">IFERROR(__xludf.DUMMYFUNCTION("""COMPUTED_VALUE"""),"-")</f>
        <v>-</v>
      </c>
    </row>
    <row r="1854" spans="1:20" ht="15.75" customHeight="1" x14ac:dyDescent="0.25">
      <c r="A1854" s="30" t="str">
        <f ca="1">IFERROR(__xludf.DUMMYFUNCTION("""COMPUTED_VALUE"""),"50860492192473")</f>
        <v>50860492192473</v>
      </c>
      <c r="B1854" s="30" t="str">
        <f ca="1">IFERROR(__xludf.DUMMYFUNCTION("""COMPUTED_VALUE"""),"UPA N° 8 Bº LOS FLORES")</f>
        <v>UPA N° 8 Bº LOS FLORES</v>
      </c>
      <c r="C1854" s="30" t="str">
        <f ca="1">IFERROR(__xludf.DUMMYFUNCTION("""COMPUTED_VALUE"""),"Santiago del Estero")</f>
        <v>Santiago del Estero</v>
      </c>
      <c r="D1854" s="30" t="str">
        <f ca="1">IFERROR(__xludf.DUMMYFUNCTION("""COMPUTED_VALUE"""),"86")</f>
        <v>86</v>
      </c>
      <c r="E1854" s="30" t="str">
        <f ca="1">IFERROR(__xludf.DUMMYFUNCTION("""COMPUTED_VALUE"""),"")</f>
        <v/>
      </c>
      <c r="F1854" s="29"/>
      <c r="G1854" s="29"/>
      <c r="H1854" s="30" t="str">
        <f ca="1">IFERROR(__xludf.DUMMYFUNCTION("""COMPUTED_VALUE"""),"activo")</f>
        <v>activo</v>
      </c>
      <c r="I1854" s="30" t="str">
        <f ca="1">IFERROR(__xludf.DUMMYFUNCTION("""COMPUTED_VALUE"""),"No se encontro la circular2")</f>
        <v>No se encontro la circular2</v>
      </c>
      <c r="J1854" s="29"/>
      <c r="K1854" s="29"/>
      <c r="L1854" s="30" t="str">
        <f ca="1">IFERROR(__xludf.DUMMYFUNCTION("""COMPUTED_VALUE"""),"No")</f>
        <v>No</v>
      </c>
      <c r="M1854" s="30" t="str">
        <f ca="1">IFERROR(__xludf.DUMMYFUNCTION("""COMPUTED_VALUE"""),"86049110000")</f>
        <v>86049110000</v>
      </c>
      <c r="N1854" s="30" t="str">
        <f ca="1">IFERROR(__xludf.DUMMYFUNCTION("""COMPUTED_VALUE"""),"SANTIAGO DEL ESTERO")</f>
        <v>SANTIAGO DEL ESTERO</v>
      </c>
      <c r="O1854" s="30" t="str">
        <f ca="1">IFERROR(__xludf.DUMMYFUNCTION("""COMPUTED_VALUE"""),"8649")</f>
        <v>8649</v>
      </c>
      <c r="P1854" s="30" t="str">
        <f ca="1">IFERROR(__xludf.DUMMYFUNCTION("""COMPUTED_VALUE"""),"CAPITAL")</f>
        <v>CAPITAL</v>
      </c>
      <c r="Q1854" s="30" t="str">
        <f ca="1">IFERROR(__xludf.DUMMYFUNCTION("""COMPUTED_VALUE"""),"-27.83")</f>
        <v>-27.83</v>
      </c>
      <c r="R1854" s="30" t="str">
        <f ca="1">IFERROR(__xludf.DUMMYFUNCTION("""COMPUTED_VALUE"""),"-64.22")</f>
        <v>-64.22</v>
      </c>
      <c r="S1854" s="30" t="str">
        <f ca="1">IFERROR(__xludf.DUMMYFUNCTION("""COMPUTED_VALUE"""),"Provincial")</f>
        <v>Provincial</v>
      </c>
      <c r="T1854" s="30" t="str">
        <f ca="1">IFERROR(__xludf.DUMMYFUNCTION("""COMPUTED_VALUE"""),"-")</f>
        <v>-</v>
      </c>
    </row>
    <row r="1855" spans="1:20" ht="15.75" customHeight="1" x14ac:dyDescent="0.25">
      <c r="A1855" s="30" t="str">
        <f ca="1">IFERROR(__xludf.DUMMYFUNCTION("""COMPUTED_VALUE"""),"10860072192061")</f>
        <v>10860072192061</v>
      </c>
      <c r="B1855" s="30" t="str">
        <f ca="1">IFERROR(__xludf.DUMMYFUNCTION("""COMPUTED_VALUE"""),"HOSPITAL ZONAL PINTO")</f>
        <v>HOSPITAL ZONAL PINTO</v>
      </c>
      <c r="C1855" s="30" t="str">
        <f ca="1">IFERROR(__xludf.DUMMYFUNCTION("""COMPUTED_VALUE"""),"Santiago del Estero")</f>
        <v>Santiago del Estero</v>
      </c>
      <c r="D1855" s="30" t="str">
        <f ca="1">IFERROR(__xludf.DUMMYFUNCTION("""COMPUTED_VALUE"""),"86")</f>
        <v>86</v>
      </c>
      <c r="E1855" s="30" t="str">
        <f ca="1">IFERROR(__xludf.DUMMYFUNCTION("""COMPUTED_VALUE"""),"si")</f>
        <v>si</v>
      </c>
      <c r="F1855" s="29"/>
      <c r="G1855" s="29"/>
      <c r="H1855" s="30" t="str">
        <f ca="1">IFERROR(__xludf.DUMMYFUNCTION("""COMPUTED_VALUE"""),"activo")</f>
        <v>activo</v>
      </c>
      <c r="I1855" s="30" t="str">
        <f ca="1">IFERROR(__xludf.DUMMYFUNCTION("""COMPUTED_VALUE"""),"No se encontro la circular2")</f>
        <v>No se encontro la circular2</v>
      </c>
      <c r="J1855" s="29"/>
      <c r="K1855" s="29"/>
      <c r="L1855" s="30" t="str">
        <f ca="1">IFERROR(__xludf.DUMMYFUNCTION("""COMPUTED_VALUE"""),"No")</f>
        <v>No</v>
      </c>
      <c r="M1855" s="30" t="str">
        <f ca="1">IFERROR(__xludf.DUMMYFUNCTION("""COMPUTED_VALUE"""),"86007040000")</f>
        <v>86007040000</v>
      </c>
      <c r="N1855" s="30" t="str">
        <f ca="1">IFERROR(__xludf.DUMMYFUNCTION("""COMPUTED_VALUE"""),"VILLA GENERAL MITRE")</f>
        <v>VILLA GENERAL MITRE</v>
      </c>
      <c r="O1855" s="30" t="str">
        <f ca="1">IFERROR(__xludf.DUMMYFUNCTION("""COMPUTED_VALUE"""),"867")</f>
        <v>867</v>
      </c>
      <c r="P1855" s="30" t="str">
        <f ca="1">IFERROR(__xludf.DUMMYFUNCTION("""COMPUTED_VALUE"""),"AGUIRRE")</f>
        <v>AGUIRRE</v>
      </c>
      <c r="Q1855" s="30" t="str">
        <f ca="1">IFERROR(__xludf.DUMMYFUNCTION("""COMPUTED_VALUE"""),"-27.7930931")</f>
        <v>-27.7930931</v>
      </c>
      <c r="R1855" s="30" t="str">
        <f ca="1">IFERROR(__xludf.DUMMYFUNCTION("""COMPUTED_VALUE"""),"-64.2666892")</f>
        <v>-64.2666892</v>
      </c>
      <c r="S1855" s="30" t="str">
        <f ca="1">IFERROR(__xludf.DUMMYFUNCTION("""COMPUTED_VALUE"""),"Provincial")</f>
        <v>Provincial</v>
      </c>
      <c r="T1855" s="30" t="str">
        <f ca="1">IFERROR(__xludf.DUMMYFUNCTION("""COMPUTED_VALUE"""),"-")</f>
        <v>-</v>
      </c>
    </row>
    <row r="1856" spans="1:20" ht="15.75" customHeight="1" x14ac:dyDescent="0.25">
      <c r="A1856" s="30" t="str">
        <f ca="1">IFERROR(__xludf.DUMMYFUNCTION("""COMPUTED_VALUE"""),"50860492192870")</f>
        <v>50860492192870</v>
      </c>
      <c r="B1856" s="30" t="str">
        <f ca="1">IFERROR(__xludf.DUMMYFUNCTION("""COMPUTED_VALUE"""),"CENTRO DE SALUD  MARIANO MORENO II")</f>
        <v>CENTRO DE SALUD  MARIANO MORENO II</v>
      </c>
      <c r="C1856" s="30" t="str">
        <f ca="1">IFERROR(__xludf.DUMMYFUNCTION("""COMPUTED_VALUE"""),"Santiago del Estero")</f>
        <v>Santiago del Estero</v>
      </c>
      <c r="D1856" s="30" t="str">
        <f ca="1">IFERROR(__xludf.DUMMYFUNCTION("""COMPUTED_VALUE"""),"86")</f>
        <v>86</v>
      </c>
      <c r="E1856" s="30" t="str">
        <f ca="1">IFERROR(__xludf.DUMMYFUNCTION("""COMPUTED_VALUE"""),"")</f>
        <v/>
      </c>
      <c r="F1856" s="29"/>
      <c r="G1856" s="29"/>
      <c r="H1856" s="30" t="str">
        <f ca="1">IFERROR(__xludf.DUMMYFUNCTION("""COMPUTED_VALUE"""),"activo")</f>
        <v>activo</v>
      </c>
      <c r="I1856" s="30" t="str">
        <f ca="1">IFERROR(__xludf.DUMMYFUNCTION("""COMPUTED_VALUE"""),"No se encontro la circular2")</f>
        <v>No se encontro la circular2</v>
      </c>
      <c r="J1856" s="29"/>
      <c r="K1856" s="29"/>
      <c r="L1856" s="30" t="str">
        <f ca="1">IFERROR(__xludf.DUMMYFUNCTION("""COMPUTED_VALUE"""),"No")</f>
        <v>No</v>
      </c>
      <c r="M1856" s="30" t="str">
        <f ca="1">IFERROR(__xludf.DUMMYFUNCTION("""COMPUTED_VALUE"""),"86049110000")</f>
        <v>86049110000</v>
      </c>
      <c r="N1856" s="30" t="str">
        <f ca="1">IFERROR(__xludf.DUMMYFUNCTION("""COMPUTED_VALUE"""),"SANTIAGO DEL ESTERO")</f>
        <v>SANTIAGO DEL ESTERO</v>
      </c>
      <c r="O1856" s="30" t="str">
        <f ca="1">IFERROR(__xludf.DUMMYFUNCTION("""COMPUTED_VALUE"""),"8649")</f>
        <v>8649</v>
      </c>
      <c r="P1856" s="30" t="str">
        <f ca="1">IFERROR(__xludf.DUMMYFUNCTION("""COMPUTED_VALUE"""),"CAPITAL")</f>
        <v>CAPITAL</v>
      </c>
      <c r="Q1856" s="30" t="str">
        <f ca="1">IFERROR(__xludf.DUMMYFUNCTION("""COMPUTED_VALUE"""),"-27.832416")</f>
        <v>-27.832416</v>
      </c>
      <c r="R1856" s="30" t="str">
        <f ca="1">IFERROR(__xludf.DUMMYFUNCTION("""COMPUTED_VALUE"""),"-64.270345")</f>
        <v>-64.270345</v>
      </c>
      <c r="S1856" s="30" t="str">
        <f ca="1">IFERROR(__xludf.DUMMYFUNCTION("""COMPUTED_VALUE"""),"Provincial")</f>
        <v>Provincial</v>
      </c>
      <c r="T1856" s="30" t="str">
        <f ca="1">IFERROR(__xludf.DUMMYFUNCTION("""COMPUTED_VALUE"""),"-")</f>
        <v>-</v>
      </c>
    </row>
    <row r="1857" spans="1:20" ht="15.75" customHeight="1" x14ac:dyDescent="0.25">
      <c r="A1857" s="30" t="str">
        <f ca="1">IFERROR(__xludf.DUMMYFUNCTION("""COMPUTED_VALUE"""),"50860492292108")</f>
        <v>50860492292108</v>
      </c>
      <c r="B1857" s="30" t="str">
        <f ca="1">IFERROR(__xludf.DUMMYFUNCTION("""COMPUTED_VALUE"""),"CAPS DR. ESTANISLAO PONCE BARRIO 8 DE ABRIL")</f>
        <v>CAPS DR. ESTANISLAO PONCE BARRIO 8 DE ABRIL</v>
      </c>
      <c r="C1857" s="30" t="str">
        <f ca="1">IFERROR(__xludf.DUMMYFUNCTION("""COMPUTED_VALUE"""),"Santiago del Estero")</f>
        <v>Santiago del Estero</v>
      </c>
      <c r="D1857" s="30" t="str">
        <f ca="1">IFERROR(__xludf.DUMMYFUNCTION("""COMPUTED_VALUE"""),"86")</f>
        <v>86</v>
      </c>
      <c r="E1857" s="30" t="str">
        <f ca="1">IFERROR(__xludf.DUMMYFUNCTION("""COMPUTED_VALUE"""),"")</f>
        <v/>
      </c>
      <c r="F1857" s="29"/>
      <c r="G1857" s="29"/>
      <c r="H1857" s="30" t="str">
        <f ca="1">IFERROR(__xludf.DUMMYFUNCTION("""COMPUTED_VALUE"""),"activo")</f>
        <v>activo</v>
      </c>
      <c r="I1857" s="30" t="str">
        <f ca="1">IFERROR(__xludf.DUMMYFUNCTION("""COMPUTED_VALUE"""),"No se encontro la circular2")</f>
        <v>No se encontro la circular2</v>
      </c>
      <c r="J1857" s="29"/>
      <c r="K1857" s="29"/>
      <c r="L1857" s="30" t="str">
        <f ca="1">IFERROR(__xludf.DUMMYFUNCTION("""COMPUTED_VALUE"""),"No")</f>
        <v>No</v>
      </c>
      <c r="M1857" s="30" t="str">
        <f ca="1">IFERROR(__xludf.DUMMYFUNCTION("""COMPUTED_VALUE"""),"86049110000")</f>
        <v>86049110000</v>
      </c>
      <c r="N1857" s="30" t="str">
        <f ca="1">IFERROR(__xludf.DUMMYFUNCTION("""COMPUTED_VALUE"""),"SANTIAGO DEL ESTERO")</f>
        <v>SANTIAGO DEL ESTERO</v>
      </c>
      <c r="O1857" s="30" t="str">
        <f ca="1">IFERROR(__xludf.DUMMYFUNCTION("""COMPUTED_VALUE"""),"8649")</f>
        <v>8649</v>
      </c>
      <c r="P1857" s="30" t="str">
        <f ca="1">IFERROR(__xludf.DUMMYFUNCTION("""COMPUTED_VALUE"""),"CAPITAL")</f>
        <v>CAPITAL</v>
      </c>
      <c r="Q1857" s="30" t="str">
        <f ca="1">IFERROR(__xludf.DUMMYFUNCTION("""COMPUTED_VALUE"""),"-27.7984042")</f>
        <v>-27.7984042</v>
      </c>
      <c r="R1857" s="30" t="str">
        <f ca="1">IFERROR(__xludf.DUMMYFUNCTION("""COMPUTED_VALUE"""),"-64.2469261")</f>
        <v>-64.2469261</v>
      </c>
      <c r="S1857" s="30" t="str">
        <f ca="1">IFERROR(__xludf.DUMMYFUNCTION("""COMPUTED_VALUE"""),"Municipal")</f>
        <v>Municipal</v>
      </c>
      <c r="T1857" s="29"/>
    </row>
    <row r="1858" spans="1:20" ht="15.75" customHeight="1" x14ac:dyDescent="0.25">
      <c r="A1858" s="30" t="str">
        <f ca="1">IFERROR(__xludf.DUMMYFUNCTION("""COMPUTED_VALUE"""),"50860492292752")</f>
        <v>50860492292752</v>
      </c>
      <c r="B1858" s="30" t="str">
        <f ca="1">IFERROR(__xludf.DUMMYFUNCTION("""COMPUTED_VALUE"""),"CAPS NUESTRA SEÑORA DEL ROSARIO DE SAN NICOLAS - BARRIO JUAN DIAZ DE SOLIS")</f>
        <v>CAPS NUESTRA SEÑORA DEL ROSARIO DE SAN NICOLAS - BARRIO JUAN DIAZ DE SOLIS</v>
      </c>
      <c r="C1858" s="30" t="str">
        <f ca="1">IFERROR(__xludf.DUMMYFUNCTION("""COMPUTED_VALUE"""),"Santiago del Estero")</f>
        <v>Santiago del Estero</v>
      </c>
      <c r="D1858" s="30" t="str">
        <f ca="1">IFERROR(__xludf.DUMMYFUNCTION("""COMPUTED_VALUE"""),"86")</f>
        <v>86</v>
      </c>
      <c r="E1858" s="30" t="str">
        <f ca="1">IFERROR(__xludf.DUMMYFUNCTION("""COMPUTED_VALUE"""),"")</f>
        <v/>
      </c>
      <c r="F1858" s="29"/>
      <c r="G1858" s="29"/>
      <c r="H1858" s="30" t="str">
        <f ca="1">IFERROR(__xludf.DUMMYFUNCTION("""COMPUTED_VALUE"""),"activo")</f>
        <v>activo</v>
      </c>
      <c r="I1858" s="30" t="str">
        <f ca="1">IFERROR(__xludf.DUMMYFUNCTION("""COMPUTED_VALUE"""),"No se encontro la circular2")</f>
        <v>No se encontro la circular2</v>
      </c>
      <c r="J1858" s="29"/>
      <c r="K1858" s="29"/>
      <c r="L1858" s="30" t="str">
        <f ca="1">IFERROR(__xludf.DUMMYFUNCTION("""COMPUTED_VALUE"""),"No")</f>
        <v>No</v>
      </c>
      <c r="M1858" s="30" t="str">
        <f ca="1">IFERROR(__xludf.DUMMYFUNCTION("""COMPUTED_VALUE"""),"86049110000")</f>
        <v>86049110000</v>
      </c>
      <c r="N1858" s="30" t="str">
        <f ca="1">IFERROR(__xludf.DUMMYFUNCTION("""COMPUTED_VALUE"""),"SANTIAGO DEL ESTERO")</f>
        <v>SANTIAGO DEL ESTERO</v>
      </c>
      <c r="O1858" s="30" t="str">
        <f ca="1">IFERROR(__xludf.DUMMYFUNCTION("""COMPUTED_VALUE"""),"8649")</f>
        <v>8649</v>
      </c>
      <c r="P1858" s="30" t="str">
        <f ca="1">IFERROR(__xludf.DUMMYFUNCTION("""COMPUTED_VALUE"""),"CAPITAL")</f>
        <v>CAPITAL</v>
      </c>
      <c r="Q1858" s="30" t="str">
        <f ca="1">IFERROR(__xludf.DUMMYFUNCTION("""COMPUTED_VALUE"""),"-27.8337567")</f>
        <v>-27.8337567</v>
      </c>
      <c r="R1858" s="30" t="str">
        <f ca="1">IFERROR(__xludf.DUMMYFUNCTION("""COMPUTED_VALUE"""),"-64.27234894")</f>
        <v>-64.27234894</v>
      </c>
      <c r="S1858" s="30" t="str">
        <f ca="1">IFERROR(__xludf.DUMMYFUNCTION("""COMPUTED_VALUE"""),"Municipal")</f>
        <v>Municipal</v>
      </c>
      <c r="T1858" s="29"/>
    </row>
    <row r="1859" spans="1:20" ht="15.75" customHeight="1" x14ac:dyDescent="0.25">
      <c r="A1859" s="30" t="str">
        <f ca="1">IFERROR(__xludf.DUMMYFUNCTION("""COMPUTED_VALUE"""),"50860492292895")</f>
        <v>50860492292895</v>
      </c>
      <c r="B1859" s="30" t="str">
        <f ca="1">IFERROR(__xludf.DUMMYFUNCTION("""COMPUTED_VALUE"""),"CAPS LOS LAGOS - NUESTRA SEÑORA DE GUADALUPE")</f>
        <v>CAPS LOS LAGOS - NUESTRA SEÑORA DE GUADALUPE</v>
      </c>
      <c r="C1859" s="30" t="str">
        <f ca="1">IFERROR(__xludf.DUMMYFUNCTION("""COMPUTED_VALUE"""),"Santiago del Estero")</f>
        <v>Santiago del Estero</v>
      </c>
      <c r="D1859" s="30" t="str">
        <f ca="1">IFERROR(__xludf.DUMMYFUNCTION("""COMPUTED_VALUE"""),"86")</f>
        <v>86</v>
      </c>
      <c r="E1859" s="30" t="str">
        <f ca="1">IFERROR(__xludf.DUMMYFUNCTION("""COMPUTED_VALUE"""),"si")</f>
        <v>si</v>
      </c>
      <c r="F1859" s="29"/>
      <c r="G1859" s="29"/>
      <c r="H1859" s="30" t="str">
        <f ca="1">IFERROR(__xludf.DUMMYFUNCTION("""COMPUTED_VALUE"""),"activo")</f>
        <v>activo</v>
      </c>
      <c r="I1859" s="30" t="str">
        <f ca="1">IFERROR(__xludf.DUMMYFUNCTION("""COMPUTED_VALUE"""),"No se encontro la circular2")</f>
        <v>No se encontro la circular2</v>
      </c>
      <c r="J1859" s="29"/>
      <c r="K1859" s="29"/>
      <c r="L1859" s="30" t="str">
        <f ca="1">IFERROR(__xludf.DUMMYFUNCTION("""COMPUTED_VALUE"""),"No")</f>
        <v>No</v>
      </c>
      <c r="M1859" s="30" t="str">
        <f ca="1">IFERROR(__xludf.DUMMYFUNCTION("""COMPUTED_VALUE"""),"86049110000")</f>
        <v>86049110000</v>
      </c>
      <c r="N1859" s="30" t="str">
        <f ca="1">IFERROR(__xludf.DUMMYFUNCTION("""COMPUTED_VALUE"""),"SANTIAGO DEL ESTERO")</f>
        <v>SANTIAGO DEL ESTERO</v>
      </c>
      <c r="O1859" s="30" t="str">
        <f ca="1">IFERROR(__xludf.DUMMYFUNCTION("""COMPUTED_VALUE"""),"8649")</f>
        <v>8649</v>
      </c>
      <c r="P1859" s="30" t="str">
        <f ca="1">IFERROR(__xludf.DUMMYFUNCTION("""COMPUTED_VALUE"""),"CAPITAL")</f>
        <v>CAPITAL</v>
      </c>
      <c r="Q1859" s="30" t="str">
        <f ca="1">IFERROR(__xludf.DUMMYFUNCTION("""COMPUTED_VALUE"""),"-27.7541954")</f>
        <v>-27.7541954</v>
      </c>
      <c r="R1859" s="30" t="str">
        <f ca="1">IFERROR(__xludf.DUMMYFUNCTION("""COMPUTED_VALUE"""),"-64.2983255")</f>
        <v>-64.2983255</v>
      </c>
      <c r="S1859" s="30" t="str">
        <f ca="1">IFERROR(__xludf.DUMMYFUNCTION("""COMPUTED_VALUE"""),"Municipal")</f>
        <v>Municipal</v>
      </c>
      <c r="T1859" s="29"/>
    </row>
    <row r="1860" spans="1:20" ht="15.75" customHeight="1" x14ac:dyDescent="0.25">
      <c r="A1860" s="30" t="str">
        <f ca="1">IFERROR(__xludf.DUMMYFUNCTION("""COMPUTED_VALUE"""),"50860632192461")</f>
        <v>50860632192461</v>
      </c>
      <c r="B1860" s="30" t="str">
        <f ca="1">IFERROR(__xludf.DUMMYFUNCTION("""COMPUTED_VALUE"""),"UPA Nº 1 VILLA PAULINA")</f>
        <v>UPA Nº 1 VILLA PAULINA</v>
      </c>
      <c r="C1860" s="30" t="str">
        <f ca="1">IFERROR(__xludf.DUMMYFUNCTION("""COMPUTED_VALUE"""),"Santiago del Estero")</f>
        <v>Santiago del Estero</v>
      </c>
      <c r="D1860" s="30" t="str">
        <f ca="1">IFERROR(__xludf.DUMMYFUNCTION("""COMPUTED_VALUE"""),"86")</f>
        <v>86</v>
      </c>
      <c r="E1860" s="30" t="str">
        <f ca="1">IFERROR(__xludf.DUMMYFUNCTION("""COMPUTED_VALUE"""),"")</f>
        <v/>
      </c>
      <c r="F1860" s="29"/>
      <c r="G1860" s="29"/>
      <c r="H1860" s="30" t="str">
        <f ca="1">IFERROR(__xludf.DUMMYFUNCTION("""COMPUTED_VALUE"""),"activo")</f>
        <v>activo</v>
      </c>
      <c r="I1860" s="30" t="str">
        <f ca="1">IFERROR(__xludf.DUMMYFUNCTION("""COMPUTED_VALUE"""),"No se encontro la circular2")</f>
        <v>No se encontro la circular2</v>
      </c>
      <c r="J1860" s="29"/>
      <c r="K1860" s="29"/>
      <c r="L1860" s="30" t="str">
        <f ca="1">IFERROR(__xludf.DUMMYFUNCTION("""COMPUTED_VALUE"""),"No")</f>
        <v>No</v>
      </c>
      <c r="M1860" s="30" t="str">
        <f ca="1">IFERROR(__xludf.DUMMYFUNCTION("""COMPUTED_VALUE"""),"86063040000")</f>
        <v>86063040000</v>
      </c>
      <c r="N1860" s="30" t="str">
        <f ca="1">IFERROR(__xludf.DUMMYFUNCTION("""COMPUTED_VALUE"""),"FRIAS")</f>
        <v>FRIAS</v>
      </c>
      <c r="O1860" s="30" t="str">
        <f ca="1">IFERROR(__xludf.DUMMYFUNCTION("""COMPUTED_VALUE"""),"8663")</f>
        <v>8663</v>
      </c>
      <c r="P1860" s="30" t="str">
        <f ca="1">IFERROR(__xludf.DUMMYFUNCTION("""COMPUTED_VALUE"""),"CHOYA")</f>
        <v>CHOYA</v>
      </c>
      <c r="Q1860" s="30" t="str">
        <f ca="1">IFERROR(__xludf.DUMMYFUNCTION("""COMPUTED_VALUE"""),"-28.63755408")</f>
        <v>-28.63755408</v>
      </c>
      <c r="R1860" s="30" t="str">
        <f ca="1">IFERROR(__xludf.DUMMYFUNCTION("""COMPUTED_VALUE"""),"-65.12875459")</f>
        <v>-65.12875459</v>
      </c>
      <c r="S1860" s="30" t="str">
        <f ca="1">IFERROR(__xludf.DUMMYFUNCTION("""COMPUTED_VALUE"""),"Provincial")</f>
        <v>Provincial</v>
      </c>
      <c r="T1860" s="30" t="str">
        <f ca="1">IFERROR(__xludf.DUMMYFUNCTION("""COMPUTED_VALUE"""),"-")</f>
        <v>-</v>
      </c>
    </row>
    <row r="1861" spans="1:20" ht="15.75" customHeight="1" x14ac:dyDescent="0.25">
      <c r="A1861" s="30" t="str">
        <f ca="1">IFERROR(__xludf.DUMMYFUNCTION("""COMPUTED_VALUE"""),"50860632292850")</f>
        <v>50860632292850</v>
      </c>
      <c r="B1861" s="30" t="str">
        <f ca="1">IFERROR(__xludf.DUMMYFUNCTION("""COMPUTED_VALUE"""),"SALA DE PRIMEROS AUXILIOS MUNICIPAL BARRIO ALMIRANTE BROWN DE FRIAS")</f>
        <v>SALA DE PRIMEROS AUXILIOS MUNICIPAL BARRIO ALMIRANTE BROWN DE FRIAS</v>
      </c>
      <c r="C1861" s="30" t="str">
        <f ca="1">IFERROR(__xludf.DUMMYFUNCTION("""COMPUTED_VALUE"""),"Santiago del Estero")</f>
        <v>Santiago del Estero</v>
      </c>
      <c r="D1861" s="30" t="str">
        <f ca="1">IFERROR(__xludf.DUMMYFUNCTION("""COMPUTED_VALUE"""),"86")</f>
        <v>86</v>
      </c>
      <c r="E1861" s="30" t="str">
        <f ca="1">IFERROR(__xludf.DUMMYFUNCTION("""COMPUTED_VALUE"""),"")</f>
        <v/>
      </c>
      <c r="F1861" s="29"/>
      <c r="G1861" s="29"/>
      <c r="H1861" s="30" t="str">
        <f ca="1">IFERROR(__xludf.DUMMYFUNCTION("""COMPUTED_VALUE"""),"activo")</f>
        <v>activo</v>
      </c>
      <c r="I1861" s="30" t="str">
        <f ca="1">IFERROR(__xludf.DUMMYFUNCTION("""COMPUTED_VALUE"""),"No se encontro la circular2")</f>
        <v>No se encontro la circular2</v>
      </c>
      <c r="J1861" s="29"/>
      <c r="K1861" s="29"/>
      <c r="L1861" s="30" t="str">
        <f ca="1">IFERROR(__xludf.DUMMYFUNCTION("""COMPUTED_VALUE"""),"No")</f>
        <v>No</v>
      </c>
      <c r="M1861" s="30" t="str">
        <f ca="1">IFERROR(__xludf.DUMMYFUNCTION("""COMPUTED_VALUE"""),"86063040000")</f>
        <v>86063040000</v>
      </c>
      <c r="N1861" s="30" t="str">
        <f ca="1">IFERROR(__xludf.DUMMYFUNCTION("""COMPUTED_VALUE"""),"FRIAS")</f>
        <v>FRIAS</v>
      </c>
      <c r="O1861" s="30" t="str">
        <f ca="1">IFERROR(__xludf.DUMMYFUNCTION("""COMPUTED_VALUE"""),"8663")</f>
        <v>8663</v>
      </c>
      <c r="P1861" s="30" t="str">
        <f ca="1">IFERROR(__xludf.DUMMYFUNCTION("""COMPUTED_VALUE"""),"CHOYA")</f>
        <v>CHOYA</v>
      </c>
      <c r="Q1861" s="30" t="str">
        <f ca="1">IFERROR(__xludf.DUMMYFUNCTION("""COMPUTED_VALUE"""),"-28.643651")</f>
        <v>-28.643651</v>
      </c>
      <c r="R1861" s="30" t="str">
        <f ca="1">IFERROR(__xludf.DUMMYFUNCTION("""COMPUTED_VALUE"""),"-65.117558")</f>
        <v>-65.117558</v>
      </c>
      <c r="S1861" s="30" t="str">
        <f ca="1">IFERROR(__xludf.DUMMYFUNCTION("""COMPUTED_VALUE"""),"Municipal")</f>
        <v>Municipal</v>
      </c>
      <c r="T1861" s="29"/>
    </row>
    <row r="1862" spans="1:20" ht="15.75" customHeight="1" x14ac:dyDescent="0.25">
      <c r="A1862" s="30" t="str">
        <f ca="1">IFERROR(__xludf.DUMMYFUNCTION("""COMPUTED_VALUE"""),"50860632292851")</f>
        <v>50860632292851</v>
      </c>
      <c r="B1862" s="30" t="str">
        <f ca="1">IFERROR(__xludf.DUMMYFUNCTION("""COMPUTED_VALUE"""),"SALA DE PRIMEROS AUXILIOS MUNICIPAL BARRIO LAS VIOLETAS DE FRIAS")</f>
        <v>SALA DE PRIMEROS AUXILIOS MUNICIPAL BARRIO LAS VIOLETAS DE FRIAS</v>
      </c>
      <c r="C1862" s="30" t="str">
        <f ca="1">IFERROR(__xludf.DUMMYFUNCTION("""COMPUTED_VALUE"""),"Santiago del Estero")</f>
        <v>Santiago del Estero</v>
      </c>
      <c r="D1862" s="30" t="str">
        <f ca="1">IFERROR(__xludf.DUMMYFUNCTION("""COMPUTED_VALUE"""),"86")</f>
        <v>86</v>
      </c>
      <c r="E1862" s="30" t="str">
        <f ca="1">IFERROR(__xludf.DUMMYFUNCTION("""COMPUTED_VALUE"""),"")</f>
        <v/>
      </c>
      <c r="F1862" s="29"/>
      <c r="G1862" s="30" t="str">
        <f ca="1">IFERROR(__xludf.DUMMYFUNCTION("""COMPUTED_VALUE"""),"50860492192875")</f>
        <v>50860492192875</v>
      </c>
      <c r="H1862" s="30" t="str">
        <f ca="1">IFERROR(__xludf.DUMMYFUNCTION("""COMPUTED_VALUE"""),"inactivo")</f>
        <v>inactivo</v>
      </c>
      <c r="I1862" s="30" t="str">
        <f ca="1">IFERROR(__xludf.DUMMYFUNCTION("""COMPUTED_VALUE"""),"No se encontro la circular2")</f>
        <v>No se encontro la circular2</v>
      </c>
      <c r="J1862" s="29"/>
      <c r="K1862" s="29"/>
      <c r="L1862" s="30" t="str">
        <f ca="1">IFERROR(__xludf.DUMMYFUNCTION("""COMPUTED_VALUE"""),"No")</f>
        <v>No</v>
      </c>
      <c r="M1862" s="30" t="str">
        <f ca="1">IFERROR(__xludf.DUMMYFUNCTION("""COMPUTED_VALUE"""),"86063040000")</f>
        <v>86063040000</v>
      </c>
      <c r="N1862" s="30" t="str">
        <f ca="1">IFERROR(__xludf.DUMMYFUNCTION("""COMPUTED_VALUE"""),"FRIAS")</f>
        <v>FRIAS</v>
      </c>
      <c r="O1862" s="30" t="str">
        <f ca="1">IFERROR(__xludf.DUMMYFUNCTION("""COMPUTED_VALUE"""),"8663")</f>
        <v>8663</v>
      </c>
      <c r="P1862" s="30" t="str">
        <f ca="1">IFERROR(__xludf.DUMMYFUNCTION("""COMPUTED_VALUE"""),"CHOYA")</f>
        <v>CHOYA</v>
      </c>
      <c r="Q1862" s="30" t="str">
        <f ca="1">IFERROR(__xludf.DUMMYFUNCTION("""COMPUTED_VALUE"""),"-28.622463")</f>
        <v>-28.622463</v>
      </c>
      <c r="R1862" s="30" t="str">
        <f ca="1">IFERROR(__xludf.DUMMYFUNCTION("""COMPUTED_VALUE"""),"-65.126102")</f>
        <v>-65.126102</v>
      </c>
      <c r="S1862" s="30" t="str">
        <f ca="1">IFERROR(__xludf.DUMMYFUNCTION("""COMPUTED_VALUE"""),"Municipal")</f>
        <v>Municipal</v>
      </c>
      <c r="T1862" s="29"/>
    </row>
    <row r="1863" spans="1:20" ht="15.75" customHeight="1" x14ac:dyDescent="0.25">
      <c r="A1863" s="30" t="str">
        <f ca="1">IFERROR(__xludf.DUMMYFUNCTION("""COMPUTED_VALUE"""),"50860982192262")</f>
        <v>50860982192262</v>
      </c>
      <c r="B1863" s="30" t="str">
        <f ca="1">IFERROR(__xludf.DUMMYFUNCTION("""COMPUTED_VALUE"""),"PUESTO SANITARIO EL COLORADO (HOSP QUIMILI)")</f>
        <v>PUESTO SANITARIO EL COLORADO (HOSP QUIMILI)</v>
      </c>
      <c r="C1863" s="30" t="str">
        <f ca="1">IFERROR(__xludf.DUMMYFUNCTION("""COMPUTED_VALUE"""),"Santiago del Estero")</f>
        <v>Santiago del Estero</v>
      </c>
      <c r="D1863" s="30" t="str">
        <f ca="1">IFERROR(__xludf.DUMMYFUNCTION("""COMPUTED_VALUE"""),"86")</f>
        <v>86</v>
      </c>
      <c r="E1863" s="30" t="str">
        <f ca="1">IFERROR(__xludf.DUMMYFUNCTION("""COMPUTED_VALUE"""),"si")</f>
        <v>si</v>
      </c>
      <c r="F1863" s="29"/>
      <c r="G1863" s="29"/>
      <c r="H1863" s="30" t="str">
        <f ca="1">IFERROR(__xludf.DUMMYFUNCTION("""COMPUTED_VALUE"""),"activo")</f>
        <v>activo</v>
      </c>
      <c r="I1863" s="30" t="str">
        <f ca="1">IFERROR(__xludf.DUMMYFUNCTION("""COMPUTED_VALUE"""),"No se encontro la circular2")</f>
        <v>No se encontro la circular2</v>
      </c>
      <c r="J1863" s="29"/>
      <c r="K1863" s="29"/>
      <c r="L1863" s="30" t="str">
        <f ca="1">IFERROR(__xludf.DUMMYFUNCTION("""COMPUTED_VALUE"""),"No")</f>
        <v>No</v>
      </c>
      <c r="M1863" s="30" t="str">
        <f ca="1">IFERROR(__xludf.DUMMYFUNCTION("""COMPUTED_VALUE"""),"86098010000")</f>
        <v>86098010000</v>
      </c>
      <c r="N1863" s="30" t="str">
        <f ca="1">IFERROR(__xludf.DUMMYFUNCTION("""COMPUTED_VALUE"""),"EL COLORADO")</f>
        <v>EL COLORADO</v>
      </c>
      <c r="O1863" s="30" t="str">
        <f ca="1">IFERROR(__xludf.DUMMYFUNCTION("""COMPUTED_VALUE"""),"8698")</f>
        <v>8698</v>
      </c>
      <c r="P1863" s="30" t="str">
        <f ca="1">IFERROR(__xludf.DUMMYFUNCTION("""COMPUTED_VALUE"""),"JUAN F. IBARRA")</f>
        <v>JUAN F. IBARRA</v>
      </c>
      <c r="Q1863" s="30" t="str">
        <f ca="1">IFERROR(__xludf.DUMMYFUNCTION("""COMPUTED_VALUE"""),"-27.30686")</f>
        <v>-27.30686</v>
      </c>
      <c r="R1863" s="30" t="str">
        <f ca="1">IFERROR(__xludf.DUMMYFUNCTION("""COMPUTED_VALUE"""),"-64.25141")</f>
        <v>-64.25141</v>
      </c>
      <c r="S1863" s="30" t="str">
        <f ca="1">IFERROR(__xludf.DUMMYFUNCTION("""COMPUTED_VALUE"""),"Provincial")</f>
        <v>Provincial</v>
      </c>
      <c r="T1863" s="30" t="str">
        <f ca="1">IFERROR(__xludf.DUMMYFUNCTION("""COMPUTED_VALUE"""),"-")</f>
        <v>-</v>
      </c>
    </row>
    <row r="1864" spans="1:20" ht="15.75" customHeight="1" x14ac:dyDescent="0.25">
      <c r="A1864" s="30" t="str">
        <f ca="1">IFERROR(__xludf.DUMMYFUNCTION("""COMPUTED_VALUE"""),"50861892192426")</f>
        <v>50861892192426</v>
      </c>
      <c r="B1864" s="30" t="str">
        <f ca="1">IFERROR(__xludf.DUMMYFUNCTION("""COMPUTED_VALUE"""),"PUESTO SANITARIO VILLA SILIPICA")</f>
        <v>PUESTO SANITARIO VILLA SILIPICA</v>
      </c>
      <c r="C1864" s="30" t="str">
        <f ca="1">IFERROR(__xludf.DUMMYFUNCTION("""COMPUTED_VALUE"""),"Santiago del Estero")</f>
        <v>Santiago del Estero</v>
      </c>
      <c r="D1864" s="30" t="str">
        <f ca="1">IFERROR(__xludf.DUMMYFUNCTION("""COMPUTED_VALUE"""),"86")</f>
        <v>86</v>
      </c>
      <c r="E1864" s="30" t="str">
        <f ca="1">IFERROR(__xludf.DUMMYFUNCTION("""COMPUTED_VALUE"""),"")</f>
        <v/>
      </c>
      <c r="F1864" s="29"/>
      <c r="G1864" s="29"/>
      <c r="H1864" s="30" t="str">
        <f ca="1">IFERROR(__xludf.DUMMYFUNCTION("""COMPUTED_VALUE"""),"activo")</f>
        <v>activo</v>
      </c>
      <c r="I1864" s="30" t="str">
        <f ca="1">IFERROR(__xludf.DUMMYFUNCTION("""COMPUTED_VALUE"""),"No se encontro la circular2")</f>
        <v>No se encontro la circular2</v>
      </c>
      <c r="J1864" s="29"/>
      <c r="K1864" s="29"/>
      <c r="L1864" s="30" t="str">
        <f ca="1">IFERROR(__xludf.DUMMYFUNCTION("""COMPUTED_VALUE"""),"No")</f>
        <v>No</v>
      </c>
      <c r="M1864" s="30" t="str">
        <f ca="1">IFERROR(__xludf.DUMMYFUNCTION("""COMPUTED_VALUE"""),"86189050000")</f>
        <v>86189050000</v>
      </c>
      <c r="N1864" s="30" t="str">
        <f ca="1">IFERROR(__xludf.DUMMYFUNCTION("""COMPUTED_VALUE"""),"VILLA SILIPICA")</f>
        <v>VILLA SILIPICA</v>
      </c>
      <c r="O1864" s="30" t="str">
        <f ca="1">IFERROR(__xludf.DUMMYFUNCTION("""COMPUTED_VALUE"""),"86189")</f>
        <v>86189</v>
      </c>
      <c r="P1864" s="30" t="str">
        <f ca="1">IFERROR(__xludf.DUMMYFUNCTION("""COMPUTED_VALUE"""),"SILÍPICA")</f>
        <v>SILÍPICA</v>
      </c>
      <c r="Q1864" s="30" t="str">
        <f ca="1">IFERROR(__xludf.DUMMYFUNCTION("""COMPUTED_VALUE"""),"-28.1")</f>
        <v>-28.1</v>
      </c>
      <c r="R1864" s="30" t="str">
        <f ca="1">IFERROR(__xludf.DUMMYFUNCTION("""COMPUTED_VALUE"""),"-64.1333")</f>
        <v>-64.1333</v>
      </c>
      <c r="S1864" s="30" t="str">
        <f ca="1">IFERROR(__xludf.DUMMYFUNCTION("""COMPUTED_VALUE"""),"Provincial")</f>
        <v>Provincial</v>
      </c>
      <c r="T1864" s="30" t="str">
        <f ca="1">IFERROR(__xludf.DUMMYFUNCTION("""COMPUTED_VALUE"""),"-")</f>
        <v>-</v>
      </c>
    </row>
    <row r="1865" spans="1:20" ht="15.75" customHeight="1" x14ac:dyDescent="0.25">
      <c r="A1865" s="30" t="str">
        <f ca="1">IFERROR(__xludf.DUMMYFUNCTION("""COMPUTED_VALUE"""),"50860352292748")</f>
        <v>50860352292748</v>
      </c>
      <c r="B1865" s="30" t="str">
        <f ca="1">IFERROR(__xludf.DUMMYFUNCTION("""COMPUTED_VALUE"""),"CAMM Nº 2 Bº SAN FERNANDO (CENTRO DE ATENCION MEDICA MUNICIPAL)")</f>
        <v>CAMM Nº 2 Bº SAN FERNANDO (CENTRO DE ATENCION MEDICA MUNICIPAL)</v>
      </c>
      <c r="C1865" s="30" t="str">
        <f ca="1">IFERROR(__xludf.DUMMYFUNCTION("""COMPUTED_VALUE"""),"Santiago del Estero")</f>
        <v>Santiago del Estero</v>
      </c>
      <c r="D1865" s="30" t="str">
        <f ca="1">IFERROR(__xludf.DUMMYFUNCTION("""COMPUTED_VALUE"""),"86")</f>
        <v>86</v>
      </c>
      <c r="E1865" s="30" t="str">
        <f ca="1">IFERROR(__xludf.DUMMYFUNCTION("""COMPUTED_VALUE"""),"")</f>
        <v/>
      </c>
      <c r="F1865" s="29"/>
      <c r="G1865" s="30" t="str">
        <f ca="1">IFERROR(__xludf.DUMMYFUNCTION("""COMPUTED_VALUE"""),"50860352192096")</f>
        <v>50860352192096</v>
      </c>
      <c r="H1865" s="30" t="str">
        <f ca="1">IFERROR(__xludf.DUMMYFUNCTION("""COMPUTED_VALUE"""),"inactivo")</f>
        <v>inactivo</v>
      </c>
      <c r="I1865" s="30" t="str">
        <f ca="1">IFERROR(__xludf.DUMMYFUNCTION("""COMPUTED_VALUE"""),"No se encontro la circular2")</f>
        <v>No se encontro la circular2</v>
      </c>
      <c r="J1865" s="29"/>
      <c r="K1865" s="29"/>
      <c r="L1865" s="30" t="str">
        <f ca="1">IFERROR(__xludf.DUMMYFUNCTION("""COMPUTED_VALUE"""),"No")</f>
        <v>No</v>
      </c>
      <c r="M1865" s="30" t="str">
        <f ca="1">IFERROR(__xludf.DUMMYFUNCTION("""COMPUTED_VALUE"""),"86035090000")</f>
        <v>86035090000</v>
      </c>
      <c r="N1865" s="30" t="str">
        <f ca="1">IFERROR(__xludf.DUMMYFUNCTION("""COMPUTED_VALUE"""),"LA BANDA")</f>
        <v>LA BANDA</v>
      </c>
      <c r="O1865" s="30" t="str">
        <f ca="1">IFERROR(__xludf.DUMMYFUNCTION("""COMPUTED_VALUE"""),"8635")</f>
        <v>8635</v>
      </c>
      <c r="P1865" s="30" t="str">
        <f ca="1">IFERROR(__xludf.DUMMYFUNCTION("""COMPUTED_VALUE"""),"BANDA")</f>
        <v>BANDA</v>
      </c>
      <c r="Q1865" s="30" t="str">
        <f ca="1">IFERROR(__xludf.DUMMYFUNCTION("""COMPUTED_VALUE"""),"-27.732479")</f>
        <v>-27.732479</v>
      </c>
      <c r="R1865" s="30" t="str">
        <f ca="1">IFERROR(__xludf.DUMMYFUNCTION("""COMPUTED_VALUE"""),"-64.27019244")</f>
        <v>-64.27019244</v>
      </c>
      <c r="S1865" s="30" t="str">
        <f ca="1">IFERROR(__xludf.DUMMYFUNCTION("""COMPUTED_VALUE"""),"Municipal")</f>
        <v>Municipal</v>
      </c>
      <c r="T1865" s="29"/>
    </row>
    <row r="1866" spans="1:20" ht="15.75" customHeight="1" x14ac:dyDescent="0.25">
      <c r="A1866" s="30" t="str">
        <f ca="1">IFERROR(__xludf.DUMMYFUNCTION("""COMPUTED_VALUE"""),"50860352292785")</f>
        <v>50860352292785</v>
      </c>
      <c r="B1866" s="30" t="str">
        <f ca="1">IFERROR(__xludf.DUMMYFUNCTION("""COMPUTED_VALUE"""),"CAMM Nº 1 Bº TABLA REDONDA")</f>
        <v>CAMM Nº 1 Bº TABLA REDONDA</v>
      </c>
      <c r="C1866" s="30" t="str">
        <f ca="1">IFERROR(__xludf.DUMMYFUNCTION("""COMPUTED_VALUE"""),"Santiago del Estero")</f>
        <v>Santiago del Estero</v>
      </c>
      <c r="D1866" s="30" t="str">
        <f ca="1">IFERROR(__xludf.DUMMYFUNCTION("""COMPUTED_VALUE"""),"86")</f>
        <v>86</v>
      </c>
      <c r="E1866" s="30" t="str">
        <f ca="1">IFERROR(__xludf.DUMMYFUNCTION("""COMPUTED_VALUE"""),"")</f>
        <v/>
      </c>
      <c r="F1866" s="29"/>
      <c r="G1866" s="29"/>
      <c r="H1866" s="30" t="str">
        <f ca="1">IFERROR(__xludf.DUMMYFUNCTION("""COMPUTED_VALUE"""),"activo")</f>
        <v>activo</v>
      </c>
      <c r="I1866" s="30" t="str">
        <f ca="1">IFERROR(__xludf.DUMMYFUNCTION("""COMPUTED_VALUE"""),"No se encontro la circular2")</f>
        <v>No se encontro la circular2</v>
      </c>
      <c r="J1866" s="29"/>
      <c r="K1866" s="29"/>
      <c r="L1866" s="30" t="str">
        <f ca="1">IFERROR(__xludf.DUMMYFUNCTION("""COMPUTED_VALUE"""),"No")</f>
        <v>No</v>
      </c>
      <c r="M1866" s="30" t="str">
        <f ca="1">IFERROR(__xludf.DUMMYFUNCTION("""COMPUTED_VALUE"""),"86035090000")</f>
        <v>86035090000</v>
      </c>
      <c r="N1866" s="30" t="str">
        <f ca="1">IFERROR(__xludf.DUMMYFUNCTION("""COMPUTED_VALUE"""),"LA BANDA")</f>
        <v>LA BANDA</v>
      </c>
      <c r="O1866" s="30" t="str">
        <f ca="1">IFERROR(__xludf.DUMMYFUNCTION("""COMPUTED_VALUE"""),"8635")</f>
        <v>8635</v>
      </c>
      <c r="P1866" s="30" t="str">
        <f ca="1">IFERROR(__xludf.DUMMYFUNCTION("""COMPUTED_VALUE"""),"BANDA")</f>
        <v>BANDA</v>
      </c>
      <c r="Q1866" s="30" t="str">
        <f ca="1">IFERROR(__xludf.DUMMYFUNCTION("""COMPUTED_VALUE"""),"-27.7526263")</f>
        <v>-27.7526263</v>
      </c>
      <c r="R1866" s="30" t="str">
        <f ca="1">IFERROR(__xludf.DUMMYFUNCTION("""COMPUTED_VALUE"""),"-64.2647303")</f>
        <v>-64.2647303</v>
      </c>
      <c r="S1866" s="30" t="str">
        <f ca="1">IFERROR(__xludf.DUMMYFUNCTION("""COMPUTED_VALUE"""),"Municipal")</f>
        <v>Municipal</v>
      </c>
      <c r="T1866" s="29"/>
    </row>
    <row r="1867" spans="1:20" ht="15.75" customHeight="1" x14ac:dyDescent="0.25">
      <c r="A1867" s="30" t="str">
        <f ca="1">IFERROR(__xludf.DUMMYFUNCTION("""COMPUTED_VALUE"""),"50860492192443")</f>
        <v>50860492192443</v>
      </c>
      <c r="B1867" s="30" t="str">
        <f ca="1">IFERROR(__xludf.DUMMYFUNCTION("""COMPUTED_VALUE"""),"UPA 24 Bº SANTA LUCIA")</f>
        <v>UPA 24 Bº SANTA LUCIA</v>
      </c>
      <c r="C1867" s="30" t="str">
        <f ca="1">IFERROR(__xludf.DUMMYFUNCTION("""COMPUTED_VALUE"""),"Santiago del Estero")</f>
        <v>Santiago del Estero</v>
      </c>
      <c r="D1867" s="30" t="str">
        <f ca="1">IFERROR(__xludf.DUMMYFUNCTION("""COMPUTED_VALUE"""),"86")</f>
        <v>86</v>
      </c>
      <c r="E1867" s="30" t="str">
        <f ca="1">IFERROR(__xludf.DUMMYFUNCTION("""COMPUTED_VALUE"""),"")</f>
        <v/>
      </c>
      <c r="F1867" s="29"/>
      <c r="G1867" s="29"/>
      <c r="H1867" s="30" t="str">
        <f ca="1">IFERROR(__xludf.DUMMYFUNCTION("""COMPUTED_VALUE"""),"activo")</f>
        <v>activo</v>
      </c>
      <c r="I1867" s="30" t="str">
        <f ca="1">IFERROR(__xludf.DUMMYFUNCTION("""COMPUTED_VALUE"""),"Se encontro en el CAI 2019-no figuraba en universo")</f>
        <v>Se encontro en el CAI 2019-no figuraba en universo</v>
      </c>
      <c r="J1867" s="29"/>
      <c r="K1867" s="29"/>
      <c r="L1867" s="30" t="str">
        <f ca="1">IFERROR(__xludf.DUMMYFUNCTION("""COMPUTED_VALUE"""),"No")</f>
        <v>No</v>
      </c>
      <c r="M1867" s="30" t="str">
        <f ca="1">IFERROR(__xludf.DUMMYFUNCTION("""COMPUTED_VALUE"""),"86049110000")</f>
        <v>86049110000</v>
      </c>
      <c r="N1867" s="30" t="str">
        <f ca="1">IFERROR(__xludf.DUMMYFUNCTION("""COMPUTED_VALUE"""),"SANTIAGO DEL ESTERO")</f>
        <v>SANTIAGO DEL ESTERO</v>
      </c>
      <c r="O1867" s="30" t="str">
        <f ca="1">IFERROR(__xludf.DUMMYFUNCTION("""COMPUTED_VALUE"""),"8649")</f>
        <v>8649</v>
      </c>
      <c r="P1867" s="30" t="str">
        <f ca="1">IFERROR(__xludf.DUMMYFUNCTION("""COMPUTED_VALUE"""),"CAPITAL")</f>
        <v>CAPITAL</v>
      </c>
      <c r="Q1867" s="30" t="str">
        <f ca="1">IFERROR(__xludf.DUMMYFUNCTION("""COMPUTED_VALUE"""),"-27.8170797")</f>
        <v>-27.8170797</v>
      </c>
      <c r="R1867" s="30" t="str">
        <f ca="1">IFERROR(__xludf.DUMMYFUNCTION("""COMPUTED_VALUE"""),"-64.2787409")</f>
        <v>-64.2787409</v>
      </c>
      <c r="S1867" s="30" t="str">
        <f ca="1">IFERROR(__xludf.DUMMYFUNCTION("""COMPUTED_VALUE"""),"Provincial")</f>
        <v>Provincial</v>
      </c>
      <c r="T1867" s="30" t="str">
        <f ca="1">IFERROR(__xludf.DUMMYFUNCTION("""COMPUTED_VALUE"""),"-")</f>
        <v>-</v>
      </c>
    </row>
    <row r="1868" spans="1:20" ht="15.75" customHeight="1" x14ac:dyDescent="0.25">
      <c r="A1868" s="30" t="str">
        <f ca="1">IFERROR(__xludf.DUMMYFUNCTION("""COMPUTED_VALUE"""),"50860492192449")</f>
        <v>50860492192449</v>
      </c>
      <c r="B1868" s="30" t="str">
        <f ca="1">IFERROR(__xludf.DUMMYFUNCTION("""COMPUTED_VALUE"""),"UPA Nº 14 Bº ALMIRANTE BROWN")</f>
        <v>UPA Nº 14 Bº ALMIRANTE BROWN</v>
      </c>
      <c r="C1868" s="30" t="str">
        <f ca="1">IFERROR(__xludf.DUMMYFUNCTION("""COMPUTED_VALUE"""),"Santiago del Estero")</f>
        <v>Santiago del Estero</v>
      </c>
      <c r="D1868" s="30" t="str">
        <f ca="1">IFERROR(__xludf.DUMMYFUNCTION("""COMPUTED_VALUE"""),"86")</f>
        <v>86</v>
      </c>
      <c r="E1868" s="30" t="str">
        <f ca="1">IFERROR(__xludf.DUMMYFUNCTION("""COMPUTED_VALUE"""),"")</f>
        <v/>
      </c>
      <c r="F1868" s="29"/>
      <c r="G1868" s="29"/>
      <c r="H1868" s="30" t="str">
        <f ca="1">IFERROR(__xludf.DUMMYFUNCTION("""COMPUTED_VALUE"""),"activo")</f>
        <v>activo</v>
      </c>
      <c r="I1868" s="30" t="str">
        <f ca="1">IFERROR(__xludf.DUMMYFUNCTION("""COMPUTED_VALUE"""),"Se encontro en el CAI 2019-no figuraba en universo")</f>
        <v>Se encontro en el CAI 2019-no figuraba en universo</v>
      </c>
      <c r="J1868" s="29"/>
      <c r="K1868" s="29"/>
      <c r="L1868" s="30" t="str">
        <f ca="1">IFERROR(__xludf.DUMMYFUNCTION("""COMPUTED_VALUE"""),"No")</f>
        <v>No</v>
      </c>
      <c r="M1868" s="30" t="str">
        <f ca="1">IFERROR(__xludf.DUMMYFUNCTION("""COMPUTED_VALUE"""),"86049110000")</f>
        <v>86049110000</v>
      </c>
      <c r="N1868" s="30" t="str">
        <f ca="1">IFERROR(__xludf.DUMMYFUNCTION("""COMPUTED_VALUE"""),"SANTIAGO DEL ESTERO")</f>
        <v>SANTIAGO DEL ESTERO</v>
      </c>
      <c r="O1868" s="30" t="str">
        <f ca="1">IFERROR(__xludf.DUMMYFUNCTION("""COMPUTED_VALUE"""),"8649")</f>
        <v>8649</v>
      </c>
      <c r="P1868" s="30" t="str">
        <f ca="1">IFERROR(__xludf.DUMMYFUNCTION("""COMPUTED_VALUE"""),"CAPITAL")</f>
        <v>CAPITAL</v>
      </c>
      <c r="Q1868" s="30" t="str">
        <f ca="1">IFERROR(__xludf.DUMMYFUNCTION("""COMPUTED_VALUE"""),"-27.80992778")</f>
        <v>-27.80992778</v>
      </c>
      <c r="R1868" s="30" t="str">
        <f ca="1">IFERROR(__xludf.DUMMYFUNCTION("""COMPUTED_VALUE"""),"-64.26006317")</f>
        <v>-64.26006317</v>
      </c>
      <c r="S1868" s="30" t="str">
        <f ca="1">IFERROR(__xludf.DUMMYFUNCTION("""COMPUTED_VALUE"""),"Provincial")</f>
        <v>Provincial</v>
      </c>
      <c r="T1868" s="30" t="str">
        <f ca="1">IFERROR(__xludf.DUMMYFUNCTION("""COMPUTED_VALUE"""),"-")</f>
        <v>-</v>
      </c>
    </row>
    <row r="1869" spans="1:20" ht="15.75" customHeight="1" x14ac:dyDescent="0.25">
      <c r="A1869" s="30" t="str">
        <f ca="1">IFERROR(__xludf.DUMMYFUNCTION("""COMPUTED_VALUE"""),"50860492192468")</f>
        <v>50860492192468</v>
      </c>
      <c r="B1869" s="30" t="str">
        <f ca="1">IFERROR(__xludf.DUMMYFUNCTION("""COMPUTED_VALUE"""),"UPA Nº 19 - Bº INDEPENDENCIA")</f>
        <v>UPA Nº 19 - Bº INDEPENDENCIA</v>
      </c>
      <c r="C1869" s="30" t="str">
        <f ca="1">IFERROR(__xludf.DUMMYFUNCTION("""COMPUTED_VALUE"""),"Santiago del Estero")</f>
        <v>Santiago del Estero</v>
      </c>
      <c r="D1869" s="30" t="str">
        <f ca="1">IFERROR(__xludf.DUMMYFUNCTION("""COMPUTED_VALUE"""),"86")</f>
        <v>86</v>
      </c>
      <c r="E1869" s="30" t="str">
        <f ca="1">IFERROR(__xludf.DUMMYFUNCTION("""COMPUTED_VALUE"""),"")</f>
        <v/>
      </c>
      <c r="F1869" s="29"/>
      <c r="G1869" s="29"/>
      <c r="H1869" s="30" t="str">
        <f ca="1">IFERROR(__xludf.DUMMYFUNCTION("""COMPUTED_VALUE"""),"activo")</f>
        <v>activo</v>
      </c>
      <c r="I1869" s="30" t="str">
        <f ca="1">IFERROR(__xludf.DUMMYFUNCTION("""COMPUTED_VALUE"""),"Se encontro en el CAI 2019-no figuraba en universo")</f>
        <v>Se encontro en el CAI 2019-no figuraba en universo</v>
      </c>
      <c r="J1869" s="29"/>
      <c r="K1869" s="29"/>
      <c r="L1869" s="30" t="str">
        <f ca="1">IFERROR(__xludf.DUMMYFUNCTION("""COMPUTED_VALUE"""),"No")</f>
        <v>No</v>
      </c>
      <c r="M1869" s="30" t="str">
        <f ca="1">IFERROR(__xludf.DUMMYFUNCTION("""COMPUTED_VALUE"""),"86049110000")</f>
        <v>86049110000</v>
      </c>
      <c r="N1869" s="30" t="str">
        <f ca="1">IFERROR(__xludf.DUMMYFUNCTION("""COMPUTED_VALUE"""),"SANTIAGO DEL ESTERO")</f>
        <v>SANTIAGO DEL ESTERO</v>
      </c>
      <c r="O1869" s="30" t="str">
        <f ca="1">IFERROR(__xludf.DUMMYFUNCTION("""COMPUTED_VALUE"""),"8649")</f>
        <v>8649</v>
      </c>
      <c r="P1869" s="30" t="str">
        <f ca="1">IFERROR(__xludf.DUMMYFUNCTION("""COMPUTED_VALUE"""),"CAPITAL")</f>
        <v>CAPITAL</v>
      </c>
      <c r="Q1869" s="30" t="str">
        <f ca="1">IFERROR(__xludf.DUMMYFUNCTION("""COMPUTED_VALUE"""),"-27.81685944")</f>
        <v>-27.81685944</v>
      </c>
      <c r="R1869" s="30" t="str">
        <f ca="1">IFERROR(__xludf.DUMMYFUNCTION("""COMPUTED_VALUE"""),"-64.23116541")</f>
        <v>-64.23116541</v>
      </c>
      <c r="S1869" s="30" t="str">
        <f ca="1">IFERROR(__xludf.DUMMYFUNCTION("""COMPUTED_VALUE"""),"Provincial")</f>
        <v>Provincial</v>
      </c>
      <c r="T1869" s="30" t="str">
        <f ca="1">IFERROR(__xludf.DUMMYFUNCTION("""COMPUTED_VALUE"""),"-")</f>
        <v>-</v>
      </c>
    </row>
    <row r="1870" spans="1:20" ht="15.75" customHeight="1" x14ac:dyDescent="0.25">
      <c r="A1870" s="30" t="str">
        <f ca="1">IFERROR(__xludf.DUMMYFUNCTION("""COMPUTED_VALUE"""),"50860492192875")</f>
        <v>50860492192875</v>
      </c>
      <c r="B1870" s="30" t="str">
        <f ca="1">IFERROR(__xludf.DUMMYFUNCTION("""COMPUTED_VALUE"""),"UPA Bº MARIANO MORENO I")</f>
        <v>UPA Bº MARIANO MORENO I</v>
      </c>
      <c r="C1870" s="30" t="str">
        <f ca="1">IFERROR(__xludf.DUMMYFUNCTION("""COMPUTED_VALUE"""),"Santiago del Estero")</f>
        <v>Santiago del Estero</v>
      </c>
      <c r="D1870" s="30" t="str">
        <f ca="1">IFERROR(__xludf.DUMMYFUNCTION("""COMPUTED_VALUE"""),"86")</f>
        <v>86</v>
      </c>
      <c r="E1870" s="30" t="str">
        <f ca="1">IFERROR(__xludf.DUMMYFUNCTION("""COMPUTED_VALUE"""),"")</f>
        <v/>
      </c>
      <c r="F1870" s="30" t="str">
        <f ca="1">IFERROR(__xludf.DUMMYFUNCTION("""COMPUTED_VALUE"""),"50860632292851")</f>
        <v>50860632292851</v>
      </c>
      <c r="G1870" s="29"/>
      <c r="H1870" s="30" t="str">
        <f ca="1">IFERROR(__xludf.DUMMYFUNCTION("""COMPUTED_VALUE"""),"activo")</f>
        <v>activo</v>
      </c>
      <c r="I1870" s="30" t="str">
        <f ca="1">IFERROR(__xludf.DUMMYFUNCTION("""COMPUTED_VALUE"""),"agregados 2020")</f>
        <v>agregados 2020</v>
      </c>
      <c r="J1870" s="29"/>
      <c r="K1870" s="29"/>
      <c r="L1870" s="30" t="str">
        <f ca="1">IFERROR(__xludf.DUMMYFUNCTION("""COMPUTED_VALUE"""),"No")</f>
        <v>No</v>
      </c>
      <c r="M1870" s="30" t="str">
        <f ca="1">IFERROR(__xludf.DUMMYFUNCTION("""COMPUTED_VALUE"""),"86049110000")</f>
        <v>86049110000</v>
      </c>
      <c r="N1870" s="30" t="str">
        <f ca="1">IFERROR(__xludf.DUMMYFUNCTION("""COMPUTED_VALUE"""),"SANTIAGO DEL ESTERO")</f>
        <v>SANTIAGO DEL ESTERO</v>
      </c>
      <c r="O1870" s="30" t="str">
        <f ca="1">IFERROR(__xludf.DUMMYFUNCTION("""COMPUTED_VALUE"""),"8649")</f>
        <v>8649</v>
      </c>
      <c r="P1870" s="30" t="str">
        <f ca="1">IFERROR(__xludf.DUMMYFUNCTION("""COMPUTED_VALUE"""),"CAPITAL")</f>
        <v>CAPITAL</v>
      </c>
      <c r="Q1870" s="30" t="str">
        <f ca="1">IFERROR(__xludf.DUMMYFUNCTION("""COMPUTED_VALUE"""),"-27.81349583")</f>
        <v>-27.81349583</v>
      </c>
      <c r="R1870" s="30" t="str">
        <f ca="1">IFERROR(__xludf.DUMMYFUNCTION("""COMPUTED_VALUE"""),"-64.27332401")</f>
        <v>-64.27332401</v>
      </c>
      <c r="S1870" s="30" t="str">
        <f ca="1">IFERROR(__xludf.DUMMYFUNCTION("""COMPUTED_VALUE"""),"Provincial")</f>
        <v>Provincial</v>
      </c>
      <c r="T1870" s="30" t="str">
        <f ca="1">IFERROR(__xludf.DUMMYFUNCTION("""COMPUTED_VALUE"""),"-")</f>
        <v>-</v>
      </c>
    </row>
    <row r="1871" spans="1:20" ht="15.75" customHeight="1" x14ac:dyDescent="0.25">
      <c r="A1871" s="30" t="str">
        <f ca="1">IFERROR(__xludf.DUMMYFUNCTION("""COMPUTED_VALUE"""),"50860352192096")</f>
        <v>50860352192096</v>
      </c>
      <c r="B1871" s="30" t="str">
        <f ca="1">IFERROR(__xludf.DUMMYFUNCTION("""COMPUTED_VALUE"""),"UPA N°9 Bº BAJO DE VERTIZ")</f>
        <v>UPA N°9 Bº BAJO DE VERTIZ</v>
      </c>
      <c r="C1871" s="30" t="str">
        <f ca="1">IFERROR(__xludf.DUMMYFUNCTION("""COMPUTED_VALUE"""),"Santiago del Estero")</f>
        <v>Santiago del Estero</v>
      </c>
      <c r="D1871" s="30" t="str">
        <f ca="1">IFERROR(__xludf.DUMMYFUNCTION("""COMPUTED_VALUE"""),"86")</f>
        <v>86</v>
      </c>
      <c r="E1871" s="30" t="str">
        <f ca="1">IFERROR(__xludf.DUMMYFUNCTION("""COMPUTED_VALUE"""),"si")</f>
        <v>si</v>
      </c>
      <c r="F1871" s="30" t="str">
        <f ca="1">IFERROR(__xludf.DUMMYFUNCTION("""COMPUTED_VALUE"""),"50860352292748")</f>
        <v>50860352292748</v>
      </c>
      <c r="G1871" s="29"/>
      <c r="H1871" s="30" t="str">
        <f ca="1">IFERROR(__xludf.DUMMYFUNCTION("""COMPUTED_VALUE"""),"activo")</f>
        <v>activo</v>
      </c>
      <c r="I1871" s="30" t="str">
        <f ca="1">IFERROR(__xludf.DUMMYFUNCTION("""COMPUTED_VALUE"""),"agregados 2020")</f>
        <v>agregados 2020</v>
      </c>
      <c r="J1871" s="29"/>
      <c r="K1871" s="29"/>
      <c r="L1871" s="30" t="str">
        <f ca="1">IFERROR(__xludf.DUMMYFUNCTION("""COMPUTED_VALUE"""),"No")</f>
        <v>No</v>
      </c>
      <c r="M1871" s="30" t="str">
        <f ca="1">IFERROR(__xludf.DUMMYFUNCTION("""COMPUTED_VALUE"""),"86035090000")</f>
        <v>86035090000</v>
      </c>
      <c r="N1871" s="30" t="str">
        <f ca="1">IFERROR(__xludf.DUMMYFUNCTION("""COMPUTED_VALUE"""),"LA BANDA")</f>
        <v>LA BANDA</v>
      </c>
      <c r="O1871" s="30" t="str">
        <f ca="1">IFERROR(__xludf.DUMMYFUNCTION("""COMPUTED_VALUE"""),"8635")</f>
        <v>8635</v>
      </c>
      <c r="P1871" s="30" t="str">
        <f ca="1">IFERROR(__xludf.DUMMYFUNCTION("""COMPUTED_VALUE"""),"BANDA")</f>
        <v>BANDA</v>
      </c>
      <c r="Q1871" s="30" t="str">
        <f ca="1">IFERROR(__xludf.DUMMYFUNCTION("""COMPUTED_VALUE"""),"-27.7329679")</f>
        <v>-27.7329679</v>
      </c>
      <c r="R1871" s="30" t="str">
        <f ca="1">IFERROR(__xludf.DUMMYFUNCTION("""COMPUTED_VALUE"""),"-64.24991941")</f>
        <v>-64.24991941</v>
      </c>
      <c r="S1871" s="30" t="str">
        <f ca="1">IFERROR(__xludf.DUMMYFUNCTION("""COMPUTED_VALUE"""),"Provincial")</f>
        <v>Provincial</v>
      </c>
      <c r="T1871" s="30" t="str">
        <f ca="1">IFERROR(__xludf.DUMMYFUNCTION("""COMPUTED_VALUE"""),"-")</f>
        <v>-</v>
      </c>
    </row>
    <row r="1872" spans="1:20" ht="15.75" customHeight="1" x14ac:dyDescent="0.25">
      <c r="A1872" s="30" t="str">
        <f ca="1">IFERROR(__xludf.DUMMYFUNCTION("""COMPUTED_VALUE"""),"50860492192456")</f>
        <v>50860492192456</v>
      </c>
      <c r="B1872" s="30" t="str">
        <f ca="1">IFERROR(__xludf.DUMMYFUNCTION("""COMPUTED_VALUE"""),"UPA Nº 23 Bº EL VINALAR")</f>
        <v>UPA Nº 23 Bº EL VINALAR</v>
      </c>
      <c r="C1872" s="30" t="str">
        <f ca="1">IFERROR(__xludf.DUMMYFUNCTION("""COMPUTED_VALUE"""),"Santiago del Estero")</f>
        <v>Santiago del Estero</v>
      </c>
      <c r="D1872" s="30" t="str">
        <f ca="1">IFERROR(__xludf.DUMMYFUNCTION("""COMPUTED_VALUE"""),"86")</f>
        <v>86</v>
      </c>
      <c r="E1872" s="30" t="str">
        <f ca="1">IFERROR(__xludf.DUMMYFUNCTION("""COMPUTED_VALUE"""),"")</f>
        <v/>
      </c>
      <c r="F1872" s="30" t="str">
        <f ca="1">IFERROR(__xludf.DUMMYFUNCTION("""COMPUTED_VALUE"""),"50860492192224")</f>
        <v>50860492192224</v>
      </c>
      <c r="G1872" s="29"/>
      <c r="H1872" s="30" t="str">
        <f ca="1">IFERROR(__xludf.DUMMYFUNCTION("""COMPUTED_VALUE"""),"activo")</f>
        <v>activo</v>
      </c>
      <c r="I1872" s="30" t="str">
        <f ca="1">IFERROR(__xludf.DUMMYFUNCTION("""COMPUTED_VALUE"""),"agregados 2020")</f>
        <v>agregados 2020</v>
      </c>
      <c r="J1872" s="29"/>
      <c r="K1872" s="29"/>
      <c r="L1872" s="30" t="str">
        <f ca="1">IFERROR(__xludf.DUMMYFUNCTION("""COMPUTED_VALUE"""),"No")</f>
        <v>No</v>
      </c>
      <c r="M1872" s="30" t="str">
        <f ca="1">IFERROR(__xludf.DUMMYFUNCTION("""COMPUTED_VALUE"""),"86049110000")</f>
        <v>86049110000</v>
      </c>
      <c r="N1872" s="30" t="str">
        <f ca="1">IFERROR(__xludf.DUMMYFUNCTION("""COMPUTED_VALUE"""),"SANTIAGO DEL ESTERO")</f>
        <v>SANTIAGO DEL ESTERO</v>
      </c>
      <c r="O1872" s="30" t="str">
        <f ca="1">IFERROR(__xludf.DUMMYFUNCTION("""COMPUTED_VALUE"""),"8649")</f>
        <v>8649</v>
      </c>
      <c r="P1872" s="30" t="str">
        <f ca="1">IFERROR(__xludf.DUMMYFUNCTION("""COMPUTED_VALUE"""),"CAPITAL")</f>
        <v>CAPITAL</v>
      </c>
      <c r="Q1872" s="30" t="str">
        <f ca="1">IFERROR(__xludf.DUMMYFUNCTION("""COMPUTED_VALUE"""),"-27.82883523")</f>
        <v>-27.82883523</v>
      </c>
      <c r="R1872" s="30" t="str">
        <f ca="1">IFERROR(__xludf.DUMMYFUNCTION("""COMPUTED_VALUE"""),"-64.27536821")</f>
        <v>-64.27536821</v>
      </c>
      <c r="S1872" s="30" t="str">
        <f ca="1">IFERROR(__xludf.DUMMYFUNCTION("""COMPUTED_VALUE"""),"Provincial")</f>
        <v>Provincial</v>
      </c>
      <c r="T1872" s="30" t="str">
        <f ca="1">IFERROR(__xludf.DUMMYFUNCTION("""COMPUTED_VALUE"""),"-")</f>
        <v>-</v>
      </c>
    </row>
    <row r="1873" spans="1:20" ht="15.75" customHeight="1" x14ac:dyDescent="0.25">
      <c r="A1873" s="30" t="str">
        <f ca="1">IFERROR(__xludf.DUMMYFUNCTION("""COMPUTED_VALUE"""),"10900142196017")</f>
        <v>10900142196017</v>
      </c>
      <c r="B1873" s="30" t="str">
        <f ca="1">IFERROR(__xludf.DUMMYFUNCTION("""COMPUTED_VALUE"""),"HOSPITAL EL BRACHO")</f>
        <v>HOSPITAL EL BRACHO</v>
      </c>
      <c r="C1873" s="30" t="str">
        <f ca="1">IFERROR(__xludf.DUMMYFUNCTION("""COMPUTED_VALUE"""),"Tucumán")</f>
        <v>Tucumán</v>
      </c>
      <c r="D1873" s="30" t="str">
        <f ca="1">IFERROR(__xludf.DUMMYFUNCTION("""COMPUTED_VALUE"""),"90")</f>
        <v>90</v>
      </c>
      <c r="E1873" s="30" t="str">
        <f ca="1">IFERROR(__xludf.DUMMYFUNCTION("""COMPUTED_VALUE"""),"")</f>
        <v/>
      </c>
      <c r="F1873" s="29"/>
      <c r="G1873" s="29"/>
      <c r="H1873" s="30" t="str">
        <f ca="1">IFERROR(__xludf.DUMMYFUNCTION("""COMPUTED_VALUE"""),"activo")</f>
        <v>activo</v>
      </c>
      <c r="I1873" s="29"/>
      <c r="J1873" s="29"/>
      <c r="K1873" s="29"/>
      <c r="L1873" s="30" t="str">
        <f ca="1">IFERROR(__xludf.DUMMYFUNCTION("""COMPUTED_VALUE"""),"No")</f>
        <v>No</v>
      </c>
      <c r="M1873" s="30" t="str">
        <f ca="1">IFERROR(__xludf.DUMMYFUNCTION("""COMPUTED_VALUE"""),"90014070000")</f>
        <v>90014070000</v>
      </c>
      <c r="N1873" s="30" t="str">
        <f ca="1">IFERROR(__xludf.DUMMYFUNCTION("""COMPUTED_VALUE"""),"EL BRACHO")</f>
        <v>EL BRACHO</v>
      </c>
      <c r="O1873" s="30" t="str">
        <f ca="1">IFERROR(__xludf.DUMMYFUNCTION("""COMPUTED_VALUE"""),"9014")</f>
        <v>9014</v>
      </c>
      <c r="P1873" s="30" t="str">
        <f ca="1">IFERROR(__xludf.DUMMYFUNCTION("""COMPUTED_VALUE"""),"CRUZ ALTA")</f>
        <v>CRUZ ALTA</v>
      </c>
      <c r="Q1873" s="30" t="str">
        <f ca="1">IFERROR(__xludf.DUMMYFUNCTION("""COMPUTED_VALUE"""),"-26.996201")</f>
        <v>-26.996201</v>
      </c>
      <c r="R1873" s="30" t="str">
        <f ca="1">IFERROR(__xludf.DUMMYFUNCTION("""COMPUTED_VALUE"""),"-65.183494")</f>
        <v>-65.183494</v>
      </c>
      <c r="S1873" s="30" t="str">
        <f ca="1">IFERROR(__xludf.DUMMYFUNCTION("""COMPUTED_VALUE"""),"Provincial")</f>
        <v>Provincial</v>
      </c>
      <c r="T1873" s="30" t="str">
        <f ca="1">IFERROR(__xludf.DUMMYFUNCTION("""COMPUTED_VALUE"""),"-")</f>
        <v>-</v>
      </c>
    </row>
    <row r="1874" spans="1:20" ht="15.75" customHeight="1" x14ac:dyDescent="0.25">
      <c r="A1874" s="30" t="str">
        <f ca="1">IFERROR(__xludf.DUMMYFUNCTION("""COMPUTED_VALUE"""),"50900072196406")</f>
        <v>50900072196406</v>
      </c>
      <c r="B1874" s="30" t="str">
        <f ca="1">IFERROR(__xludf.DUMMYFUNCTION("""COMPUTED_VALUE"""),"CIC LA RAMADA")</f>
        <v>CIC LA RAMADA</v>
      </c>
      <c r="C1874" s="30" t="str">
        <f ca="1">IFERROR(__xludf.DUMMYFUNCTION("""COMPUTED_VALUE"""),"Tucumán")</f>
        <v>Tucumán</v>
      </c>
      <c r="D1874" s="30" t="str">
        <f ca="1">IFERROR(__xludf.DUMMYFUNCTION("""COMPUTED_VALUE"""),"90")</f>
        <v>90</v>
      </c>
      <c r="E1874" s="30" t="str">
        <f ca="1">IFERROR(__xludf.DUMMYFUNCTION("""COMPUTED_VALUE"""),"")</f>
        <v/>
      </c>
      <c r="F1874" s="29"/>
      <c r="G1874" s="29"/>
      <c r="H1874" s="30" t="str">
        <f ca="1">IFERROR(__xludf.DUMMYFUNCTION("""COMPUTED_VALUE"""),"activo")</f>
        <v>activo</v>
      </c>
      <c r="I1874" s="29"/>
      <c r="J1874" s="29"/>
      <c r="K1874" s="29"/>
      <c r="L1874" s="30" t="str">
        <f ca="1">IFERROR(__xludf.DUMMYFUNCTION("""COMPUTED_VALUE"""),"No")</f>
        <v>No</v>
      </c>
      <c r="M1874" s="30" t="str">
        <f ca="1">IFERROR(__xludf.DUMMYFUNCTION("""COMPUTED_VALUE"""),"90007050000")</f>
        <v>90007050000</v>
      </c>
      <c r="N1874" s="30" t="str">
        <f ca="1">IFERROR(__xludf.DUMMYFUNCTION("""COMPUTED_VALUE"""),"LA RAMADA")</f>
        <v>LA RAMADA</v>
      </c>
      <c r="O1874" s="30" t="str">
        <f ca="1">IFERROR(__xludf.DUMMYFUNCTION("""COMPUTED_VALUE"""),"907")</f>
        <v>907</v>
      </c>
      <c r="P1874" s="30" t="str">
        <f ca="1">IFERROR(__xludf.DUMMYFUNCTION("""COMPUTED_VALUE"""),"BURRUYACÚ")</f>
        <v>BURRUYACÚ</v>
      </c>
      <c r="Q1874" s="30" t="str">
        <f ca="1">IFERROR(__xludf.DUMMYFUNCTION("""COMPUTED_VALUE"""),"-26.68789")</f>
        <v>-26.68789</v>
      </c>
      <c r="R1874" s="30" t="str">
        <f ca="1">IFERROR(__xludf.DUMMYFUNCTION("""COMPUTED_VALUE"""),"-64.945226")</f>
        <v>-64.945226</v>
      </c>
      <c r="S1874" s="30" t="str">
        <f ca="1">IFERROR(__xludf.DUMMYFUNCTION("""COMPUTED_VALUE"""),"Provincial")</f>
        <v>Provincial</v>
      </c>
      <c r="T1874" s="30" t="str">
        <f ca="1">IFERROR(__xludf.DUMMYFUNCTION("""COMPUTED_VALUE"""),"-")</f>
        <v>-</v>
      </c>
    </row>
    <row r="1875" spans="1:20" ht="15.75" customHeight="1" x14ac:dyDescent="0.25">
      <c r="A1875" s="30" t="str">
        <f ca="1">IFERROR(__xludf.DUMMYFUNCTION("""COMPUTED_VALUE"""),"50900142196117")</f>
        <v>50900142196117</v>
      </c>
      <c r="B1875" s="30" t="str">
        <f ca="1">IFERROR(__xludf.DUMMYFUNCTION("""COMPUTED_VALUE"""),"CAPS DELFIN GALLO")</f>
        <v>CAPS DELFIN GALLO</v>
      </c>
      <c r="C1875" s="30" t="str">
        <f ca="1">IFERROR(__xludf.DUMMYFUNCTION("""COMPUTED_VALUE"""),"Tucumán")</f>
        <v>Tucumán</v>
      </c>
      <c r="D1875" s="30" t="str">
        <f ca="1">IFERROR(__xludf.DUMMYFUNCTION("""COMPUTED_VALUE"""),"90")</f>
        <v>90</v>
      </c>
      <c r="E1875" s="30" t="str">
        <f ca="1">IFERROR(__xludf.DUMMYFUNCTION("""COMPUTED_VALUE"""),"")</f>
        <v/>
      </c>
      <c r="F1875" s="29"/>
      <c r="G1875" s="30" t="str">
        <f ca="1">IFERROR(__xludf.DUMMYFUNCTION("""COMPUTED_VALUE"""),"50900142196189")</f>
        <v>50900142196189</v>
      </c>
      <c r="H1875" s="30" t="str">
        <f ca="1">IFERROR(__xludf.DUMMYFUNCTION("""COMPUTED_VALUE"""),"activo")</f>
        <v>activo</v>
      </c>
      <c r="I1875" s="29"/>
      <c r="J1875" s="29"/>
      <c r="K1875" s="29"/>
      <c r="L1875" s="30" t="str">
        <f ca="1">IFERROR(__xludf.DUMMYFUNCTION("""COMPUTED_VALUE"""),"No")</f>
        <v>No</v>
      </c>
      <c r="M1875" s="30" t="str">
        <f ca="1">IFERROR(__xludf.DUMMYFUNCTION("""COMPUTED_VALUE"""),"90014060")</f>
        <v>90014060</v>
      </c>
      <c r="N1875" s="30" t="str">
        <f ca="1">IFERROR(__xludf.DUMMYFUNCTION("""COMPUTED_VALUE"""),"DELFÍN GALLO")</f>
        <v>DELFÍN GALLO</v>
      </c>
      <c r="O1875" s="30" t="str">
        <f ca="1">IFERROR(__xludf.DUMMYFUNCTION("""COMPUTED_VALUE"""),"9014")</f>
        <v>9014</v>
      </c>
      <c r="P1875" s="30" t="str">
        <f ca="1">IFERROR(__xludf.DUMMYFUNCTION("""COMPUTED_VALUE"""),"CRUZ ALTA")</f>
        <v>CRUZ ALTA</v>
      </c>
      <c r="Q1875" s="30" t="str">
        <f ca="1">IFERROR(__xludf.DUMMYFUNCTION("""COMPUTED_VALUE"""),"-26.844194")</f>
        <v>-26.844194</v>
      </c>
      <c r="R1875" s="30" t="str">
        <f ca="1">IFERROR(__xludf.DUMMYFUNCTION("""COMPUTED_VALUE"""),"-65.095057")</f>
        <v>-65.095057</v>
      </c>
      <c r="S1875" s="30" t="str">
        <f ca="1">IFERROR(__xludf.DUMMYFUNCTION("""COMPUTED_VALUE"""),"Provincial")</f>
        <v>Provincial</v>
      </c>
      <c r="T1875" s="30" t="str">
        <f ca="1">IFERROR(__xludf.DUMMYFUNCTION("""COMPUTED_VALUE"""),"-")</f>
        <v>-</v>
      </c>
    </row>
    <row r="1876" spans="1:20" ht="15.75" customHeight="1" x14ac:dyDescent="0.25">
      <c r="A1876" s="30" t="str">
        <f ca="1">IFERROR(__xludf.DUMMYFUNCTION("""COMPUTED_VALUE"""),"50900142196189")</f>
        <v>50900142196189</v>
      </c>
      <c r="B1876" s="30" t="str">
        <f ca="1">IFERROR(__xludf.DUMMYFUNCTION("""COMPUTED_VALUE"""),"CAPS LOS BULACIO")</f>
        <v>CAPS LOS BULACIO</v>
      </c>
      <c r="C1876" s="30" t="str">
        <f ca="1">IFERROR(__xludf.DUMMYFUNCTION("""COMPUTED_VALUE"""),"Tucumán")</f>
        <v>Tucumán</v>
      </c>
      <c r="D1876" s="30" t="str">
        <f ca="1">IFERROR(__xludf.DUMMYFUNCTION("""COMPUTED_VALUE"""),"90")</f>
        <v>90</v>
      </c>
      <c r="E1876" s="30" t="str">
        <f ca="1">IFERROR(__xludf.DUMMYFUNCTION("""COMPUTED_VALUE"""),"")</f>
        <v/>
      </c>
      <c r="F1876" s="30" t="str">
        <f ca="1">IFERROR(__xludf.DUMMYFUNCTION("""COMPUTED_VALUE"""),"50900142196117")</f>
        <v>50900142196117</v>
      </c>
      <c r="G1876" s="29"/>
      <c r="H1876" s="30" t="str">
        <f ca="1">IFERROR(__xludf.DUMMYFUNCTION("""COMPUTED_VALUE"""),"activo")</f>
        <v>activo</v>
      </c>
      <c r="I1876" s="29"/>
      <c r="J1876" s="29"/>
      <c r="K1876" s="29"/>
      <c r="L1876" s="30" t="str">
        <f ca="1">IFERROR(__xludf.DUMMYFUNCTION("""COMPUTED_VALUE"""),"No")</f>
        <v>No</v>
      </c>
      <c r="M1876" s="30" t="str">
        <f ca="1">IFERROR(__xludf.DUMMYFUNCTION("""COMPUTED_VALUE"""),"90014000177")</f>
        <v>90014000177</v>
      </c>
      <c r="N1876" s="30" t="str">
        <f ca="1">IFERROR(__xludf.DUMMYFUNCTION("""COMPUTED_VALUE"""),"LOS BULACIOS")</f>
        <v>LOS BULACIOS</v>
      </c>
      <c r="O1876" s="30" t="str">
        <f ca="1">IFERROR(__xludf.DUMMYFUNCTION("""COMPUTED_VALUE"""),"9014")</f>
        <v>9014</v>
      </c>
      <c r="P1876" s="30" t="str">
        <f ca="1">IFERROR(__xludf.DUMMYFUNCTION("""COMPUTED_VALUE"""),"CRUZ ALTA")</f>
        <v>CRUZ ALTA</v>
      </c>
      <c r="Q1876" s="30" t="str">
        <f ca="1">IFERROR(__xludf.DUMMYFUNCTION("""COMPUTED_VALUE"""),"-26.993861")</f>
        <v>-26.993861</v>
      </c>
      <c r="R1876" s="30" t="str">
        <f ca="1">IFERROR(__xludf.DUMMYFUNCTION("""COMPUTED_VALUE"""),"-65.221116")</f>
        <v>-65.221116</v>
      </c>
      <c r="S1876" s="30" t="str">
        <f ca="1">IFERROR(__xludf.DUMMYFUNCTION("""COMPUTED_VALUE"""),"Provincial")</f>
        <v>Provincial</v>
      </c>
      <c r="T1876" s="30" t="str">
        <f ca="1">IFERROR(__xludf.DUMMYFUNCTION("""COMPUTED_VALUE"""),"-")</f>
        <v>-</v>
      </c>
    </row>
    <row r="1877" spans="1:20" ht="15.75" customHeight="1" x14ac:dyDescent="0.25">
      <c r="A1877" s="30" t="str">
        <f ca="1">IFERROR(__xludf.DUMMYFUNCTION("""COMPUTED_VALUE"""),"10900562196020")</f>
        <v>10900562196020</v>
      </c>
      <c r="B1877" s="30" t="str">
        <f ca="1">IFERROR(__xludf.DUMMYFUNCTION("""COMPUTED_VALUE"""),"HOSPITAL ESTACION ARAOZ")</f>
        <v>HOSPITAL ESTACION ARAOZ</v>
      </c>
      <c r="C1877" s="30" t="str">
        <f ca="1">IFERROR(__xludf.DUMMYFUNCTION("""COMPUTED_VALUE"""),"Tucumán")</f>
        <v>Tucumán</v>
      </c>
      <c r="D1877" s="30" t="str">
        <f ca="1">IFERROR(__xludf.DUMMYFUNCTION("""COMPUTED_VALUE"""),"90")</f>
        <v>90</v>
      </c>
      <c r="E1877" s="30" t="str">
        <f ca="1">IFERROR(__xludf.DUMMYFUNCTION("""COMPUTED_VALUE"""),"")</f>
        <v/>
      </c>
      <c r="F1877" s="29"/>
      <c r="G1877" s="29"/>
      <c r="H1877" s="30" t="str">
        <f ca="1">IFERROR(__xludf.DUMMYFUNCTION("""COMPUTED_VALUE"""),"activo")</f>
        <v>activo</v>
      </c>
      <c r="I1877" s="29"/>
      <c r="J1877" s="29"/>
      <c r="K1877" s="29"/>
      <c r="L1877" s="30" t="str">
        <f ca="1">IFERROR(__xludf.DUMMYFUNCTION("""COMPUTED_VALUE"""),"No")</f>
        <v>No</v>
      </c>
      <c r="M1877" s="30" t="str">
        <f ca="1">IFERROR(__xludf.DUMMYFUNCTION("""COMPUTED_VALUE"""),"90056020000")</f>
        <v>90056020000</v>
      </c>
      <c r="N1877" s="30" t="str">
        <f ca="1">IFERROR(__xludf.DUMMYFUNCTION("""COMPUTED_VALUE"""),"ESTACION ARAOZ")</f>
        <v>ESTACION ARAOZ</v>
      </c>
      <c r="O1877" s="30" t="str">
        <f ca="1">IFERROR(__xludf.DUMMYFUNCTION("""COMPUTED_VALUE"""),"9056")</f>
        <v>9056</v>
      </c>
      <c r="P1877" s="30" t="str">
        <f ca="1">IFERROR(__xludf.DUMMYFUNCTION("""COMPUTED_VALUE"""),"LEALES")</f>
        <v>LEALES</v>
      </c>
      <c r="Q1877" s="30" t="str">
        <f ca="1">IFERROR(__xludf.DUMMYFUNCTION("""COMPUTED_VALUE"""),"-27.056609")</f>
        <v>-27.056609</v>
      </c>
      <c r="R1877" s="30" t="str">
        <f ca="1">IFERROR(__xludf.DUMMYFUNCTION("""COMPUTED_VALUE"""),"-64.921088")</f>
        <v>-64.921088</v>
      </c>
      <c r="S1877" s="30" t="str">
        <f ca="1">IFERROR(__xludf.DUMMYFUNCTION("""COMPUTED_VALUE"""),"Provincial")</f>
        <v>Provincial</v>
      </c>
      <c r="T1877" s="30" t="str">
        <f ca="1">IFERROR(__xludf.DUMMYFUNCTION("""COMPUTED_VALUE"""),"-")</f>
        <v>-</v>
      </c>
    </row>
    <row r="1878" spans="1:20" ht="15.75" customHeight="1" x14ac:dyDescent="0.25">
      <c r="A1878" s="30" t="str">
        <f ca="1">IFERROR(__xludf.DUMMYFUNCTION("""COMPUTED_VALUE"""),"10900772196031")</f>
        <v>10900772196031</v>
      </c>
      <c r="B1878" s="30" t="str">
        <f ca="1">IFERROR(__xludf.DUMMYFUNCTION("""COMPUTED_VALUE"""),"HOSPITAL SANTA ANA")</f>
        <v>HOSPITAL SANTA ANA</v>
      </c>
      <c r="C1878" s="30" t="str">
        <f ca="1">IFERROR(__xludf.DUMMYFUNCTION("""COMPUTED_VALUE"""),"Tucumán")</f>
        <v>Tucumán</v>
      </c>
      <c r="D1878" s="30" t="str">
        <f ca="1">IFERROR(__xludf.DUMMYFUNCTION("""COMPUTED_VALUE"""),"90")</f>
        <v>90</v>
      </c>
      <c r="E1878" s="30" t="str">
        <f ca="1">IFERROR(__xludf.DUMMYFUNCTION("""COMPUTED_VALUE"""),"")</f>
        <v/>
      </c>
      <c r="F1878" s="29"/>
      <c r="G1878" s="29"/>
      <c r="H1878" s="30" t="str">
        <f ca="1">IFERROR(__xludf.DUMMYFUNCTION("""COMPUTED_VALUE"""),"activo")</f>
        <v>activo</v>
      </c>
      <c r="I1878" s="29"/>
      <c r="J1878" s="29"/>
      <c r="K1878" s="29"/>
      <c r="L1878" s="30" t="str">
        <f ca="1">IFERROR(__xludf.DUMMYFUNCTION("""COMPUTED_VALUE"""),"No")</f>
        <v>No</v>
      </c>
      <c r="M1878" s="30" t="str">
        <f ca="1">IFERROR(__xludf.DUMMYFUNCTION("""COMPUTED_VALUE"""),"90077040000")</f>
        <v>90077040000</v>
      </c>
      <c r="N1878" s="30" t="str">
        <f ca="1">IFERROR(__xludf.DUMMYFUNCTION("""COMPUTED_VALUE"""),"SANTA ANA")</f>
        <v>SANTA ANA</v>
      </c>
      <c r="O1878" s="30" t="str">
        <f ca="1">IFERROR(__xludf.DUMMYFUNCTION("""COMPUTED_VALUE"""),"9077")</f>
        <v>9077</v>
      </c>
      <c r="P1878" s="30" t="str">
        <f ca="1">IFERROR(__xludf.DUMMYFUNCTION("""COMPUTED_VALUE"""),"RÍO CHICO")</f>
        <v>RÍO CHICO</v>
      </c>
      <c r="Q1878" s="30" t="str">
        <f ca="1">IFERROR(__xludf.DUMMYFUNCTION("""COMPUTED_VALUE"""),"-27.476573")</f>
        <v>-27.476573</v>
      </c>
      <c r="R1878" s="30" t="str">
        <f ca="1">IFERROR(__xludf.DUMMYFUNCTION("""COMPUTED_VALUE"""),"-65.682339")</f>
        <v>-65.682339</v>
      </c>
      <c r="S1878" s="30" t="str">
        <f ca="1">IFERROR(__xludf.DUMMYFUNCTION("""COMPUTED_VALUE"""),"Provincial")</f>
        <v>Provincial</v>
      </c>
      <c r="T1878" s="30" t="str">
        <f ca="1">IFERROR(__xludf.DUMMYFUNCTION("""COMPUTED_VALUE"""),"-")</f>
        <v>-</v>
      </c>
    </row>
    <row r="1879" spans="1:20" ht="15.75" customHeight="1" x14ac:dyDescent="0.25">
      <c r="A1879" s="30" t="str">
        <f ca="1">IFERROR(__xludf.DUMMYFUNCTION("""COMPUTED_VALUE"""),"10900352196005")</f>
        <v>10900352196005</v>
      </c>
      <c r="B1879" s="30" t="str">
        <f ca="1">IFERROR(__xludf.DUMMYFUNCTION("""COMPUTED_VALUE"""),"HOSPITAL DR. RAMON H. MAZA")</f>
        <v>HOSPITAL DR. RAMON H. MAZA</v>
      </c>
      <c r="C1879" s="30" t="str">
        <f ca="1">IFERROR(__xludf.DUMMYFUNCTION("""COMPUTED_VALUE"""),"Tucumán")</f>
        <v>Tucumán</v>
      </c>
      <c r="D1879" s="30" t="str">
        <f ca="1">IFERROR(__xludf.DUMMYFUNCTION("""COMPUTED_VALUE"""),"90")</f>
        <v>90</v>
      </c>
      <c r="E1879" s="30" t="str">
        <f ca="1">IFERROR(__xludf.DUMMYFUNCTION("""COMPUTED_VALUE"""),"")</f>
        <v/>
      </c>
      <c r="F1879" s="29"/>
      <c r="G1879" s="29"/>
      <c r="H1879" s="30" t="str">
        <f ca="1">IFERROR(__xludf.DUMMYFUNCTION("""COMPUTED_VALUE"""),"activo")</f>
        <v>activo</v>
      </c>
      <c r="I1879" s="29"/>
      <c r="J1879" s="29"/>
      <c r="K1879" s="29"/>
      <c r="L1879" s="30" t="str">
        <f ca="1">IFERROR(__xludf.DUMMYFUNCTION("""COMPUTED_VALUE"""),"No")</f>
        <v>No</v>
      </c>
      <c r="M1879" s="30" t="str">
        <f ca="1">IFERROR(__xludf.DUMMYFUNCTION("""COMPUTED_VALUE"""),"90035020000")</f>
        <v>90035020000</v>
      </c>
      <c r="N1879" s="30" t="str">
        <f ca="1">IFERROR(__xludf.DUMMYFUNCTION("""COMPUTED_VALUE"""),"LAMADRID")</f>
        <v>LAMADRID</v>
      </c>
      <c r="O1879" s="30" t="str">
        <f ca="1">IFERROR(__xludf.DUMMYFUNCTION("""COMPUTED_VALUE"""),"9035")</f>
        <v>9035</v>
      </c>
      <c r="P1879" s="30" t="str">
        <f ca="1">IFERROR(__xludf.DUMMYFUNCTION("""COMPUTED_VALUE"""),"GRANEROS")</f>
        <v>GRANEROS</v>
      </c>
      <c r="Q1879" s="30" t="str">
        <f ca="1">IFERROR(__xludf.DUMMYFUNCTION("""COMPUTED_VALUE"""),"-27.643056")</f>
        <v>-27.643056</v>
      </c>
      <c r="R1879" s="30" t="str">
        <f ca="1">IFERROR(__xludf.DUMMYFUNCTION("""COMPUTED_VALUE"""),"-65.252745")</f>
        <v>-65.252745</v>
      </c>
      <c r="S1879" s="30" t="str">
        <f ca="1">IFERROR(__xludf.DUMMYFUNCTION("""COMPUTED_VALUE"""),"Provincial")</f>
        <v>Provincial</v>
      </c>
      <c r="T1879" s="30" t="str">
        <f ca="1">IFERROR(__xludf.DUMMYFUNCTION("""COMPUTED_VALUE"""),"-")</f>
        <v>-</v>
      </c>
    </row>
    <row r="1880" spans="1:20" ht="15.75" customHeight="1" x14ac:dyDescent="0.25">
      <c r="A1880" s="30" t="str">
        <f ca="1">IFERROR(__xludf.DUMMYFUNCTION("""COMPUTED_VALUE"""),"50900842196195")</f>
        <v>50900842196195</v>
      </c>
      <c r="B1880" s="30" t="str">
        <f ca="1">IFERROR(__xludf.DUMMYFUNCTION("""COMPUTED_VALUE"""),"CAPS MARIA AUXILIADORA")</f>
        <v>CAPS MARIA AUXILIADORA</v>
      </c>
      <c r="C1880" s="30" t="str">
        <f ca="1">IFERROR(__xludf.DUMMYFUNCTION("""COMPUTED_VALUE"""),"Tucumán")</f>
        <v>Tucumán</v>
      </c>
      <c r="D1880" s="30" t="str">
        <f ca="1">IFERROR(__xludf.DUMMYFUNCTION("""COMPUTED_VALUE"""),"90")</f>
        <v>90</v>
      </c>
      <c r="E1880" s="30" t="str">
        <f ca="1">IFERROR(__xludf.DUMMYFUNCTION("""COMPUTED_VALUE"""),"")</f>
        <v/>
      </c>
      <c r="F1880" s="29"/>
      <c r="G1880" s="29"/>
      <c r="H1880" s="30" t="str">
        <f ca="1">IFERROR(__xludf.DUMMYFUNCTION("""COMPUTED_VALUE"""),"activo")</f>
        <v>activo</v>
      </c>
      <c r="I1880" s="29"/>
      <c r="J1880" s="29"/>
      <c r="K1880" s="29"/>
      <c r="L1880" s="30" t="str">
        <f ca="1">IFERROR(__xludf.DUMMYFUNCTION("""COMPUTED_VALUE"""),"No")</f>
        <v>No</v>
      </c>
      <c r="M1880" s="30" t="str">
        <f ca="1">IFERROR(__xludf.DUMMYFUNCTION("""COMPUTED_VALUE"""),"90084010000")</f>
        <v>90084010000</v>
      </c>
      <c r="N1880" s="30" t="str">
        <f ca="1">IFERROR(__xludf.DUMMYFUNCTION("""COMPUTED_VALUE"""),"SAN MIGUEL DE TUCUMAN")</f>
        <v>SAN MIGUEL DE TUCUMAN</v>
      </c>
      <c r="O1880" s="30" t="str">
        <f ca="1">IFERROR(__xludf.DUMMYFUNCTION("""COMPUTED_VALUE"""),"9084")</f>
        <v>9084</v>
      </c>
      <c r="P1880" s="30" t="str">
        <f ca="1">IFERROR(__xludf.DUMMYFUNCTION("""COMPUTED_VALUE"""),"CAPITAL")</f>
        <v>CAPITAL</v>
      </c>
      <c r="Q1880" s="30" t="str">
        <f ca="1">IFERROR(__xludf.DUMMYFUNCTION("""COMPUTED_VALUE"""),"-26.8069748")</f>
        <v>-26.8069748</v>
      </c>
      <c r="R1880" s="30" t="str">
        <f ca="1">IFERROR(__xludf.DUMMYFUNCTION("""COMPUTED_VALUE"""),"-65.2305328")</f>
        <v>-65.2305328</v>
      </c>
      <c r="S1880" s="30" t="str">
        <f ca="1">IFERROR(__xludf.DUMMYFUNCTION("""COMPUTED_VALUE"""),"Provincial")</f>
        <v>Provincial</v>
      </c>
      <c r="T1880" s="30" t="str">
        <f ca="1">IFERROR(__xludf.DUMMYFUNCTION("""COMPUTED_VALUE"""),"-")</f>
        <v>-</v>
      </c>
    </row>
    <row r="1881" spans="1:20" ht="15.75" customHeight="1" x14ac:dyDescent="0.25">
      <c r="A1881" s="30" t="str">
        <f ca="1">IFERROR(__xludf.DUMMYFUNCTION("""COMPUTED_VALUE"""),"10900562196033")</f>
        <v>10900562196033</v>
      </c>
      <c r="B1881" s="30" t="str">
        <f ca="1">IFERROR(__xludf.DUMMYFUNCTION("""COMPUTED_VALUE"""),"HOSPITAL SANTA ROSA DE LEALES")</f>
        <v>HOSPITAL SANTA ROSA DE LEALES</v>
      </c>
      <c r="C1881" s="30" t="str">
        <f ca="1">IFERROR(__xludf.DUMMYFUNCTION("""COMPUTED_VALUE"""),"Tucumán")</f>
        <v>Tucumán</v>
      </c>
      <c r="D1881" s="30" t="str">
        <f ca="1">IFERROR(__xludf.DUMMYFUNCTION("""COMPUTED_VALUE"""),"90")</f>
        <v>90</v>
      </c>
      <c r="E1881" s="30" t="str">
        <f ca="1">IFERROR(__xludf.DUMMYFUNCTION("""COMPUTED_VALUE"""),"")</f>
        <v/>
      </c>
      <c r="F1881" s="29"/>
      <c r="G1881" s="29"/>
      <c r="H1881" s="30" t="str">
        <f ca="1">IFERROR(__xludf.DUMMYFUNCTION("""COMPUTED_VALUE"""),"activo")</f>
        <v>activo</v>
      </c>
      <c r="I1881" s="29"/>
      <c r="J1881" s="29"/>
      <c r="K1881" s="29"/>
      <c r="L1881" s="30" t="str">
        <f ca="1">IFERROR(__xludf.DUMMYFUNCTION("""COMPUTED_VALUE"""),"No")</f>
        <v>No</v>
      </c>
      <c r="M1881" s="30" t="str">
        <f ca="1">IFERROR(__xludf.DUMMYFUNCTION("""COMPUTED_VALUE"""),"90056070000")</f>
        <v>90056070000</v>
      </c>
      <c r="N1881" s="30" t="str">
        <f ca="1">IFERROR(__xludf.DUMMYFUNCTION("""COMPUTED_VALUE"""),"SANTA ROSA DE LEALES")</f>
        <v>SANTA ROSA DE LEALES</v>
      </c>
      <c r="O1881" s="30" t="str">
        <f ca="1">IFERROR(__xludf.DUMMYFUNCTION("""COMPUTED_VALUE"""),"9056")</f>
        <v>9056</v>
      </c>
      <c r="P1881" s="30" t="str">
        <f ca="1">IFERROR(__xludf.DUMMYFUNCTION("""COMPUTED_VALUE"""),"LEALES")</f>
        <v>LEALES</v>
      </c>
      <c r="Q1881" s="30" t="str">
        <f ca="1">IFERROR(__xludf.DUMMYFUNCTION("""COMPUTED_VALUE"""),"-27.137235")</f>
        <v>-27.137235</v>
      </c>
      <c r="R1881" s="30" t="str">
        <f ca="1">IFERROR(__xludf.DUMMYFUNCTION("""COMPUTED_VALUE"""),"-65.260825")</f>
        <v>-65.260825</v>
      </c>
      <c r="S1881" s="30" t="str">
        <f ca="1">IFERROR(__xludf.DUMMYFUNCTION("""COMPUTED_VALUE"""),"Provincial")</f>
        <v>Provincial</v>
      </c>
      <c r="T1881" s="30" t="str">
        <f ca="1">IFERROR(__xludf.DUMMYFUNCTION("""COMPUTED_VALUE"""),"-")</f>
        <v>-</v>
      </c>
    </row>
    <row r="1882" spans="1:20" ht="15.75" customHeight="1" x14ac:dyDescent="0.25">
      <c r="A1882" s="30" t="str">
        <f ca="1">IFERROR(__xludf.DUMMYFUNCTION("""COMPUTED_VALUE"""),"50900142196272")</f>
        <v>50900142196272</v>
      </c>
      <c r="B1882" s="30" t="str">
        <f ca="1">IFERROR(__xludf.DUMMYFUNCTION("""COMPUTED_VALUE"""),"CAPS LA FLORIDA")</f>
        <v>CAPS LA FLORIDA</v>
      </c>
      <c r="C1882" s="30" t="str">
        <f ca="1">IFERROR(__xludf.DUMMYFUNCTION("""COMPUTED_VALUE"""),"Tucumán")</f>
        <v>Tucumán</v>
      </c>
      <c r="D1882" s="30" t="str">
        <f ca="1">IFERROR(__xludf.DUMMYFUNCTION("""COMPUTED_VALUE"""),"90")</f>
        <v>90</v>
      </c>
      <c r="E1882" s="30" t="str">
        <f ca="1">IFERROR(__xludf.DUMMYFUNCTION("""COMPUTED_VALUE"""),"")</f>
        <v/>
      </c>
      <c r="F1882" s="29"/>
      <c r="G1882" s="29"/>
      <c r="H1882" s="30" t="str">
        <f ca="1">IFERROR(__xludf.DUMMYFUNCTION("""COMPUTED_VALUE"""),"activo")</f>
        <v>activo</v>
      </c>
      <c r="I1882" s="29"/>
      <c r="J1882" s="29"/>
      <c r="K1882" s="29"/>
      <c r="L1882" s="30" t="str">
        <f ca="1">IFERROR(__xludf.DUMMYFUNCTION("""COMPUTED_VALUE"""),"No")</f>
        <v>No</v>
      </c>
      <c r="M1882" s="30" t="str">
        <f ca="1">IFERROR(__xludf.DUMMYFUNCTION("""COMPUTED_VALUE"""),"90014080002")</f>
        <v>90014080002</v>
      </c>
      <c r="N1882" s="30" t="str">
        <f ca="1">IFERROR(__xludf.DUMMYFUNCTION("""COMPUTED_VALUE"""),"LA FLORIDA")</f>
        <v>LA FLORIDA</v>
      </c>
      <c r="O1882" s="30" t="str">
        <f ca="1">IFERROR(__xludf.DUMMYFUNCTION("""COMPUTED_VALUE"""),"9014")</f>
        <v>9014</v>
      </c>
      <c r="P1882" s="30" t="str">
        <f ca="1">IFERROR(__xludf.DUMMYFUNCTION("""COMPUTED_VALUE"""),"CRUZ ALTA")</f>
        <v>CRUZ ALTA</v>
      </c>
      <c r="Q1882" s="30" t="str">
        <f ca="1">IFERROR(__xludf.DUMMYFUNCTION("""COMPUTED_VALUE"""),"-26.817779")</f>
        <v>-26.817779</v>
      </c>
      <c r="R1882" s="30" t="str">
        <f ca="1">IFERROR(__xludf.DUMMYFUNCTION("""COMPUTED_VALUE"""),"-65.08371")</f>
        <v>-65.08371</v>
      </c>
      <c r="S1882" s="30" t="str">
        <f ca="1">IFERROR(__xludf.DUMMYFUNCTION("""COMPUTED_VALUE"""),"Provincial")</f>
        <v>Provincial</v>
      </c>
      <c r="T1882" s="30" t="str">
        <f ca="1">IFERROR(__xludf.DUMMYFUNCTION("""COMPUTED_VALUE"""),"-")</f>
        <v>-</v>
      </c>
    </row>
    <row r="1883" spans="1:20" ht="15.75" customHeight="1" x14ac:dyDescent="0.25">
      <c r="A1883" s="30" t="str">
        <f ca="1">IFERROR(__xludf.DUMMYFUNCTION("""COMPUTED_VALUE"""),"10900072196009")</f>
        <v>10900072196009</v>
      </c>
      <c r="B1883" s="30" t="str">
        <f ca="1">IFERROR(__xludf.DUMMYFUNCTION("""COMPUTED_VALUE"""),"HOSPITAL BURRUYACU")</f>
        <v>HOSPITAL BURRUYACU</v>
      </c>
      <c r="C1883" s="30" t="str">
        <f ca="1">IFERROR(__xludf.DUMMYFUNCTION("""COMPUTED_VALUE"""),"Tucumán")</f>
        <v>Tucumán</v>
      </c>
      <c r="D1883" s="30" t="str">
        <f ca="1">IFERROR(__xludf.DUMMYFUNCTION("""COMPUTED_VALUE"""),"90")</f>
        <v>90</v>
      </c>
      <c r="E1883" s="30" t="str">
        <f ca="1">IFERROR(__xludf.DUMMYFUNCTION("""COMPUTED_VALUE"""),"")</f>
        <v/>
      </c>
      <c r="F1883" s="29"/>
      <c r="G1883" s="29"/>
      <c r="H1883" s="30" t="str">
        <f ca="1">IFERROR(__xludf.DUMMYFUNCTION("""COMPUTED_VALUE"""),"activo")</f>
        <v>activo</v>
      </c>
      <c r="I1883" s="29"/>
      <c r="J1883" s="29"/>
      <c r="K1883" s="29"/>
      <c r="L1883" s="30" t="str">
        <f ca="1">IFERROR(__xludf.DUMMYFUNCTION("""COMPUTED_VALUE"""),"No")</f>
        <v>No</v>
      </c>
      <c r="M1883" s="30" t="str">
        <f ca="1">IFERROR(__xludf.DUMMYFUNCTION("""COMPUTED_VALUE"""),"90007100000")</f>
        <v>90007100000</v>
      </c>
      <c r="N1883" s="30" t="str">
        <f ca="1">IFERROR(__xludf.DUMMYFUNCTION("""COMPUTED_VALUE"""),"VILLA BURRUYACU")</f>
        <v>VILLA BURRUYACU</v>
      </c>
      <c r="O1883" s="30" t="str">
        <f ca="1">IFERROR(__xludf.DUMMYFUNCTION("""COMPUTED_VALUE"""),"907")</f>
        <v>907</v>
      </c>
      <c r="P1883" s="30" t="str">
        <f ca="1">IFERROR(__xludf.DUMMYFUNCTION("""COMPUTED_VALUE"""),"BURRUYACÚ")</f>
        <v>BURRUYACÚ</v>
      </c>
      <c r="Q1883" s="30" t="str">
        <f ca="1">IFERROR(__xludf.DUMMYFUNCTION("""COMPUTED_VALUE"""),"-26.501452")</f>
        <v>-26.501452</v>
      </c>
      <c r="R1883" s="30" t="str">
        <f ca="1">IFERROR(__xludf.DUMMYFUNCTION("""COMPUTED_VALUE"""),"-64.743437")</f>
        <v>-64.743437</v>
      </c>
      <c r="S1883" s="30" t="str">
        <f ca="1">IFERROR(__xludf.DUMMYFUNCTION("""COMPUTED_VALUE"""),"Provincial")</f>
        <v>Provincial</v>
      </c>
      <c r="T1883" s="30" t="str">
        <f ca="1">IFERROR(__xludf.DUMMYFUNCTION("""COMPUTED_VALUE"""),"-")</f>
        <v>-</v>
      </c>
    </row>
    <row r="1884" spans="1:20" ht="15.75" customHeight="1" x14ac:dyDescent="0.25">
      <c r="A1884" s="30" t="str">
        <f ca="1">IFERROR(__xludf.DUMMYFUNCTION("""COMPUTED_VALUE"""),"50900142196462")</f>
        <v>50900142196462</v>
      </c>
      <c r="B1884" s="30" t="str">
        <f ca="1">IFERROR(__xludf.DUMMYFUNCTION("""COMPUTED_VALUE"""),"POLICLINICA SANTA RITA")</f>
        <v>POLICLINICA SANTA RITA</v>
      </c>
      <c r="C1884" s="30" t="str">
        <f ca="1">IFERROR(__xludf.DUMMYFUNCTION("""COMPUTED_VALUE"""),"Tucumán")</f>
        <v>Tucumán</v>
      </c>
      <c r="D1884" s="30" t="str">
        <f ca="1">IFERROR(__xludf.DUMMYFUNCTION("""COMPUTED_VALUE"""),"90")</f>
        <v>90</v>
      </c>
      <c r="E1884" s="30" t="str">
        <f ca="1">IFERROR(__xludf.DUMMYFUNCTION("""COMPUTED_VALUE"""),"")</f>
        <v/>
      </c>
      <c r="F1884" s="29"/>
      <c r="G1884" s="29"/>
      <c r="H1884" s="30" t="str">
        <f ca="1">IFERROR(__xludf.DUMMYFUNCTION("""COMPUTED_VALUE"""),"activo")</f>
        <v>activo</v>
      </c>
      <c r="I1884" s="29"/>
      <c r="J1884" s="29"/>
      <c r="K1884" s="29"/>
      <c r="L1884" s="30" t="str">
        <f ca="1">IFERROR(__xludf.DUMMYFUNCTION("""COMPUTED_VALUE"""),"No")</f>
        <v>No</v>
      </c>
      <c r="M1884" s="30" t="str">
        <f ca="1">IFERROR(__xludf.DUMMYFUNCTION("""COMPUTED_VALUE"""),"90014020003")</f>
        <v>90014020003</v>
      </c>
      <c r="N1884" s="30" t="str">
        <f ca="1">IFERROR(__xludf.DUMMYFUNCTION("""COMPUTED_VALUE"""),"LASTENIA")</f>
        <v>LASTENIA</v>
      </c>
      <c r="O1884" s="30" t="str">
        <f ca="1">IFERROR(__xludf.DUMMYFUNCTION("""COMPUTED_VALUE"""),"9014")</f>
        <v>9014</v>
      </c>
      <c r="P1884" s="30" t="str">
        <f ca="1">IFERROR(__xludf.DUMMYFUNCTION("""COMPUTED_VALUE"""),"CRUZ ALTA")</f>
        <v>CRUZ ALTA</v>
      </c>
      <c r="Q1884" s="30" t="str">
        <f ca="1">IFERROR(__xludf.DUMMYFUNCTION("""COMPUTED_VALUE"""),"-26.8620416")</f>
        <v>-26.8620416</v>
      </c>
      <c r="R1884" s="30" t="str">
        <f ca="1">IFERROR(__xludf.DUMMYFUNCTION("""COMPUTED_VALUE"""),"-65.162363")</f>
        <v>-65.162363</v>
      </c>
      <c r="S1884" s="30" t="str">
        <f ca="1">IFERROR(__xludf.DUMMYFUNCTION("""COMPUTED_VALUE"""),"Provincial")</f>
        <v>Provincial</v>
      </c>
      <c r="T1884" s="30" t="str">
        <f ca="1">IFERROR(__xludf.DUMMYFUNCTION("""COMPUTED_VALUE"""),"-")</f>
        <v>-</v>
      </c>
    </row>
    <row r="1885" spans="1:20" ht="15.75" customHeight="1" x14ac:dyDescent="0.25">
      <c r="A1885" s="30" t="str">
        <f ca="1">IFERROR(__xludf.DUMMYFUNCTION("""COMPUTED_VALUE"""),"10900072196021")</f>
        <v>10900072196021</v>
      </c>
      <c r="B1885" s="30" t="str">
        <f ca="1">IFERROR(__xludf.DUMMYFUNCTION("""COMPUTED_VALUE"""),"HOSPITAL GARMENDIA")</f>
        <v>HOSPITAL GARMENDIA</v>
      </c>
      <c r="C1885" s="30" t="str">
        <f ca="1">IFERROR(__xludf.DUMMYFUNCTION("""COMPUTED_VALUE"""),"Tucumán")</f>
        <v>Tucumán</v>
      </c>
      <c r="D1885" s="30" t="str">
        <f ca="1">IFERROR(__xludf.DUMMYFUNCTION("""COMPUTED_VALUE"""),"90")</f>
        <v>90</v>
      </c>
      <c r="E1885" s="30" t="str">
        <f ca="1">IFERROR(__xludf.DUMMYFUNCTION("""COMPUTED_VALUE"""),"")</f>
        <v/>
      </c>
      <c r="F1885" s="29"/>
      <c r="G1885" s="29"/>
      <c r="H1885" s="30" t="str">
        <f ca="1">IFERROR(__xludf.DUMMYFUNCTION("""COMPUTED_VALUE"""),"activo")</f>
        <v>activo</v>
      </c>
      <c r="I1885" s="29"/>
      <c r="J1885" s="29"/>
      <c r="K1885" s="29"/>
      <c r="L1885" s="30" t="str">
        <f ca="1">IFERROR(__xludf.DUMMYFUNCTION("""COMPUTED_VALUE"""),"No")</f>
        <v>No</v>
      </c>
      <c r="M1885" s="30" t="str">
        <f ca="1">IFERROR(__xludf.DUMMYFUNCTION("""COMPUTED_VALUE"""),"90007040000")</f>
        <v>90007040000</v>
      </c>
      <c r="N1885" s="30" t="str">
        <f ca="1">IFERROR(__xludf.DUMMYFUNCTION("""COMPUTED_VALUE"""),"GARMENDIA")</f>
        <v>GARMENDIA</v>
      </c>
      <c r="O1885" s="30" t="str">
        <f ca="1">IFERROR(__xludf.DUMMYFUNCTION("""COMPUTED_VALUE"""),"907")</f>
        <v>907</v>
      </c>
      <c r="P1885" s="30" t="str">
        <f ca="1">IFERROR(__xludf.DUMMYFUNCTION("""COMPUTED_VALUE"""),"BURRUYACÚ")</f>
        <v>BURRUYACÚ</v>
      </c>
      <c r="Q1885" s="30" t="str">
        <f ca="1">IFERROR(__xludf.DUMMYFUNCTION("""COMPUTED_VALUE"""),"-26.569816")</f>
        <v>-26.569816</v>
      </c>
      <c r="R1885" s="30" t="str">
        <f ca="1">IFERROR(__xludf.DUMMYFUNCTION("""COMPUTED_VALUE"""),"-64.559664")</f>
        <v>-64.559664</v>
      </c>
      <c r="S1885" s="30" t="str">
        <f ca="1">IFERROR(__xludf.DUMMYFUNCTION("""COMPUTED_VALUE"""),"Provincial")</f>
        <v>Provincial</v>
      </c>
      <c r="T1885" s="30" t="str">
        <f ca="1">IFERROR(__xludf.DUMMYFUNCTION("""COMPUTED_VALUE"""),"-")</f>
        <v>-</v>
      </c>
    </row>
    <row r="1886" spans="1:20" ht="15.75" customHeight="1" x14ac:dyDescent="0.25">
      <c r="A1886" s="30" t="str">
        <f ca="1">IFERROR(__xludf.DUMMYFUNCTION("""COMPUTED_VALUE"""),"50900142296134")</f>
        <v>50900142296134</v>
      </c>
      <c r="B1886" s="30" t="str">
        <f ca="1">IFERROR(__xludf.DUMMYFUNCTION("""COMPUTED_VALUE"""),"CAPS ALDERETES")</f>
        <v>CAPS ALDERETES</v>
      </c>
      <c r="C1886" s="30" t="str">
        <f ca="1">IFERROR(__xludf.DUMMYFUNCTION("""COMPUTED_VALUE"""),"Tucumán")</f>
        <v>Tucumán</v>
      </c>
      <c r="D1886" s="30" t="str">
        <f ca="1">IFERROR(__xludf.DUMMYFUNCTION("""COMPUTED_VALUE"""),"90")</f>
        <v>90</v>
      </c>
      <c r="E1886" s="30" t="str">
        <f ca="1">IFERROR(__xludf.DUMMYFUNCTION("""COMPUTED_VALUE"""),"")</f>
        <v/>
      </c>
      <c r="F1886" s="29"/>
      <c r="G1886" s="29"/>
      <c r="H1886" s="30" t="str">
        <f ca="1">IFERROR(__xludf.DUMMYFUNCTION("""COMPUTED_VALUE"""),"activo")</f>
        <v>activo</v>
      </c>
      <c r="I1886" s="29"/>
      <c r="J1886" s="29"/>
      <c r="K1886" s="29"/>
      <c r="L1886" s="30" t="str">
        <f ca="1">IFERROR(__xludf.DUMMYFUNCTION("""COMPUTED_VALUE"""),"No")</f>
        <v>No</v>
      </c>
      <c r="M1886" s="30" t="str">
        <f ca="1">IFERROR(__xludf.DUMMYFUNCTION("""COMPUTED_VALUE"""),"90014010001")</f>
        <v>90014010001</v>
      </c>
      <c r="N1886" s="30" t="str">
        <f ca="1">IFERROR(__xludf.DUMMYFUNCTION("""COMPUTED_VALUE"""),"ALDERETES")</f>
        <v>ALDERETES</v>
      </c>
      <c r="O1886" s="30" t="str">
        <f ca="1">IFERROR(__xludf.DUMMYFUNCTION("""COMPUTED_VALUE"""),"9014")</f>
        <v>9014</v>
      </c>
      <c r="P1886" s="30" t="str">
        <f ca="1">IFERROR(__xludf.DUMMYFUNCTION("""COMPUTED_VALUE"""),"CRUZ ALTA")</f>
        <v>CRUZ ALTA</v>
      </c>
      <c r="Q1886" s="30" t="str">
        <f ca="1">IFERROR(__xludf.DUMMYFUNCTION("""COMPUTED_VALUE"""),"-26.885327")</f>
        <v>-26.885327</v>
      </c>
      <c r="R1886" s="30" t="str">
        <f ca="1">IFERROR(__xludf.DUMMYFUNCTION("""COMPUTED_VALUE"""),"-65.0996134")</f>
        <v>-65.0996134</v>
      </c>
      <c r="S1886" s="30" t="str">
        <f ca="1">IFERROR(__xludf.DUMMYFUNCTION("""COMPUTED_VALUE"""),"Provincial")</f>
        <v>Provincial</v>
      </c>
      <c r="T1886" s="30" t="str">
        <f ca="1">IFERROR(__xludf.DUMMYFUNCTION("""COMPUTED_VALUE"""),"-")</f>
        <v>-</v>
      </c>
    </row>
    <row r="1887" spans="1:20" ht="15.75" customHeight="1" x14ac:dyDescent="0.25">
      <c r="A1887" s="30" t="str">
        <f ca="1">IFERROR(__xludf.DUMMYFUNCTION("""COMPUTED_VALUE"""),"50900282196200")</f>
        <v>50900282196200</v>
      </c>
      <c r="B1887" s="30" t="str">
        <f ca="1">IFERROR(__xludf.DUMMYFUNCTION("""COMPUTED_VALUE"""),"CIC NUEVA BAVIERA")</f>
        <v>CIC NUEVA BAVIERA</v>
      </c>
      <c r="C1887" s="30" t="str">
        <f ca="1">IFERROR(__xludf.DUMMYFUNCTION("""COMPUTED_VALUE"""),"Tucumán")</f>
        <v>Tucumán</v>
      </c>
      <c r="D1887" s="30" t="str">
        <f ca="1">IFERROR(__xludf.DUMMYFUNCTION("""COMPUTED_VALUE"""),"90")</f>
        <v>90</v>
      </c>
      <c r="E1887" s="30" t="str">
        <f ca="1">IFERROR(__xludf.DUMMYFUNCTION("""COMPUTED_VALUE"""),"")</f>
        <v/>
      </c>
      <c r="F1887" s="29"/>
      <c r="G1887" s="29"/>
      <c r="H1887" s="30" t="str">
        <f ca="1">IFERROR(__xludf.DUMMYFUNCTION("""COMPUTED_VALUE"""),"activo")</f>
        <v>activo</v>
      </c>
      <c r="I1887" s="29"/>
      <c r="J1887" s="29"/>
      <c r="K1887" s="29"/>
      <c r="L1887" s="30" t="str">
        <f ca="1">IFERROR(__xludf.DUMMYFUNCTION("""COMPUTED_VALUE"""),"No")</f>
        <v>No</v>
      </c>
      <c r="M1887" s="30" t="str">
        <f ca="1">IFERROR(__xludf.DUMMYFUNCTION("""COMPUTED_VALUE"""),"90028030002")</f>
        <v>90028030002</v>
      </c>
      <c r="N1887" s="30" t="str">
        <f ca="1">IFERROR(__xludf.DUMMYFUNCTION("""COMPUTED_VALUE"""),"FAMAILLA")</f>
        <v>FAMAILLA</v>
      </c>
      <c r="O1887" s="30" t="str">
        <f ca="1">IFERROR(__xludf.DUMMYFUNCTION("""COMPUTED_VALUE"""),"9028")</f>
        <v>9028</v>
      </c>
      <c r="P1887" s="30" t="str">
        <f ca="1">IFERROR(__xludf.DUMMYFUNCTION("""COMPUTED_VALUE"""),"FAMAILLÁ")</f>
        <v>FAMAILLÁ</v>
      </c>
      <c r="Q1887" s="30" t="str">
        <f ca="1">IFERROR(__xludf.DUMMYFUNCTION("""COMPUTED_VALUE"""),"-27.070145")</f>
        <v>-27.070145</v>
      </c>
      <c r="R1887" s="30" t="str">
        <f ca="1">IFERROR(__xludf.DUMMYFUNCTION("""COMPUTED_VALUE"""),"-65.397745")</f>
        <v>-65.397745</v>
      </c>
      <c r="S1887" s="30" t="str">
        <f ca="1">IFERROR(__xludf.DUMMYFUNCTION("""COMPUTED_VALUE"""),"Provincial")</f>
        <v>Provincial</v>
      </c>
      <c r="T1887" s="30" t="str">
        <f ca="1">IFERROR(__xludf.DUMMYFUNCTION("""COMPUTED_VALUE"""),"-")</f>
        <v>-</v>
      </c>
    </row>
    <row r="1888" spans="1:20" ht="15.75" customHeight="1" x14ac:dyDescent="0.25">
      <c r="A1888" s="30" t="str">
        <f ca="1">IFERROR(__xludf.DUMMYFUNCTION("""COMPUTED_VALUE"""),"10900422196023")</f>
        <v>10900422196023</v>
      </c>
      <c r="B1888" s="30" t="str">
        <f ca="1">IFERROR(__xludf.DUMMYFUNCTION("""COMPUTED_VALUE"""),"HOSPITAL JUAN B. ALBERDI")</f>
        <v>HOSPITAL JUAN B. ALBERDI</v>
      </c>
      <c r="C1888" s="30" t="str">
        <f ca="1">IFERROR(__xludf.DUMMYFUNCTION("""COMPUTED_VALUE"""),"Tucumán")</f>
        <v>Tucumán</v>
      </c>
      <c r="D1888" s="30" t="str">
        <f ca="1">IFERROR(__xludf.DUMMYFUNCTION("""COMPUTED_VALUE"""),"90")</f>
        <v>90</v>
      </c>
      <c r="E1888" s="30" t="str">
        <f ca="1">IFERROR(__xludf.DUMMYFUNCTION("""COMPUTED_VALUE"""),"")</f>
        <v/>
      </c>
      <c r="F1888" s="29"/>
      <c r="G1888" s="29"/>
      <c r="H1888" s="30" t="str">
        <f ca="1">IFERROR(__xludf.DUMMYFUNCTION("""COMPUTED_VALUE"""),"activo")</f>
        <v>activo</v>
      </c>
      <c r="I1888" s="29"/>
      <c r="J1888" s="29"/>
      <c r="K1888" s="29"/>
      <c r="L1888" s="30" t="str">
        <f ca="1">IFERROR(__xludf.DUMMYFUNCTION("""COMPUTED_VALUE"""),"No")</f>
        <v>No</v>
      </c>
      <c r="M1888" s="30" t="str">
        <f ca="1">IFERROR(__xludf.DUMMYFUNCTION("""COMPUTED_VALUE"""),"90042010000")</f>
        <v>90042010000</v>
      </c>
      <c r="N1888" s="30" t="str">
        <f ca="1">IFERROR(__xludf.DUMMYFUNCTION("""COMPUTED_VALUE"""),"JUAN BAUTISTA ALBERDI")</f>
        <v>JUAN BAUTISTA ALBERDI</v>
      </c>
      <c r="O1888" s="30" t="str">
        <f ca="1">IFERROR(__xludf.DUMMYFUNCTION("""COMPUTED_VALUE"""),"9042")</f>
        <v>9042</v>
      </c>
      <c r="P1888" s="30" t="str">
        <f ca="1">IFERROR(__xludf.DUMMYFUNCTION("""COMPUTED_VALUE"""),"JUAN BAUTISTA ALBERDI")</f>
        <v>JUAN BAUTISTA ALBERDI</v>
      </c>
      <c r="Q1888" s="30" t="str">
        <f ca="1">IFERROR(__xludf.DUMMYFUNCTION("""COMPUTED_VALUE"""),"-27.5826932")</f>
        <v>-27.5826932</v>
      </c>
      <c r="R1888" s="30" t="str">
        <f ca="1">IFERROR(__xludf.DUMMYFUNCTION("""COMPUTED_VALUE"""),"-65.6203485")</f>
        <v>-65.6203485</v>
      </c>
      <c r="S1888" s="30" t="str">
        <f ca="1">IFERROR(__xludf.DUMMYFUNCTION("""COMPUTED_VALUE"""),"Provincial")</f>
        <v>Provincial</v>
      </c>
      <c r="T1888" s="30" t="str">
        <f ca="1">IFERROR(__xludf.DUMMYFUNCTION("""COMPUTED_VALUE"""),"-")</f>
        <v>-</v>
      </c>
    </row>
    <row r="1889" spans="1:20" ht="15.75" customHeight="1" x14ac:dyDescent="0.25">
      <c r="A1889" s="30" t="str">
        <f ca="1">IFERROR(__xludf.DUMMYFUNCTION("""COMPUTED_VALUE"""),"50900562196308")</f>
        <v>50900562196308</v>
      </c>
      <c r="B1889" s="30" t="str">
        <f ca="1">IFERROR(__xludf.DUMMYFUNCTION("""COMPUTED_VALUE"""),"CAPS RIO COLORADO")</f>
        <v>CAPS RIO COLORADO</v>
      </c>
      <c r="C1889" s="30" t="str">
        <f ca="1">IFERROR(__xludf.DUMMYFUNCTION("""COMPUTED_VALUE"""),"Tucumán")</f>
        <v>Tucumán</v>
      </c>
      <c r="D1889" s="30" t="str">
        <f ca="1">IFERROR(__xludf.DUMMYFUNCTION("""COMPUTED_VALUE"""),"90")</f>
        <v>90</v>
      </c>
      <c r="E1889" s="30" t="str">
        <f ca="1">IFERROR(__xludf.DUMMYFUNCTION("""COMPUTED_VALUE"""),"")</f>
        <v/>
      </c>
      <c r="F1889" s="29"/>
      <c r="G1889" s="30" t="str">
        <f ca="1">IFERROR(__xludf.DUMMYFUNCTION("""COMPUTED_VALUE"""),"50900142196196")</f>
        <v>50900142196196</v>
      </c>
      <c r="H1889" s="30" t="str">
        <f ca="1">IFERROR(__xludf.DUMMYFUNCTION("""COMPUTED_VALUE"""),"inactivo")</f>
        <v>inactivo</v>
      </c>
      <c r="I1889" s="29"/>
      <c r="J1889" s="29"/>
      <c r="K1889" s="29"/>
      <c r="L1889" s="30" t="str">
        <f ca="1">IFERROR(__xludf.DUMMYFUNCTION("""COMPUTED_VALUE"""),"No")</f>
        <v>No</v>
      </c>
      <c r="M1889" s="30" t="str">
        <f ca="1">IFERROR(__xludf.DUMMYFUNCTION("""COMPUTED_VALUE"""),"90056060000")</f>
        <v>90056060000</v>
      </c>
      <c r="N1889" s="30" t="str">
        <f ca="1">IFERROR(__xludf.DUMMYFUNCTION("""COMPUTED_VALUE"""),"RIO COLORADO")</f>
        <v>RIO COLORADO</v>
      </c>
      <c r="O1889" s="30" t="str">
        <f ca="1">IFERROR(__xludf.DUMMYFUNCTION("""COMPUTED_VALUE"""),"9056")</f>
        <v>9056</v>
      </c>
      <c r="P1889" s="30" t="str">
        <f ca="1">IFERROR(__xludf.DUMMYFUNCTION("""COMPUTED_VALUE"""),"LEALES")</f>
        <v>LEALES</v>
      </c>
      <c r="Q1889" s="30" t="str">
        <f ca="1">IFERROR(__xludf.DUMMYFUNCTION("""COMPUTED_VALUE"""),"-27.147848")</f>
        <v>-27.147848</v>
      </c>
      <c r="R1889" s="30" t="str">
        <f ca="1">IFERROR(__xludf.DUMMYFUNCTION("""COMPUTED_VALUE"""),"-65.358016")</f>
        <v>-65.358016</v>
      </c>
      <c r="S1889" s="30" t="str">
        <f ca="1">IFERROR(__xludf.DUMMYFUNCTION("""COMPUTED_VALUE"""),"Provincial")</f>
        <v>Provincial</v>
      </c>
      <c r="T1889" s="30" t="str">
        <f ca="1">IFERROR(__xludf.DUMMYFUNCTION("""COMPUTED_VALUE"""),"-")</f>
        <v>-</v>
      </c>
    </row>
    <row r="1890" spans="1:20" ht="15.75" customHeight="1" x14ac:dyDescent="0.25">
      <c r="A1890" s="30" t="str">
        <f ca="1">IFERROR(__xludf.DUMMYFUNCTION("""COMPUTED_VALUE"""),"50900142196196")</f>
        <v>50900142196196</v>
      </c>
      <c r="B1890" s="30" t="str">
        <f ca="1">IFERROR(__xludf.DUMMYFUNCTION("""COMPUTED_VALUE"""),"CAPS MONSEÑOR DIAZ.")</f>
        <v>CAPS MONSEÑOR DIAZ.</v>
      </c>
      <c r="C1890" s="30" t="str">
        <f ca="1">IFERROR(__xludf.DUMMYFUNCTION("""COMPUTED_VALUE"""),"Tucumán")</f>
        <v>Tucumán</v>
      </c>
      <c r="D1890" s="30" t="str">
        <f ca="1">IFERROR(__xludf.DUMMYFUNCTION("""COMPUTED_VALUE"""),"90")</f>
        <v>90</v>
      </c>
      <c r="E1890" s="30" t="str">
        <f ca="1">IFERROR(__xludf.DUMMYFUNCTION("""COMPUTED_VALUE"""),"")</f>
        <v/>
      </c>
      <c r="F1890" s="30" t="str">
        <f ca="1">IFERROR(__xludf.DUMMYFUNCTION("""COMPUTED_VALUE"""),"50900562196308")</f>
        <v>50900562196308</v>
      </c>
      <c r="G1890" s="29"/>
      <c r="H1890" s="30" t="str">
        <f ca="1">IFERROR(__xludf.DUMMYFUNCTION("""COMPUTED_VALUE"""),"activo")</f>
        <v>activo</v>
      </c>
      <c r="I1890" s="29"/>
      <c r="J1890" s="29"/>
      <c r="K1890" s="29"/>
      <c r="L1890" s="30" t="str">
        <f ca="1">IFERROR(__xludf.DUMMYFUNCTION("""COMPUTED_VALUE"""),"No")</f>
        <v>No</v>
      </c>
      <c r="M1890" s="30" t="str">
        <f ca="1">IFERROR(__xludf.DUMMYFUNCTION("""COMPUTED_VALUE"""),"90014020003")</f>
        <v>90014020003</v>
      </c>
      <c r="N1890" s="30" t="str">
        <f ca="1">IFERROR(__xludf.DUMMYFUNCTION("""COMPUTED_VALUE"""),"LASTENIA")</f>
        <v>LASTENIA</v>
      </c>
      <c r="O1890" s="30" t="str">
        <f ca="1">IFERROR(__xludf.DUMMYFUNCTION("""COMPUTED_VALUE"""),"9014")</f>
        <v>9014</v>
      </c>
      <c r="P1890" s="30" t="str">
        <f ca="1">IFERROR(__xludf.DUMMYFUNCTION("""COMPUTED_VALUE"""),"CRUZ ALTA")</f>
        <v>CRUZ ALTA</v>
      </c>
      <c r="Q1890" s="30" t="str">
        <f ca="1">IFERROR(__xludf.DUMMYFUNCTION("""COMPUTED_VALUE"""),"-26.858015")</f>
        <v>-26.858015</v>
      </c>
      <c r="R1890" s="30" t="str">
        <f ca="1">IFERROR(__xludf.DUMMYFUNCTION("""COMPUTED_VALUE"""),"-65.156848")</f>
        <v>-65.156848</v>
      </c>
      <c r="S1890" s="30" t="str">
        <f ca="1">IFERROR(__xludf.DUMMYFUNCTION("""COMPUTED_VALUE"""),"Provincial")</f>
        <v>Provincial</v>
      </c>
      <c r="T1890" s="30" t="str">
        <f ca="1">IFERROR(__xludf.DUMMYFUNCTION("""COMPUTED_VALUE"""),"-")</f>
        <v>-</v>
      </c>
    </row>
    <row r="1891" spans="1:20" ht="15.75" customHeight="1" x14ac:dyDescent="0.25">
      <c r="A1891" s="30" t="str">
        <f ca="1">IFERROR(__xludf.DUMMYFUNCTION("""COMPUTED_VALUE"""),"10900982196016")</f>
        <v>10900982196016</v>
      </c>
      <c r="B1891" s="30" t="str">
        <f ca="1">IFERROR(__xludf.DUMMYFUNCTION("""COMPUTED_VALUE"""),"HOSPITAL DR. ELIAS L. MEDICI TAFI DEL VALLE")</f>
        <v>HOSPITAL DR. ELIAS L. MEDICI TAFI DEL VALLE</v>
      </c>
      <c r="C1891" s="30" t="str">
        <f ca="1">IFERROR(__xludf.DUMMYFUNCTION("""COMPUTED_VALUE"""),"Tucumán")</f>
        <v>Tucumán</v>
      </c>
      <c r="D1891" s="30" t="str">
        <f ca="1">IFERROR(__xludf.DUMMYFUNCTION("""COMPUTED_VALUE"""),"90")</f>
        <v>90</v>
      </c>
      <c r="E1891" s="30" t="str">
        <f ca="1">IFERROR(__xludf.DUMMYFUNCTION("""COMPUTED_VALUE"""),"si")</f>
        <v>si</v>
      </c>
      <c r="F1891" s="29"/>
      <c r="G1891" s="29"/>
      <c r="H1891" s="30" t="str">
        <f ca="1">IFERROR(__xludf.DUMMYFUNCTION("""COMPUTED_VALUE"""),"activo")</f>
        <v>activo</v>
      </c>
      <c r="I1891" s="29"/>
      <c r="J1891" s="29"/>
      <c r="K1891" s="29"/>
      <c r="L1891" s="30" t="str">
        <f ca="1">IFERROR(__xludf.DUMMYFUNCTION("""COMPUTED_VALUE"""),"No")</f>
        <v>No</v>
      </c>
      <c r="M1891" s="30" t="str">
        <f ca="1">IFERROR(__xludf.DUMMYFUNCTION("""COMPUTED_VALUE"""),"90098040000")</f>
        <v>90098040000</v>
      </c>
      <c r="N1891" s="30" t="str">
        <f ca="1">IFERROR(__xludf.DUMMYFUNCTION("""COMPUTED_VALUE"""),"TAFI DEL VALLE")</f>
        <v>TAFI DEL VALLE</v>
      </c>
      <c r="O1891" s="30" t="str">
        <f ca="1">IFERROR(__xludf.DUMMYFUNCTION("""COMPUTED_VALUE"""),"9098")</f>
        <v>9098</v>
      </c>
      <c r="P1891" s="30" t="str">
        <f ca="1">IFERROR(__xludf.DUMMYFUNCTION("""COMPUTED_VALUE"""),"TAFÍ DEL VALLE")</f>
        <v>TAFÍ DEL VALLE</v>
      </c>
      <c r="Q1891" s="30" t="str">
        <f ca="1">IFERROR(__xludf.DUMMYFUNCTION("""COMPUTED_VALUE"""),"-26.849809")</f>
        <v>-26.849809</v>
      </c>
      <c r="R1891" s="30" t="str">
        <f ca="1">IFERROR(__xludf.DUMMYFUNCTION("""COMPUTED_VALUE"""),"-65.710507")</f>
        <v>-65.710507</v>
      </c>
      <c r="S1891" s="30" t="str">
        <f ca="1">IFERROR(__xludf.DUMMYFUNCTION("""COMPUTED_VALUE"""),"Provincial")</f>
        <v>Provincial</v>
      </c>
      <c r="T1891" s="30" t="str">
        <f ca="1">IFERROR(__xludf.DUMMYFUNCTION("""COMPUTED_VALUE"""),"-")</f>
        <v>-</v>
      </c>
    </row>
    <row r="1892" spans="1:20" ht="15.75" customHeight="1" x14ac:dyDescent="0.25">
      <c r="A1892" s="30" t="str">
        <f ca="1">IFERROR(__xludf.DUMMYFUNCTION("""COMPUTED_VALUE"""),"50900632196170")</f>
        <v>50900632196170</v>
      </c>
      <c r="B1892" s="30" t="str">
        <f ca="1">IFERROR(__xludf.DUMMYFUNCTION("""COMPUTED_VALUE"""),"CAPS EL MANANTIAL")</f>
        <v>CAPS EL MANANTIAL</v>
      </c>
      <c r="C1892" s="30" t="str">
        <f ca="1">IFERROR(__xludf.DUMMYFUNCTION("""COMPUTED_VALUE"""),"Tucumán")</f>
        <v>Tucumán</v>
      </c>
      <c r="D1892" s="30" t="str">
        <f ca="1">IFERROR(__xludf.DUMMYFUNCTION("""COMPUTED_VALUE"""),"90")</f>
        <v>90</v>
      </c>
      <c r="E1892" s="30" t="str">
        <f ca="1">IFERROR(__xludf.DUMMYFUNCTION("""COMPUTED_VALUE"""),"")</f>
        <v/>
      </c>
      <c r="F1892" s="29"/>
      <c r="G1892" s="29"/>
      <c r="H1892" s="30" t="str">
        <f ca="1">IFERROR(__xludf.DUMMYFUNCTION("""COMPUTED_VALUE"""),"activo")</f>
        <v>activo</v>
      </c>
      <c r="I1892" s="29"/>
      <c r="J1892" s="29"/>
      <c r="K1892" s="29"/>
      <c r="L1892" s="30" t="str">
        <f ca="1">IFERROR(__xludf.DUMMYFUNCTION("""COMPUTED_VALUE"""),"No")</f>
        <v>No</v>
      </c>
      <c r="M1892" s="30" t="str">
        <f ca="1">IFERROR(__xludf.DUMMYFUNCTION("""COMPUTED_VALUE"""),"90063020002")</f>
        <v>90063020002</v>
      </c>
      <c r="N1892" s="30" t="str">
        <f ca="1">IFERROR(__xludf.DUMMYFUNCTION("""COMPUTED_VALUE"""),"EL MANANTIAL")</f>
        <v>EL MANANTIAL</v>
      </c>
      <c r="O1892" s="30" t="str">
        <f ca="1">IFERROR(__xludf.DUMMYFUNCTION("""COMPUTED_VALUE"""),"9063")</f>
        <v>9063</v>
      </c>
      <c r="P1892" s="30" t="str">
        <f ca="1">IFERROR(__xludf.DUMMYFUNCTION("""COMPUTED_VALUE"""),"LULES")</f>
        <v>LULES</v>
      </c>
      <c r="Q1892" s="30" t="str">
        <f ca="1">IFERROR(__xludf.DUMMYFUNCTION("""COMPUTED_VALUE"""),"-26.8480931")</f>
        <v>-26.8480931</v>
      </c>
      <c r="R1892" s="30" t="str">
        <f ca="1">IFERROR(__xludf.DUMMYFUNCTION("""COMPUTED_VALUE"""),"-65.2826038")</f>
        <v>-65.2826038</v>
      </c>
      <c r="S1892" s="30" t="str">
        <f ca="1">IFERROR(__xludf.DUMMYFUNCTION("""COMPUTED_VALUE"""),"Provincial")</f>
        <v>Provincial</v>
      </c>
      <c r="T1892" s="30" t="str">
        <f ca="1">IFERROR(__xludf.DUMMYFUNCTION("""COMPUTED_VALUE"""),"-")</f>
        <v>-</v>
      </c>
    </row>
    <row r="1893" spans="1:20" ht="15.75" customHeight="1" x14ac:dyDescent="0.25">
      <c r="A1893" s="30" t="str">
        <f ca="1">IFERROR(__xludf.DUMMYFUNCTION("""COMPUTED_VALUE"""),"50900632196274")</f>
        <v>50900632196274</v>
      </c>
      <c r="B1893" s="30" t="str">
        <f ca="1">IFERROR(__xludf.DUMMYFUNCTION("""COMPUTED_VALUE"""),"CAPS LA REDUCCION")</f>
        <v>CAPS LA REDUCCION</v>
      </c>
      <c r="C1893" s="30" t="str">
        <f ca="1">IFERROR(__xludf.DUMMYFUNCTION("""COMPUTED_VALUE"""),"Tucumán")</f>
        <v>Tucumán</v>
      </c>
      <c r="D1893" s="30" t="str">
        <f ca="1">IFERROR(__xludf.DUMMYFUNCTION("""COMPUTED_VALUE"""),"90")</f>
        <v>90</v>
      </c>
      <c r="E1893" s="30" t="str">
        <f ca="1">IFERROR(__xludf.DUMMYFUNCTION("""COMPUTED_VALUE"""),"")</f>
        <v/>
      </c>
      <c r="F1893" s="29"/>
      <c r="G1893" s="29"/>
      <c r="H1893" s="30" t="str">
        <f ca="1">IFERROR(__xludf.DUMMYFUNCTION("""COMPUTED_VALUE"""),"activo")</f>
        <v>activo</v>
      </c>
      <c r="I1893" s="29"/>
      <c r="J1893" s="29"/>
      <c r="K1893" s="29"/>
      <c r="L1893" s="30" t="str">
        <f ca="1">IFERROR(__xludf.DUMMYFUNCTION("""COMPUTED_VALUE"""),"No")</f>
        <v>No</v>
      </c>
      <c r="M1893" s="30" t="str">
        <f ca="1">IFERROR(__xludf.DUMMYFUNCTION("""COMPUTED_VALUE"""),"90063040000")</f>
        <v>90063040000</v>
      </c>
      <c r="N1893" s="30" t="str">
        <f ca="1">IFERROR(__xludf.DUMMYFUNCTION("""COMPUTED_VALUE"""),"LA REDUCCION")</f>
        <v>LA REDUCCION</v>
      </c>
      <c r="O1893" s="30" t="str">
        <f ca="1">IFERROR(__xludf.DUMMYFUNCTION("""COMPUTED_VALUE"""),"9063")</f>
        <v>9063</v>
      </c>
      <c r="P1893" s="30" t="str">
        <f ca="1">IFERROR(__xludf.DUMMYFUNCTION("""COMPUTED_VALUE"""),"LULES")</f>
        <v>LULES</v>
      </c>
      <c r="Q1893" s="30" t="str">
        <f ca="1">IFERROR(__xludf.DUMMYFUNCTION("""COMPUTED_VALUE"""),"-26.955624")</f>
        <v>-26.955624</v>
      </c>
      <c r="R1893" s="30" t="str">
        <f ca="1">IFERROR(__xludf.DUMMYFUNCTION("""COMPUTED_VALUE"""),"-65.352348")</f>
        <v>-65.352348</v>
      </c>
      <c r="S1893" s="30" t="str">
        <f ca="1">IFERROR(__xludf.DUMMYFUNCTION("""COMPUTED_VALUE"""),"Provincial")</f>
        <v>Provincial</v>
      </c>
      <c r="T1893" s="30" t="str">
        <f ca="1">IFERROR(__xludf.DUMMYFUNCTION("""COMPUTED_VALUE"""),"-")</f>
        <v>-</v>
      </c>
    </row>
    <row r="1894" spans="1:20" ht="15.75" customHeight="1" x14ac:dyDescent="0.25">
      <c r="A1894" s="30" t="str">
        <f ca="1">IFERROR(__xludf.DUMMYFUNCTION("""COMPUTED_VALUE"""),"10900912196015")</f>
        <v>10900912196015</v>
      </c>
      <c r="B1894" s="30" t="str">
        <f ca="1">IFERROR(__xludf.DUMMYFUNCTION("""COMPUTED_VALUE"""),"HOSPITAL DR. ALVARO GOMEZ LLUECA SIMOCA")</f>
        <v>HOSPITAL DR. ALVARO GOMEZ LLUECA SIMOCA</v>
      </c>
      <c r="C1894" s="30" t="str">
        <f ca="1">IFERROR(__xludf.DUMMYFUNCTION("""COMPUTED_VALUE"""),"Tucumán")</f>
        <v>Tucumán</v>
      </c>
      <c r="D1894" s="30" t="str">
        <f ca="1">IFERROR(__xludf.DUMMYFUNCTION("""COMPUTED_VALUE"""),"90")</f>
        <v>90</v>
      </c>
      <c r="E1894" s="30" t="str">
        <f ca="1">IFERROR(__xludf.DUMMYFUNCTION("""COMPUTED_VALUE"""),"")</f>
        <v/>
      </c>
      <c r="F1894" s="29"/>
      <c r="G1894" s="29"/>
      <c r="H1894" s="30" t="str">
        <f ca="1">IFERROR(__xludf.DUMMYFUNCTION("""COMPUTED_VALUE"""),"activo")</f>
        <v>activo</v>
      </c>
      <c r="I1894" s="29"/>
      <c r="J1894" s="29"/>
      <c r="K1894" s="29"/>
      <c r="L1894" s="30" t="str">
        <f ca="1">IFERROR(__xludf.DUMMYFUNCTION("""COMPUTED_VALUE"""),"No")</f>
        <v>No</v>
      </c>
      <c r="M1894" s="30" t="str">
        <f ca="1">IFERROR(__xludf.DUMMYFUNCTION("""COMPUTED_VALUE"""),"90091050000")</f>
        <v>90091050000</v>
      </c>
      <c r="N1894" s="30" t="str">
        <f ca="1">IFERROR(__xludf.DUMMYFUNCTION("""COMPUTED_VALUE"""),"SIMOCA")</f>
        <v>SIMOCA</v>
      </c>
      <c r="O1894" s="30" t="str">
        <f ca="1">IFERROR(__xludf.DUMMYFUNCTION("""COMPUTED_VALUE"""),"9091")</f>
        <v>9091</v>
      </c>
      <c r="P1894" s="30" t="str">
        <f ca="1">IFERROR(__xludf.DUMMYFUNCTION("""COMPUTED_VALUE"""),"SIMOCA")</f>
        <v>SIMOCA</v>
      </c>
      <c r="Q1894" s="30" t="str">
        <f ca="1">IFERROR(__xludf.DUMMYFUNCTION("""COMPUTED_VALUE"""),"-27.265364")</f>
        <v>-27.265364</v>
      </c>
      <c r="R1894" s="30" t="str">
        <f ca="1">IFERROR(__xludf.DUMMYFUNCTION("""COMPUTED_VALUE"""),"-65.358053")</f>
        <v>-65.358053</v>
      </c>
      <c r="S1894" s="30" t="str">
        <f ca="1">IFERROR(__xludf.DUMMYFUNCTION("""COMPUTED_VALUE"""),"Provincial")</f>
        <v>Provincial</v>
      </c>
      <c r="T1894" s="30" t="str">
        <f ca="1">IFERROR(__xludf.DUMMYFUNCTION("""COMPUTED_VALUE"""),"-")</f>
        <v>-</v>
      </c>
    </row>
    <row r="1895" spans="1:20" ht="15.75" customHeight="1" x14ac:dyDescent="0.25">
      <c r="A1895" s="30" t="str">
        <f ca="1">IFERROR(__xludf.DUMMYFUNCTION("""COMPUTED_VALUE"""),"10900772196012")</f>
        <v>10900772196012</v>
      </c>
      <c r="B1895" s="30" t="str">
        <f ca="1">IFERROR(__xludf.DUMMYFUNCTION("""COMPUTED_VALUE"""),"HOSPITAL CENTRO DE SALUD AGUILARES")</f>
        <v>HOSPITAL CENTRO DE SALUD AGUILARES</v>
      </c>
      <c r="C1895" s="30" t="str">
        <f ca="1">IFERROR(__xludf.DUMMYFUNCTION("""COMPUTED_VALUE"""),"Tucumán")</f>
        <v>Tucumán</v>
      </c>
      <c r="D1895" s="30" t="str">
        <f ca="1">IFERROR(__xludf.DUMMYFUNCTION("""COMPUTED_VALUE"""),"90")</f>
        <v>90</v>
      </c>
      <c r="E1895" s="30" t="str">
        <f ca="1">IFERROR(__xludf.DUMMYFUNCTION("""COMPUTED_VALUE"""),"")</f>
        <v/>
      </c>
      <c r="F1895" s="29"/>
      <c r="G1895" s="29"/>
      <c r="H1895" s="30" t="str">
        <f ca="1">IFERROR(__xludf.DUMMYFUNCTION("""COMPUTED_VALUE"""),"activo")</f>
        <v>activo</v>
      </c>
      <c r="I1895" s="29"/>
      <c r="J1895" s="29"/>
      <c r="K1895" s="29"/>
      <c r="L1895" s="30" t="str">
        <f ca="1">IFERROR(__xludf.DUMMYFUNCTION("""COMPUTED_VALUE"""),"No")</f>
        <v>No</v>
      </c>
      <c r="M1895" s="30" t="str">
        <f ca="1">IFERROR(__xludf.DUMMYFUNCTION("""COMPUTED_VALUE"""),"90077010001")</f>
        <v>90077010001</v>
      </c>
      <c r="N1895" s="30" t="str">
        <f ca="1">IFERROR(__xludf.DUMMYFUNCTION("""COMPUTED_VALUE"""),"AGUILARES")</f>
        <v>AGUILARES</v>
      </c>
      <c r="O1895" s="30" t="str">
        <f ca="1">IFERROR(__xludf.DUMMYFUNCTION("""COMPUTED_VALUE"""),"9077")</f>
        <v>9077</v>
      </c>
      <c r="P1895" s="30" t="str">
        <f ca="1">IFERROR(__xludf.DUMMYFUNCTION("""COMPUTED_VALUE"""),"RÍO CHICO")</f>
        <v>RÍO CHICO</v>
      </c>
      <c r="Q1895" s="30" t="str">
        <f ca="1">IFERROR(__xludf.DUMMYFUNCTION("""COMPUTED_VALUE"""),"-27.433823")</f>
        <v>-27.433823</v>
      </c>
      <c r="R1895" s="30" t="str">
        <f ca="1">IFERROR(__xludf.DUMMYFUNCTION("""COMPUTED_VALUE"""),"-65.621373")</f>
        <v>-65.621373</v>
      </c>
      <c r="S1895" s="30" t="str">
        <f ca="1">IFERROR(__xludf.DUMMYFUNCTION("""COMPUTED_VALUE"""),"Provincial")</f>
        <v>Provincial</v>
      </c>
      <c r="T1895" s="30" t="str">
        <f ca="1">IFERROR(__xludf.DUMMYFUNCTION("""COMPUTED_VALUE"""),"-")</f>
        <v>-</v>
      </c>
    </row>
    <row r="1896" spans="1:20" ht="15.75" customHeight="1" x14ac:dyDescent="0.25">
      <c r="A1896" s="30" t="str">
        <f ca="1">IFERROR(__xludf.DUMMYFUNCTION("""COMPUTED_VALUE"""),"50900842196140")</f>
        <v>50900842196140</v>
      </c>
      <c r="B1896" s="30" t="str">
        <f ca="1">IFERROR(__xludf.DUMMYFUNCTION("""COMPUTED_VALUE"""),"CAPS ANTARTIDA ARGENTINA")</f>
        <v>CAPS ANTARTIDA ARGENTINA</v>
      </c>
      <c r="C1896" s="30" t="str">
        <f ca="1">IFERROR(__xludf.DUMMYFUNCTION("""COMPUTED_VALUE"""),"Tucumán")</f>
        <v>Tucumán</v>
      </c>
      <c r="D1896" s="30" t="str">
        <f ca="1">IFERROR(__xludf.DUMMYFUNCTION("""COMPUTED_VALUE"""),"90")</f>
        <v>90</v>
      </c>
      <c r="E1896" s="30" t="str">
        <f ca="1">IFERROR(__xludf.DUMMYFUNCTION("""COMPUTED_VALUE"""),"")</f>
        <v/>
      </c>
      <c r="F1896" s="29"/>
      <c r="G1896" s="29"/>
      <c r="H1896" s="30" t="str">
        <f ca="1">IFERROR(__xludf.DUMMYFUNCTION("""COMPUTED_VALUE"""),"activo")</f>
        <v>activo</v>
      </c>
      <c r="I1896" s="29"/>
      <c r="J1896" s="29"/>
      <c r="K1896" s="29"/>
      <c r="L1896" s="30" t="str">
        <f ca="1">IFERROR(__xludf.DUMMYFUNCTION("""COMPUTED_VALUE"""),"No")</f>
        <v>No</v>
      </c>
      <c r="M1896" s="30" t="str">
        <f ca="1">IFERROR(__xludf.DUMMYFUNCTION("""COMPUTED_VALUE"""),"90084010000")</f>
        <v>90084010000</v>
      </c>
      <c r="N1896" s="30" t="str">
        <f ca="1">IFERROR(__xludf.DUMMYFUNCTION("""COMPUTED_VALUE"""),"SAN MIGUEL DE TUCUMAN")</f>
        <v>SAN MIGUEL DE TUCUMAN</v>
      </c>
      <c r="O1896" s="30" t="str">
        <f ca="1">IFERROR(__xludf.DUMMYFUNCTION("""COMPUTED_VALUE"""),"9084")</f>
        <v>9084</v>
      </c>
      <c r="P1896" s="30" t="str">
        <f ca="1">IFERROR(__xludf.DUMMYFUNCTION("""COMPUTED_VALUE"""),"CAPITAL")</f>
        <v>CAPITAL</v>
      </c>
      <c r="Q1896" s="30" t="str">
        <f ca="1">IFERROR(__xludf.DUMMYFUNCTION("""COMPUTED_VALUE"""),"-26.825911")</f>
        <v>-26.825911</v>
      </c>
      <c r="R1896" s="30" t="str">
        <f ca="1">IFERROR(__xludf.DUMMYFUNCTION("""COMPUTED_VALUE"""),"-65.179136")</f>
        <v>-65.179136</v>
      </c>
      <c r="S1896" s="30" t="str">
        <f ca="1">IFERROR(__xludf.DUMMYFUNCTION("""COMPUTED_VALUE"""),"Provincial")</f>
        <v>Provincial</v>
      </c>
      <c r="T1896" s="30" t="str">
        <f ca="1">IFERROR(__xludf.DUMMYFUNCTION("""COMPUTED_VALUE"""),"-")</f>
        <v>-</v>
      </c>
    </row>
    <row r="1897" spans="1:20" ht="15.75" customHeight="1" x14ac:dyDescent="0.25">
      <c r="A1897" s="30" t="str">
        <f ca="1">IFERROR(__xludf.DUMMYFUNCTION("""COMPUTED_VALUE"""),"50900842196150")</f>
        <v>50900842196150</v>
      </c>
      <c r="B1897" s="30" t="str">
        <f ca="1">IFERROR(__xludf.DUMMYFUNCTION("""COMPUTED_VALUE"""),"CAPS CANAL NORTE")</f>
        <v>CAPS CANAL NORTE</v>
      </c>
      <c r="C1897" s="30" t="str">
        <f ca="1">IFERROR(__xludf.DUMMYFUNCTION("""COMPUTED_VALUE"""),"Tucumán")</f>
        <v>Tucumán</v>
      </c>
      <c r="D1897" s="30" t="str">
        <f ca="1">IFERROR(__xludf.DUMMYFUNCTION("""COMPUTED_VALUE"""),"90")</f>
        <v>90</v>
      </c>
      <c r="E1897" s="30" t="str">
        <f ca="1">IFERROR(__xludf.DUMMYFUNCTION("""COMPUTED_VALUE"""),"")</f>
        <v/>
      </c>
      <c r="F1897" s="29"/>
      <c r="G1897" s="29"/>
      <c r="H1897" s="30" t="str">
        <f ca="1">IFERROR(__xludf.DUMMYFUNCTION("""COMPUTED_VALUE"""),"activo")</f>
        <v>activo</v>
      </c>
      <c r="I1897" s="29"/>
      <c r="J1897" s="29"/>
      <c r="K1897" s="29"/>
      <c r="L1897" s="30" t="str">
        <f ca="1">IFERROR(__xludf.DUMMYFUNCTION("""COMPUTED_VALUE"""),"No")</f>
        <v>No</v>
      </c>
      <c r="M1897" s="30" t="str">
        <f ca="1">IFERROR(__xludf.DUMMYFUNCTION("""COMPUTED_VALUE"""),"90084010000")</f>
        <v>90084010000</v>
      </c>
      <c r="N1897" s="30" t="str">
        <f ca="1">IFERROR(__xludf.DUMMYFUNCTION("""COMPUTED_VALUE"""),"SAN MIGUEL DE TUCUMAN")</f>
        <v>SAN MIGUEL DE TUCUMAN</v>
      </c>
      <c r="O1897" s="30" t="str">
        <f ca="1">IFERROR(__xludf.DUMMYFUNCTION("""COMPUTED_VALUE"""),"9084")</f>
        <v>9084</v>
      </c>
      <c r="P1897" s="30" t="str">
        <f ca="1">IFERROR(__xludf.DUMMYFUNCTION("""COMPUTED_VALUE"""),"CAPITAL")</f>
        <v>CAPITAL</v>
      </c>
      <c r="Q1897" s="30" t="str">
        <f ca="1">IFERROR(__xludf.DUMMYFUNCTION("""COMPUTED_VALUE"""),"-26.791846")</f>
        <v>-26.791846</v>
      </c>
      <c r="R1897" s="30" t="str">
        <f ca="1">IFERROR(__xludf.DUMMYFUNCTION("""COMPUTED_VALUE"""),"-65.210252")</f>
        <v>-65.210252</v>
      </c>
      <c r="S1897" s="30" t="str">
        <f ca="1">IFERROR(__xludf.DUMMYFUNCTION("""COMPUTED_VALUE"""),"Provincial")</f>
        <v>Provincial</v>
      </c>
      <c r="T1897" s="30" t="str">
        <f ca="1">IFERROR(__xludf.DUMMYFUNCTION("""COMPUTED_VALUE"""),"-")</f>
        <v>-</v>
      </c>
    </row>
    <row r="1898" spans="1:20" ht="15.75" customHeight="1" x14ac:dyDescent="0.25">
      <c r="A1898" s="30" t="str">
        <f ca="1">IFERROR(__xludf.DUMMYFUNCTION("""COMPUTED_VALUE"""),"50900842196153")</f>
        <v>50900842196153</v>
      </c>
      <c r="B1898" s="30" t="str">
        <f ca="1">IFERROR(__xludf.DUMMYFUNCTION("""COMPUTED_VALUE"""),"CAPS CARLOS CATTANEO")</f>
        <v>CAPS CARLOS CATTANEO</v>
      </c>
      <c r="C1898" s="30" t="str">
        <f ca="1">IFERROR(__xludf.DUMMYFUNCTION("""COMPUTED_VALUE"""),"Tucumán")</f>
        <v>Tucumán</v>
      </c>
      <c r="D1898" s="30" t="str">
        <f ca="1">IFERROR(__xludf.DUMMYFUNCTION("""COMPUTED_VALUE"""),"90")</f>
        <v>90</v>
      </c>
      <c r="E1898" s="30" t="str">
        <f ca="1">IFERROR(__xludf.DUMMYFUNCTION("""COMPUTED_VALUE"""),"")</f>
        <v/>
      </c>
      <c r="F1898" s="29"/>
      <c r="G1898" s="29"/>
      <c r="H1898" s="30" t="str">
        <f ca="1">IFERROR(__xludf.DUMMYFUNCTION("""COMPUTED_VALUE"""),"activo")</f>
        <v>activo</v>
      </c>
      <c r="I1898" s="29"/>
      <c r="J1898" s="29"/>
      <c r="K1898" s="29"/>
      <c r="L1898" s="30" t="str">
        <f ca="1">IFERROR(__xludf.DUMMYFUNCTION("""COMPUTED_VALUE"""),"No")</f>
        <v>No</v>
      </c>
      <c r="M1898" s="30" t="str">
        <f ca="1">IFERROR(__xludf.DUMMYFUNCTION("""COMPUTED_VALUE"""),"90084010000")</f>
        <v>90084010000</v>
      </c>
      <c r="N1898" s="30" t="str">
        <f ca="1">IFERROR(__xludf.DUMMYFUNCTION("""COMPUTED_VALUE"""),"SAN MIGUEL DE TUCUMAN")</f>
        <v>SAN MIGUEL DE TUCUMAN</v>
      </c>
      <c r="O1898" s="30" t="str">
        <f ca="1">IFERROR(__xludf.DUMMYFUNCTION("""COMPUTED_VALUE"""),"9084")</f>
        <v>9084</v>
      </c>
      <c r="P1898" s="30" t="str">
        <f ca="1">IFERROR(__xludf.DUMMYFUNCTION("""COMPUTED_VALUE"""),"CAPITAL")</f>
        <v>CAPITAL</v>
      </c>
      <c r="Q1898" s="30" t="str">
        <f ca="1">IFERROR(__xludf.DUMMYFUNCTION("""COMPUTED_VALUE"""),"-26.813543")</f>
        <v>-26.813543</v>
      </c>
      <c r="R1898" s="30" t="str">
        <f ca="1">IFERROR(__xludf.DUMMYFUNCTION("""COMPUTED_VALUE"""),"-65.176294")</f>
        <v>-65.176294</v>
      </c>
      <c r="S1898" s="30" t="str">
        <f ca="1">IFERROR(__xludf.DUMMYFUNCTION("""COMPUTED_VALUE"""),"Provincial")</f>
        <v>Provincial</v>
      </c>
      <c r="T1898" s="30" t="str">
        <f ca="1">IFERROR(__xludf.DUMMYFUNCTION("""COMPUTED_VALUE"""),"-")</f>
        <v>-</v>
      </c>
    </row>
    <row r="1899" spans="1:20" ht="15.75" customHeight="1" x14ac:dyDescent="0.25">
      <c r="A1899" s="30" t="str">
        <f ca="1">IFERROR(__xludf.DUMMYFUNCTION("""COMPUTED_VALUE"""),"50900842196154")</f>
        <v>50900842196154</v>
      </c>
      <c r="B1899" s="30" t="str">
        <f ca="1">IFERROR(__xludf.DUMMYFUNCTION("""COMPUTED_VALUE"""),"CAPS CARLOS MARIA TORRES")</f>
        <v>CAPS CARLOS MARIA TORRES</v>
      </c>
      <c r="C1899" s="30" t="str">
        <f ca="1">IFERROR(__xludf.DUMMYFUNCTION("""COMPUTED_VALUE"""),"Tucumán")</f>
        <v>Tucumán</v>
      </c>
      <c r="D1899" s="30" t="str">
        <f ca="1">IFERROR(__xludf.DUMMYFUNCTION("""COMPUTED_VALUE"""),"90")</f>
        <v>90</v>
      </c>
      <c r="E1899" s="30" t="str">
        <f ca="1">IFERROR(__xludf.DUMMYFUNCTION("""COMPUTED_VALUE"""),"")</f>
        <v/>
      </c>
      <c r="F1899" s="29"/>
      <c r="G1899" s="29"/>
      <c r="H1899" s="30" t="str">
        <f ca="1">IFERROR(__xludf.DUMMYFUNCTION("""COMPUTED_VALUE"""),"activo")</f>
        <v>activo</v>
      </c>
      <c r="I1899" s="29"/>
      <c r="J1899" s="29"/>
      <c r="K1899" s="29"/>
      <c r="L1899" s="30" t="str">
        <f ca="1">IFERROR(__xludf.DUMMYFUNCTION("""COMPUTED_VALUE"""),"No")</f>
        <v>No</v>
      </c>
      <c r="M1899" s="30" t="str">
        <f ca="1">IFERROR(__xludf.DUMMYFUNCTION("""COMPUTED_VALUE"""),"90084010000")</f>
        <v>90084010000</v>
      </c>
      <c r="N1899" s="30" t="str">
        <f ca="1">IFERROR(__xludf.DUMMYFUNCTION("""COMPUTED_VALUE"""),"SAN MIGUEL DE TUCUMAN")</f>
        <v>SAN MIGUEL DE TUCUMAN</v>
      </c>
      <c r="O1899" s="30" t="str">
        <f ca="1">IFERROR(__xludf.DUMMYFUNCTION("""COMPUTED_VALUE"""),"9084")</f>
        <v>9084</v>
      </c>
      <c r="P1899" s="30" t="str">
        <f ca="1">IFERROR(__xludf.DUMMYFUNCTION("""COMPUTED_VALUE"""),"CAPITAL")</f>
        <v>CAPITAL</v>
      </c>
      <c r="Q1899" s="30" t="str">
        <f ca="1">IFERROR(__xludf.DUMMYFUNCTION("""COMPUTED_VALUE"""),"-26.839053")</f>
        <v>-26.839053</v>
      </c>
      <c r="R1899" s="30" t="str">
        <f ca="1">IFERROR(__xludf.DUMMYFUNCTION("""COMPUTED_VALUE"""),"-65.253414")</f>
        <v>-65.253414</v>
      </c>
      <c r="S1899" s="30" t="str">
        <f ca="1">IFERROR(__xludf.DUMMYFUNCTION("""COMPUTED_VALUE"""),"Provincial")</f>
        <v>Provincial</v>
      </c>
      <c r="T1899" s="30" t="str">
        <f ca="1">IFERROR(__xludf.DUMMYFUNCTION("""COMPUTED_VALUE"""),"-")</f>
        <v>-</v>
      </c>
    </row>
    <row r="1900" spans="1:20" ht="15.75" customHeight="1" x14ac:dyDescent="0.25">
      <c r="A1900" s="30" t="str">
        <f ca="1">IFERROR(__xludf.DUMMYFUNCTION("""COMPUTED_VALUE"""),"50900842196160")</f>
        <v>50900842196160</v>
      </c>
      <c r="B1900" s="30" t="str">
        <f ca="1">IFERROR(__xludf.DUMMYFUNCTION("""COMPUTED_VALUE"""),"CAPS CORAZON DE MARIA")</f>
        <v>CAPS CORAZON DE MARIA</v>
      </c>
      <c r="C1900" s="30" t="str">
        <f ca="1">IFERROR(__xludf.DUMMYFUNCTION("""COMPUTED_VALUE"""),"Tucumán")</f>
        <v>Tucumán</v>
      </c>
      <c r="D1900" s="30" t="str">
        <f ca="1">IFERROR(__xludf.DUMMYFUNCTION("""COMPUTED_VALUE"""),"90")</f>
        <v>90</v>
      </c>
      <c r="E1900" s="30" t="str">
        <f ca="1">IFERROR(__xludf.DUMMYFUNCTION("""COMPUTED_VALUE"""),"")</f>
        <v/>
      </c>
      <c r="F1900" s="29"/>
      <c r="G1900" s="29"/>
      <c r="H1900" s="30" t="str">
        <f ca="1">IFERROR(__xludf.DUMMYFUNCTION("""COMPUTED_VALUE"""),"activo")</f>
        <v>activo</v>
      </c>
      <c r="I1900" s="29"/>
      <c r="J1900" s="29"/>
      <c r="K1900" s="29"/>
      <c r="L1900" s="30" t="str">
        <f ca="1">IFERROR(__xludf.DUMMYFUNCTION("""COMPUTED_VALUE"""),"No")</f>
        <v>No</v>
      </c>
      <c r="M1900" s="30" t="str">
        <f ca="1">IFERROR(__xludf.DUMMYFUNCTION("""COMPUTED_VALUE"""),"90084010000")</f>
        <v>90084010000</v>
      </c>
      <c r="N1900" s="30" t="str">
        <f ca="1">IFERROR(__xludf.DUMMYFUNCTION("""COMPUTED_VALUE"""),"SAN MIGUEL DE TUCUMAN")</f>
        <v>SAN MIGUEL DE TUCUMAN</v>
      </c>
      <c r="O1900" s="30" t="str">
        <f ca="1">IFERROR(__xludf.DUMMYFUNCTION("""COMPUTED_VALUE"""),"9084")</f>
        <v>9084</v>
      </c>
      <c r="P1900" s="30" t="str">
        <f ca="1">IFERROR(__xludf.DUMMYFUNCTION("""COMPUTED_VALUE"""),"CAPITAL")</f>
        <v>CAPITAL</v>
      </c>
      <c r="Q1900" s="30" t="str">
        <f ca="1">IFERROR(__xludf.DUMMYFUNCTION("""COMPUTED_VALUE"""),"-26.860736")</f>
        <v>-26.860736</v>
      </c>
      <c r="R1900" s="30" t="str">
        <f ca="1">IFERROR(__xludf.DUMMYFUNCTION("""COMPUTED_VALUE"""),"-65.232053")</f>
        <v>-65.232053</v>
      </c>
      <c r="S1900" s="30" t="str">
        <f ca="1">IFERROR(__xludf.DUMMYFUNCTION("""COMPUTED_VALUE"""),"Provincial")</f>
        <v>Provincial</v>
      </c>
      <c r="T1900" s="30" t="str">
        <f ca="1">IFERROR(__xludf.DUMMYFUNCTION("""COMPUTED_VALUE"""),"-")</f>
        <v>-</v>
      </c>
    </row>
    <row r="1901" spans="1:20" ht="15.75" customHeight="1" x14ac:dyDescent="0.25">
      <c r="A1901" s="30" t="str">
        <f ca="1">IFERROR(__xludf.DUMMYFUNCTION("""COMPUTED_VALUE"""),"50900842196161")</f>
        <v>50900842196161</v>
      </c>
      <c r="B1901" s="30" t="str">
        <f ca="1">IFERROR(__xludf.DUMMYFUNCTION("""COMPUTED_VALUE"""),"CAPS COSTANERA NORTE")</f>
        <v>CAPS COSTANERA NORTE</v>
      </c>
      <c r="C1901" s="30" t="str">
        <f ca="1">IFERROR(__xludf.DUMMYFUNCTION("""COMPUTED_VALUE"""),"Tucumán")</f>
        <v>Tucumán</v>
      </c>
      <c r="D1901" s="30" t="str">
        <f ca="1">IFERROR(__xludf.DUMMYFUNCTION("""COMPUTED_VALUE"""),"90")</f>
        <v>90</v>
      </c>
      <c r="E1901" s="30" t="str">
        <f ca="1">IFERROR(__xludf.DUMMYFUNCTION("""COMPUTED_VALUE"""),"")</f>
        <v/>
      </c>
      <c r="F1901" s="29"/>
      <c r="G1901" s="29"/>
      <c r="H1901" s="30" t="str">
        <f ca="1">IFERROR(__xludf.DUMMYFUNCTION("""COMPUTED_VALUE"""),"activo")</f>
        <v>activo</v>
      </c>
      <c r="I1901" s="29"/>
      <c r="J1901" s="29"/>
      <c r="K1901" s="29"/>
      <c r="L1901" s="30" t="str">
        <f ca="1">IFERROR(__xludf.DUMMYFUNCTION("""COMPUTED_VALUE"""),"No")</f>
        <v>No</v>
      </c>
      <c r="M1901" s="30" t="str">
        <f ca="1">IFERROR(__xludf.DUMMYFUNCTION("""COMPUTED_VALUE"""),"90084010000")</f>
        <v>90084010000</v>
      </c>
      <c r="N1901" s="30" t="str">
        <f ca="1">IFERROR(__xludf.DUMMYFUNCTION("""COMPUTED_VALUE"""),"SAN MIGUEL DE TUCUMAN")</f>
        <v>SAN MIGUEL DE TUCUMAN</v>
      </c>
      <c r="O1901" s="30" t="str">
        <f ca="1">IFERROR(__xludf.DUMMYFUNCTION("""COMPUTED_VALUE"""),"9084")</f>
        <v>9084</v>
      </c>
      <c r="P1901" s="30" t="str">
        <f ca="1">IFERROR(__xludf.DUMMYFUNCTION("""COMPUTED_VALUE"""),"CAPITAL")</f>
        <v>CAPITAL</v>
      </c>
      <c r="Q1901" s="30" t="str">
        <f ca="1">IFERROR(__xludf.DUMMYFUNCTION("""COMPUTED_VALUE"""),"-26.82878127")</f>
        <v>-26.82878127</v>
      </c>
      <c r="R1901" s="30" t="str">
        <f ca="1">IFERROR(__xludf.DUMMYFUNCTION("""COMPUTED_VALUE"""),"-65.17221808")</f>
        <v>-65.17221808</v>
      </c>
      <c r="S1901" s="30" t="str">
        <f ca="1">IFERROR(__xludf.DUMMYFUNCTION("""COMPUTED_VALUE"""),"Provincial")</f>
        <v>Provincial</v>
      </c>
      <c r="T1901" s="30" t="str">
        <f ca="1">IFERROR(__xludf.DUMMYFUNCTION("""COMPUTED_VALUE"""),"-")</f>
        <v>-</v>
      </c>
    </row>
    <row r="1902" spans="1:20" ht="15.75" customHeight="1" x14ac:dyDescent="0.25">
      <c r="A1902" s="30" t="str">
        <f ca="1">IFERROR(__xludf.DUMMYFUNCTION("""COMPUTED_VALUE"""),"10900142196025")</f>
        <v>10900142196025</v>
      </c>
      <c r="B1902" s="30" t="str">
        <f ca="1">IFERROR(__xludf.DUMMYFUNCTION("""COMPUTED_VALUE"""),"HOSPITAL MARIA AUXILIADORA RANCHILLOS.")</f>
        <v>HOSPITAL MARIA AUXILIADORA RANCHILLOS.</v>
      </c>
      <c r="C1902" s="30" t="str">
        <f ca="1">IFERROR(__xludf.DUMMYFUNCTION("""COMPUTED_VALUE"""),"Tucumán")</f>
        <v>Tucumán</v>
      </c>
      <c r="D1902" s="30" t="str">
        <f ca="1">IFERROR(__xludf.DUMMYFUNCTION("""COMPUTED_VALUE"""),"90")</f>
        <v>90</v>
      </c>
      <c r="E1902" s="30" t="str">
        <f ca="1">IFERROR(__xludf.DUMMYFUNCTION("""COMPUTED_VALUE"""),"")</f>
        <v/>
      </c>
      <c r="F1902" s="29"/>
      <c r="G1902" s="29"/>
      <c r="H1902" s="30" t="str">
        <f ca="1">IFERROR(__xludf.DUMMYFUNCTION("""COMPUTED_VALUE"""),"activo")</f>
        <v>activo</v>
      </c>
      <c r="I1902" s="29"/>
      <c r="J1902" s="29"/>
      <c r="K1902" s="29"/>
      <c r="L1902" s="30" t="str">
        <f ca="1">IFERROR(__xludf.DUMMYFUNCTION("""COMPUTED_VALUE"""),"No")</f>
        <v>No</v>
      </c>
      <c r="M1902" s="30" t="str">
        <f ca="1">IFERROR(__xludf.DUMMYFUNCTION("""COMPUTED_VALUE"""),"90014120000")</f>
        <v>90014120000</v>
      </c>
      <c r="N1902" s="30" t="str">
        <f ca="1">IFERROR(__xludf.DUMMYFUNCTION("""COMPUTED_VALUE"""),"RANCHILLOS")</f>
        <v>RANCHILLOS</v>
      </c>
      <c r="O1902" s="30" t="str">
        <f ca="1">IFERROR(__xludf.DUMMYFUNCTION("""COMPUTED_VALUE"""),"9014")</f>
        <v>9014</v>
      </c>
      <c r="P1902" s="30" t="str">
        <f ca="1">IFERROR(__xludf.DUMMYFUNCTION("""COMPUTED_VALUE"""),"CRUZ ALTA")</f>
        <v>CRUZ ALTA</v>
      </c>
      <c r="Q1902" s="30" t="str">
        <f ca="1">IFERROR(__xludf.DUMMYFUNCTION("""COMPUTED_VALUE"""),"-26.954544")</f>
        <v>-26.954544</v>
      </c>
      <c r="R1902" s="30" t="str">
        <f ca="1">IFERROR(__xludf.DUMMYFUNCTION("""COMPUTED_VALUE"""),"-65.043373")</f>
        <v>-65.043373</v>
      </c>
      <c r="S1902" s="30" t="str">
        <f ca="1">IFERROR(__xludf.DUMMYFUNCTION("""COMPUTED_VALUE"""),"Provincial")</f>
        <v>Provincial</v>
      </c>
      <c r="T1902" s="30" t="str">
        <f ca="1">IFERROR(__xludf.DUMMYFUNCTION("""COMPUTED_VALUE"""),"-")</f>
        <v>-</v>
      </c>
    </row>
    <row r="1903" spans="1:20" ht="15.75" customHeight="1" x14ac:dyDescent="0.25">
      <c r="A1903" s="30" t="str">
        <f ca="1">IFERROR(__xludf.DUMMYFUNCTION("""COMPUTED_VALUE"""),"50900842196178")</f>
        <v>50900842196178</v>
      </c>
      <c r="B1903" s="30" t="str">
        <f ca="1">IFERROR(__xludf.DUMMYFUNCTION("""COMPUTED_VALUE"""),"CAPS EVA DUARTE")</f>
        <v>CAPS EVA DUARTE</v>
      </c>
      <c r="C1903" s="30" t="str">
        <f ca="1">IFERROR(__xludf.DUMMYFUNCTION("""COMPUTED_VALUE"""),"Tucumán")</f>
        <v>Tucumán</v>
      </c>
      <c r="D1903" s="30" t="str">
        <f ca="1">IFERROR(__xludf.DUMMYFUNCTION("""COMPUTED_VALUE"""),"90")</f>
        <v>90</v>
      </c>
      <c r="E1903" s="30" t="str">
        <f ca="1">IFERROR(__xludf.DUMMYFUNCTION("""COMPUTED_VALUE"""),"")</f>
        <v/>
      </c>
      <c r="F1903" s="29"/>
      <c r="G1903" s="29"/>
      <c r="H1903" s="30" t="str">
        <f ca="1">IFERROR(__xludf.DUMMYFUNCTION("""COMPUTED_VALUE"""),"activo")</f>
        <v>activo</v>
      </c>
      <c r="I1903" s="29"/>
      <c r="J1903" s="29"/>
      <c r="K1903" s="29"/>
      <c r="L1903" s="30" t="str">
        <f ca="1">IFERROR(__xludf.DUMMYFUNCTION("""COMPUTED_VALUE"""),"No")</f>
        <v>No</v>
      </c>
      <c r="M1903" s="30" t="str">
        <f ca="1">IFERROR(__xludf.DUMMYFUNCTION("""COMPUTED_VALUE"""),"90084010000")</f>
        <v>90084010000</v>
      </c>
      <c r="N1903" s="30" t="str">
        <f ca="1">IFERROR(__xludf.DUMMYFUNCTION("""COMPUTED_VALUE"""),"SAN MIGUEL DE TUCUMAN")</f>
        <v>SAN MIGUEL DE TUCUMAN</v>
      </c>
      <c r="O1903" s="30" t="str">
        <f ca="1">IFERROR(__xludf.DUMMYFUNCTION("""COMPUTED_VALUE"""),"9084")</f>
        <v>9084</v>
      </c>
      <c r="P1903" s="30" t="str">
        <f ca="1">IFERROR(__xludf.DUMMYFUNCTION("""COMPUTED_VALUE"""),"CAPITAL")</f>
        <v>CAPITAL</v>
      </c>
      <c r="Q1903" s="30" t="str">
        <f ca="1">IFERROR(__xludf.DUMMYFUNCTION("""COMPUTED_VALUE"""),"-26.80586")</f>
        <v>-26.80586</v>
      </c>
      <c r="R1903" s="30" t="str">
        <f ca="1">IFERROR(__xludf.DUMMYFUNCTION("""COMPUTED_VALUE"""),"-65.219495")</f>
        <v>-65.219495</v>
      </c>
      <c r="S1903" s="30" t="str">
        <f ca="1">IFERROR(__xludf.DUMMYFUNCTION("""COMPUTED_VALUE"""),"Provincial")</f>
        <v>Provincial</v>
      </c>
      <c r="T1903" s="30" t="str">
        <f ca="1">IFERROR(__xludf.DUMMYFUNCTION("""COMPUTED_VALUE"""),"-")</f>
        <v>-</v>
      </c>
    </row>
    <row r="1904" spans="1:20" ht="15.75" customHeight="1" x14ac:dyDescent="0.25">
      <c r="A1904" s="30" t="str">
        <f ca="1">IFERROR(__xludf.DUMMYFUNCTION("""COMPUTED_VALUE"""),"50900842196181")</f>
        <v>50900842196181</v>
      </c>
      <c r="B1904" s="30" t="str">
        <f ca="1">IFERROR(__xludf.DUMMYFUNCTION("""COMPUTED_VALUE"""),"CAPS FERNANDO PEDRO RIERA")</f>
        <v>CAPS FERNANDO PEDRO RIERA</v>
      </c>
      <c r="C1904" s="30" t="str">
        <f ca="1">IFERROR(__xludf.DUMMYFUNCTION("""COMPUTED_VALUE"""),"Tucumán")</f>
        <v>Tucumán</v>
      </c>
      <c r="D1904" s="30" t="str">
        <f ca="1">IFERROR(__xludf.DUMMYFUNCTION("""COMPUTED_VALUE"""),"90")</f>
        <v>90</v>
      </c>
      <c r="E1904" s="30" t="str">
        <f ca="1">IFERROR(__xludf.DUMMYFUNCTION("""COMPUTED_VALUE"""),"")</f>
        <v/>
      </c>
      <c r="F1904" s="29"/>
      <c r="G1904" s="29"/>
      <c r="H1904" s="30" t="str">
        <f ca="1">IFERROR(__xludf.DUMMYFUNCTION("""COMPUTED_VALUE"""),"activo")</f>
        <v>activo</v>
      </c>
      <c r="I1904" s="29"/>
      <c r="J1904" s="29"/>
      <c r="K1904" s="29"/>
      <c r="L1904" s="30" t="str">
        <f ca="1">IFERROR(__xludf.DUMMYFUNCTION("""COMPUTED_VALUE"""),"No")</f>
        <v>No</v>
      </c>
      <c r="M1904" s="30" t="str">
        <f ca="1">IFERROR(__xludf.DUMMYFUNCTION("""COMPUTED_VALUE"""),"90084010000")</f>
        <v>90084010000</v>
      </c>
      <c r="N1904" s="30" t="str">
        <f ca="1">IFERROR(__xludf.DUMMYFUNCTION("""COMPUTED_VALUE"""),"SAN MIGUEL DE TUCUMAN")</f>
        <v>SAN MIGUEL DE TUCUMAN</v>
      </c>
      <c r="O1904" s="30" t="str">
        <f ca="1">IFERROR(__xludf.DUMMYFUNCTION("""COMPUTED_VALUE"""),"9084")</f>
        <v>9084</v>
      </c>
      <c r="P1904" s="30" t="str">
        <f ca="1">IFERROR(__xludf.DUMMYFUNCTION("""COMPUTED_VALUE"""),"CAPITAL")</f>
        <v>CAPITAL</v>
      </c>
      <c r="Q1904" s="30" t="str">
        <f ca="1">IFERROR(__xludf.DUMMYFUNCTION("""COMPUTED_VALUE"""),"-26.843489")</f>
        <v>-26.843489</v>
      </c>
      <c r="R1904" s="30" t="str">
        <f ca="1">IFERROR(__xludf.DUMMYFUNCTION("""COMPUTED_VALUE"""),"-65.248652")</f>
        <v>-65.248652</v>
      </c>
      <c r="S1904" s="30" t="str">
        <f ca="1">IFERROR(__xludf.DUMMYFUNCTION("""COMPUTED_VALUE"""),"Provincial")</f>
        <v>Provincial</v>
      </c>
      <c r="T1904" s="30" t="str">
        <f ca="1">IFERROR(__xludf.DUMMYFUNCTION("""COMPUTED_VALUE"""),"-")</f>
        <v>-</v>
      </c>
    </row>
    <row r="1905" spans="1:20" ht="15.75" customHeight="1" x14ac:dyDescent="0.25">
      <c r="A1905" s="30" t="str">
        <f ca="1">IFERROR(__xludf.DUMMYFUNCTION("""COMPUTED_VALUE"""),"50900982196286")</f>
        <v>50900982196286</v>
      </c>
      <c r="B1905" s="30" t="str">
        <f ca="1">IFERROR(__xludf.DUMMYFUNCTION("""COMPUTED_VALUE"""),"CENTRO DE SALUD LOS ZAZOS")</f>
        <v>CENTRO DE SALUD LOS ZAZOS</v>
      </c>
      <c r="C1905" s="30" t="str">
        <f ca="1">IFERROR(__xludf.DUMMYFUNCTION("""COMPUTED_VALUE"""),"Tucumán")</f>
        <v>Tucumán</v>
      </c>
      <c r="D1905" s="30" t="str">
        <f ca="1">IFERROR(__xludf.DUMMYFUNCTION("""COMPUTED_VALUE"""),"90")</f>
        <v>90</v>
      </c>
      <c r="E1905" s="30" t="str">
        <f ca="1">IFERROR(__xludf.DUMMYFUNCTION("""COMPUTED_VALUE"""),"si")</f>
        <v>si</v>
      </c>
      <c r="F1905" s="29"/>
      <c r="G1905" s="29"/>
      <c r="H1905" s="30" t="str">
        <f ca="1">IFERROR(__xludf.DUMMYFUNCTION("""COMPUTED_VALUE"""),"inactivo")</f>
        <v>inactivo</v>
      </c>
      <c r="I1905" s="30" t="str">
        <f ca="1">IFERROR(__xludf.DUMMYFUNCTION("""COMPUTED_VALUE"""),"efector que dio de baja la provincia mediante mail enviado el 6-4-2022")</f>
        <v>efector que dio de baja la provincia mediante mail enviado el 6-4-2022</v>
      </c>
      <c r="J1905" s="29"/>
      <c r="K1905" s="29"/>
      <c r="L1905" s="30" t="str">
        <f ca="1">IFERROR(__xludf.DUMMYFUNCTION("""COMPUTED_VALUE"""),"No")</f>
        <v>No</v>
      </c>
      <c r="M1905" s="30" t="str">
        <f ca="1">IFERROR(__xludf.DUMMYFUNCTION("""COMPUTED_VALUE"""),"90098000190")</f>
        <v>90098000190</v>
      </c>
      <c r="N1905" s="30" t="str">
        <f ca="1">IFERROR(__xludf.DUMMYFUNCTION("""COMPUTED_VALUE"""),"LOS ZAZOS")</f>
        <v>LOS ZAZOS</v>
      </c>
      <c r="O1905" s="30" t="str">
        <f ca="1">IFERROR(__xludf.DUMMYFUNCTION("""COMPUTED_VALUE"""),"9098")</f>
        <v>9098</v>
      </c>
      <c r="P1905" s="30" t="str">
        <f ca="1">IFERROR(__xludf.DUMMYFUNCTION("""COMPUTED_VALUE"""),"TAFÍ DEL VALLE")</f>
        <v>TAFÍ DEL VALLE</v>
      </c>
      <c r="Q1905" s="30" t="str">
        <f ca="1">IFERROR(__xludf.DUMMYFUNCTION("""COMPUTED_VALUE"""),"-26.613054")</f>
        <v>-26.613054</v>
      </c>
      <c r="R1905" s="30" t="str">
        <f ca="1">IFERROR(__xludf.DUMMYFUNCTION("""COMPUTED_VALUE"""),"-65.882739")</f>
        <v>-65.882739</v>
      </c>
      <c r="S1905" s="30" t="str">
        <f ca="1">IFERROR(__xludf.DUMMYFUNCTION("""COMPUTED_VALUE"""),"Provincial")</f>
        <v>Provincial</v>
      </c>
      <c r="T1905" s="30" t="str">
        <f ca="1">IFERROR(__xludf.DUMMYFUNCTION("""COMPUTED_VALUE"""),"-")</f>
        <v>-</v>
      </c>
    </row>
    <row r="1906" spans="1:20" ht="15.75" customHeight="1" x14ac:dyDescent="0.25">
      <c r="A1906" s="30" t="str">
        <f ca="1">IFERROR(__xludf.DUMMYFUNCTION("""COMPUTED_VALUE"""),"50900842196215")</f>
        <v>50900842196215</v>
      </c>
      <c r="B1906" s="30" t="str">
        <f ca="1">IFERROR(__xludf.DUMMYFUNCTION("""COMPUTED_VALUE"""),"CAPS TENIENTE BENJAMIN MATIENZO")</f>
        <v>CAPS TENIENTE BENJAMIN MATIENZO</v>
      </c>
      <c r="C1906" s="30" t="str">
        <f ca="1">IFERROR(__xludf.DUMMYFUNCTION("""COMPUTED_VALUE"""),"Tucumán")</f>
        <v>Tucumán</v>
      </c>
      <c r="D1906" s="30" t="str">
        <f ca="1">IFERROR(__xludf.DUMMYFUNCTION("""COMPUTED_VALUE"""),"90")</f>
        <v>90</v>
      </c>
      <c r="E1906" s="30" t="str">
        <f ca="1">IFERROR(__xludf.DUMMYFUNCTION("""COMPUTED_VALUE"""),"")</f>
        <v/>
      </c>
      <c r="F1906" s="29"/>
      <c r="G1906" s="29"/>
      <c r="H1906" s="30" t="str">
        <f ca="1">IFERROR(__xludf.DUMMYFUNCTION("""COMPUTED_VALUE"""),"activo")</f>
        <v>activo</v>
      </c>
      <c r="I1906" s="29"/>
      <c r="J1906" s="29"/>
      <c r="K1906" s="29"/>
      <c r="L1906" s="30" t="str">
        <f ca="1">IFERROR(__xludf.DUMMYFUNCTION("""COMPUTED_VALUE"""),"No")</f>
        <v>No</v>
      </c>
      <c r="M1906" s="30" t="str">
        <f ca="1">IFERROR(__xludf.DUMMYFUNCTION("""COMPUTED_VALUE"""),"90084010000")</f>
        <v>90084010000</v>
      </c>
      <c r="N1906" s="30" t="str">
        <f ca="1">IFERROR(__xludf.DUMMYFUNCTION("""COMPUTED_VALUE"""),"SAN MIGUEL DE TUCUMAN")</f>
        <v>SAN MIGUEL DE TUCUMAN</v>
      </c>
      <c r="O1906" s="30" t="str">
        <f ca="1">IFERROR(__xludf.DUMMYFUNCTION("""COMPUTED_VALUE"""),"9084")</f>
        <v>9084</v>
      </c>
      <c r="P1906" s="30" t="str">
        <f ca="1">IFERROR(__xludf.DUMMYFUNCTION("""COMPUTED_VALUE"""),"CAPITAL")</f>
        <v>CAPITAL</v>
      </c>
      <c r="Q1906" s="30" t="str">
        <f ca="1">IFERROR(__xludf.DUMMYFUNCTION("""COMPUTED_VALUE"""),"-26.838071")</f>
        <v>-26.838071</v>
      </c>
      <c r="R1906" s="30" t="str">
        <f ca="1">IFERROR(__xludf.DUMMYFUNCTION("""COMPUTED_VALUE"""),"-65.199403")</f>
        <v>-65.199403</v>
      </c>
      <c r="S1906" s="30" t="str">
        <f ca="1">IFERROR(__xludf.DUMMYFUNCTION("""COMPUTED_VALUE"""),"Provincial")</f>
        <v>Provincial</v>
      </c>
      <c r="T1906" s="30" t="str">
        <f ca="1">IFERROR(__xludf.DUMMYFUNCTION("""COMPUTED_VALUE"""),"-")</f>
        <v>-</v>
      </c>
    </row>
    <row r="1907" spans="1:20" ht="15.75" customHeight="1" x14ac:dyDescent="0.25">
      <c r="A1907" s="30" t="str">
        <f ca="1">IFERROR(__xludf.DUMMYFUNCTION("""COMPUTED_VALUE"""),"50900842196216")</f>
        <v>50900842196216</v>
      </c>
      <c r="B1907" s="30" t="str">
        <f ca="1">IFERROR(__xludf.DUMMYFUNCTION("""COMPUTED_VALUE"""),"CAPS URQUIZA I")</f>
        <v>CAPS URQUIZA I</v>
      </c>
      <c r="C1907" s="30" t="str">
        <f ca="1">IFERROR(__xludf.DUMMYFUNCTION("""COMPUTED_VALUE"""),"Tucumán")</f>
        <v>Tucumán</v>
      </c>
      <c r="D1907" s="30" t="str">
        <f ca="1">IFERROR(__xludf.DUMMYFUNCTION("""COMPUTED_VALUE"""),"90")</f>
        <v>90</v>
      </c>
      <c r="E1907" s="30" t="str">
        <f ca="1">IFERROR(__xludf.DUMMYFUNCTION("""COMPUTED_VALUE"""),"")</f>
        <v/>
      </c>
      <c r="F1907" s="29"/>
      <c r="G1907" s="29"/>
      <c r="H1907" s="30" t="str">
        <f ca="1">IFERROR(__xludf.DUMMYFUNCTION("""COMPUTED_VALUE"""),"activo")</f>
        <v>activo</v>
      </c>
      <c r="I1907" s="29"/>
      <c r="J1907" s="29"/>
      <c r="K1907" s="29"/>
      <c r="L1907" s="30" t="str">
        <f ca="1">IFERROR(__xludf.DUMMYFUNCTION("""COMPUTED_VALUE"""),"No")</f>
        <v>No</v>
      </c>
      <c r="M1907" s="30" t="str">
        <f ca="1">IFERROR(__xludf.DUMMYFUNCTION("""COMPUTED_VALUE"""),"90084010000")</f>
        <v>90084010000</v>
      </c>
      <c r="N1907" s="30" t="str">
        <f ca="1">IFERROR(__xludf.DUMMYFUNCTION("""COMPUTED_VALUE"""),"SAN MIGUEL DE TUCUMAN")</f>
        <v>SAN MIGUEL DE TUCUMAN</v>
      </c>
      <c r="O1907" s="30" t="str">
        <f ca="1">IFERROR(__xludf.DUMMYFUNCTION("""COMPUTED_VALUE"""),"9084")</f>
        <v>9084</v>
      </c>
      <c r="P1907" s="30" t="str">
        <f ca="1">IFERROR(__xludf.DUMMYFUNCTION("""COMPUTED_VALUE"""),"CAPITAL")</f>
        <v>CAPITAL</v>
      </c>
      <c r="Q1907" s="30" t="str">
        <f ca="1">IFERROR(__xludf.DUMMYFUNCTION("""COMPUTED_VALUE"""),"-26.8140172")</f>
        <v>-26.8140172</v>
      </c>
      <c r="R1907" s="30" t="str">
        <f ca="1">IFERROR(__xludf.DUMMYFUNCTION("""COMPUTED_VALUE"""),"-65.2037539")</f>
        <v>-65.2037539</v>
      </c>
      <c r="S1907" s="30" t="str">
        <f ca="1">IFERROR(__xludf.DUMMYFUNCTION("""COMPUTED_VALUE"""),"Provincial")</f>
        <v>Provincial</v>
      </c>
      <c r="T1907" s="30" t="str">
        <f ca="1">IFERROR(__xludf.DUMMYFUNCTION("""COMPUTED_VALUE"""),"-")</f>
        <v>-</v>
      </c>
    </row>
    <row r="1908" spans="1:20" ht="15.75" customHeight="1" x14ac:dyDescent="0.25">
      <c r="A1908" s="30" t="str">
        <f ca="1">IFERROR(__xludf.DUMMYFUNCTION("""COMPUTED_VALUE"""),"50900842196220")</f>
        <v>50900842196220</v>
      </c>
      <c r="B1908" s="30" t="str">
        <f ca="1">IFERROR(__xludf.DUMMYFUNCTION("""COMPUTED_VALUE"""),"CAPS VILLA AMALIA")</f>
        <v>CAPS VILLA AMALIA</v>
      </c>
      <c r="C1908" s="30" t="str">
        <f ca="1">IFERROR(__xludf.DUMMYFUNCTION("""COMPUTED_VALUE"""),"Tucumán")</f>
        <v>Tucumán</v>
      </c>
      <c r="D1908" s="30" t="str">
        <f ca="1">IFERROR(__xludf.DUMMYFUNCTION("""COMPUTED_VALUE"""),"90")</f>
        <v>90</v>
      </c>
      <c r="E1908" s="30" t="str">
        <f ca="1">IFERROR(__xludf.DUMMYFUNCTION("""COMPUTED_VALUE"""),"")</f>
        <v/>
      </c>
      <c r="F1908" s="29"/>
      <c r="G1908" s="29"/>
      <c r="H1908" s="30" t="str">
        <f ca="1">IFERROR(__xludf.DUMMYFUNCTION("""COMPUTED_VALUE"""),"activo")</f>
        <v>activo</v>
      </c>
      <c r="I1908" s="29"/>
      <c r="J1908" s="29"/>
      <c r="K1908" s="29"/>
      <c r="L1908" s="30" t="str">
        <f ca="1">IFERROR(__xludf.DUMMYFUNCTION("""COMPUTED_VALUE"""),"No")</f>
        <v>No</v>
      </c>
      <c r="M1908" s="30" t="str">
        <f ca="1">IFERROR(__xludf.DUMMYFUNCTION("""COMPUTED_VALUE"""),"90084010000")</f>
        <v>90084010000</v>
      </c>
      <c r="N1908" s="30" t="str">
        <f ca="1">IFERROR(__xludf.DUMMYFUNCTION("""COMPUTED_VALUE"""),"SAN MIGUEL DE TUCUMAN")</f>
        <v>SAN MIGUEL DE TUCUMAN</v>
      </c>
      <c r="O1908" s="30" t="str">
        <f ca="1">IFERROR(__xludf.DUMMYFUNCTION("""COMPUTED_VALUE"""),"9084")</f>
        <v>9084</v>
      </c>
      <c r="P1908" s="30" t="str">
        <f ca="1">IFERROR(__xludf.DUMMYFUNCTION("""COMPUTED_VALUE"""),"CAPITAL")</f>
        <v>CAPITAL</v>
      </c>
      <c r="Q1908" s="30" t="str">
        <f ca="1">IFERROR(__xludf.DUMMYFUNCTION("""COMPUTED_VALUE"""),"-26.860467")</f>
        <v>-26.860467</v>
      </c>
      <c r="R1908" s="30" t="str">
        <f ca="1">IFERROR(__xludf.DUMMYFUNCTION("""COMPUTED_VALUE"""),"-65.207975")</f>
        <v>-65.207975</v>
      </c>
      <c r="S1908" s="30" t="str">
        <f ca="1">IFERROR(__xludf.DUMMYFUNCTION("""COMPUTED_VALUE"""),"Provincial")</f>
        <v>Provincial</v>
      </c>
      <c r="T1908" s="30" t="str">
        <f ca="1">IFERROR(__xludf.DUMMYFUNCTION("""COMPUTED_VALUE"""),"-")</f>
        <v>-</v>
      </c>
    </row>
    <row r="1909" spans="1:20" ht="15.75" customHeight="1" x14ac:dyDescent="0.25">
      <c r="A1909" s="30" t="str">
        <f ca="1">IFERROR(__xludf.DUMMYFUNCTION("""COMPUTED_VALUE"""),"50900842196226")</f>
        <v>50900842196226</v>
      </c>
      <c r="B1909" s="30" t="str">
        <f ca="1">IFERROR(__xludf.DUMMYFUNCTION("""COMPUTED_VALUE"""),"CAPS VILLA MUÑECAS")</f>
        <v>CAPS VILLA MUÑECAS</v>
      </c>
      <c r="C1909" s="30" t="str">
        <f ca="1">IFERROR(__xludf.DUMMYFUNCTION("""COMPUTED_VALUE"""),"Tucumán")</f>
        <v>Tucumán</v>
      </c>
      <c r="D1909" s="30" t="str">
        <f ca="1">IFERROR(__xludf.DUMMYFUNCTION("""COMPUTED_VALUE"""),"90")</f>
        <v>90</v>
      </c>
      <c r="E1909" s="30" t="str">
        <f ca="1">IFERROR(__xludf.DUMMYFUNCTION("""COMPUTED_VALUE"""),"")</f>
        <v/>
      </c>
      <c r="F1909" s="29"/>
      <c r="G1909" s="29"/>
      <c r="H1909" s="30" t="str">
        <f ca="1">IFERROR(__xludf.DUMMYFUNCTION("""COMPUTED_VALUE"""),"activo")</f>
        <v>activo</v>
      </c>
      <c r="I1909" s="29"/>
      <c r="J1909" s="29"/>
      <c r="K1909" s="29"/>
      <c r="L1909" s="30" t="str">
        <f ca="1">IFERROR(__xludf.DUMMYFUNCTION("""COMPUTED_VALUE"""),"No")</f>
        <v>No</v>
      </c>
      <c r="M1909" s="30" t="str">
        <f ca="1">IFERROR(__xludf.DUMMYFUNCTION("""COMPUTED_VALUE"""),"90084010000")</f>
        <v>90084010000</v>
      </c>
      <c r="N1909" s="30" t="str">
        <f ca="1">IFERROR(__xludf.DUMMYFUNCTION("""COMPUTED_VALUE"""),"SAN MIGUEL DE TUCUMAN")</f>
        <v>SAN MIGUEL DE TUCUMAN</v>
      </c>
      <c r="O1909" s="30" t="str">
        <f ca="1">IFERROR(__xludf.DUMMYFUNCTION("""COMPUTED_VALUE"""),"9084")</f>
        <v>9084</v>
      </c>
      <c r="P1909" s="30" t="str">
        <f ca="1">IFERROR(__xludf.DUMMYFUNCTION("""COMPUTED_VALUE"""),"CAPITAL")</f>
        <v>CAPITAL</v>
      </c>
      <c r="Q1909" s="30" t="str">
        <f ca="1">IFERROR(__xludf.DUMMYFUNCTION("""COMPUTED_VALUE"""),"-26.790693")</f>
        <v>-26.790693</v>
      </c>
      <c r="R1909" s="30" t="str">
        <f ca="1">IFERROR(__xludf.DUMMYFUNCTION("""COMPUTED_VALUE"""),"-65.237104")</f>
        <v>-65.237104</v>
      </c>
      <c r="S1909" s="30" t="str">
        <f ca="1">IFERROR(__xludf.DUMMYFUNCTION("""COMPUTED_VALUE"""),"Provincial")</f>
        <v>Provincial</v>
      </c>
      <c r="T1909" s="30" t="str">
        <f ca="1">IFERROR(__xludf.DUMMYFUNCTION("""COMPUTED_VALUE"""),"-")</f>
        <v>-</v>
      </c>
    </row>
    <row r="1910" spans="1:20" ht="15.75" customHeight="1" x14ac:dyDescent="0.25">
      <c r="A1910" s="30" t="str">
        <f ca="1">IFERROR(__xludf.DUMMYFUNCTION("""COMPUTED_VALUE"""),"50900842196231")</f>
        <v>50900842196231</v>
      </c>
      <c r="B1910" s="30" t="str">
        <f ca="1">IFERROR(__xludf.DUMMYFUNCTION("""COMPUTED_VALUE"""),"CAPS VILLA 9 DE JULIO")</f>
        <v>CAPS VILLA 9 DE JULIO</v>
      </c>
      <c r="C1910" s="30" t="str">
        <f ca="1">IFERROR(__xludf.DUMMYFUNCTION("""COMPUTED_VALUE"""),"Tucumán")</f>
        <v>Tucumán</v>
      </c>
      <c r="D1910" s="30" t="str">
        <f ca="1">IFERROR(__xludf.DUMMYFUNCTION("""COMPUTED_VALUE"""),"90")</f>
        <v>90</v>
      </c>
      <c r="E1910" s="30" t="str">
        <f ca="1">IFERROR(__xludf.DUMMYFUNCTION("""COMPUTED_VALUE"""),"")</f>
        <v/>
      </c>
      <c r="F1910" s="29"/>
      <c r="G1910" s="29"/>
      <c r="H1910" s="30" t="str">
        <f ca="1">IFERROR(__xludf.DUMMYFUNCTION("""COMPUTED_VALUE"""),"activo")</f>
        <v>activo</v>
      </c>
      <c r="I1910" s="29"/>
      <c r="J1910" s="29"/>
      <c r="K1910" s="29"/>
      <c r="L1910" s="30" t="str">
        <f ca="1">IFERROR(__xludf.DUMMYFUNCTION("""COMPUTED_VALUE"""),"No")</f>
        <v>No</v>
      </c>
      <c r="M1910" s="30" t="str">
        <f ca="1">IFERROR(__xludf.DUMMYFUNCTION("""COMPUTED_VALUE"""),"90084010000")</f>
        <v>90084010000</v>
      </c>
      <c r="N1910" s="30" t="str">
        <f ca="1">IFERROR(__xludf.DUMMYFUNCTION("""COMPUTED_VALUE"""),"SAN MIGUEL DE TUCUMAN")</f>
        <v>SAN MIGUEL DE TUCUMAN</v>
      </c>
      <c r="O1910" s="30" t="str">
        <f ca="1">IFERROR(__xludf.DUMMYFUNCTION("""COMPUTED_VALUE"""),"9084")</f>
        <v>9084</v>
      </c>
      <c r="P1910" s="30" t="str">
        <f ca="1">IFERROR(__xludf.DUMMYFUNCTION("""COMPUTED_VALUE"""),"CAPITAL")</f>
        <v>CAPITAL</v>
      </c>
      <c r="Q1910" s="30" t="str">
        <f ca="1">IFERROR(__xludf.DUMMYFUNCTION("""COMPUTED_VALUE"""),"-26.8205064")</f>
        <v>-26.8205064</v>
      </c>
      <c r="R1910" s="30" t="str">
        <f ca="1">IFERROR(__xludf.DUMMYFUNCTION("""COMPUTED_VALUE"""),"-65.1356")</f>
        <v>-65.1356</v>
      </c>
      <c r="S1910" s="30" t="str">
        <f ca="1">IFERROR(__xludf.DUMMYFUNCTION("""COMPUTED_VALUE"""),"Provincial")</f>
        <v>Provincial</v>
      </c>
      <c r="T1910" s="30" t="str">
        <f ca="1">IFERROR(__xludf.DUMMYFUNCTION("""COMPUTED_VALUE"""),"-")</f>
        <v>-</v>
      </c>
    </row>
    <row r="1911" spans="1:20" ht="15.75" customHeight="1" x14ac:dyDescent="0.25">
      <c r="A1911" s="30" t="str">
        <f ca="1">IFERROR(__xludf.DUMMYFUNCTION("""COMPUTED_VALUE"""),"50900842196234")</f>
        <v>50900842196234</v>
      </c>
      <c r="B1911" s="30" t="str">
        <f ca="1">IFERROR(__xludf.DUMMYFUNCTION("""COMPUTED_VALUE"""),"CAPS 11 DE MARZO")</f>
        <v>CAPS 11 DE MARZO</v>
      </c>
      <c r="C1911" s="30" t="str">
        <f ca="1">IFERROR(__xludf.DUMMYFUNCTION("""COMPUTED_VALUE"""),"Tucumán")</f>
        <v>Tucumán</v>
      </c>
      <c r="D1911" s="30" t="str">
        <f ca="1">IFERROR(__xludf.DUMMYFUNCTION("""COMPUTED_VALUE"""),"90")</f>
        <v>90</v>
      </c>
      <c r="E1911" s="30" t="str">
        <f ca="1">IFERROR(__xludf.DUMMYFUNCTION("""COMPUTED_VALUE"""),"")</f>
        <v/>
      </c>
      <c r="F1911" s="29"/>
      <c r="G1911" s="29"/>
      <c r="H1911" s="30" t="str">
        <f ca="1">IFERROR(__xludf.DUMMYFUNCTION("""COMPUTED_VALUE"""),"activo")</f>
        <v>activo</v>
      </c>
      <c r="I1911" s="29"/>
      <c r="J1911" s="29"/>
      <c r="K1911" s="29"/>
      <c r="L1911" s="30" t="str">
        <f ca="1">IFERROR(__xludf.DUMMYFUNCTION("""COMPUTED_VALUE"""),"No")</f>
        <v>No</v>
      </c>
      <c r="M1911" s="30" t="str">
        <f ca="1">IFERROR(__xludf.DUMMYFUNCTION("""COMPUTED_VALUE"""),"90084010000")</f>
        <v>90084010000</v>
      </c>
      <c r="N1911" s="30" t="str">
        <f ca="1">IFERROR(__xludf.DUMMYFUNCTION("""COMPUTED_VALUE"""),"SAN MIGUEL DE TUCUMAN")</f>
        <v>SAN MIGUEL DE TUCUMAN</v>
      </c>
      <c r="O1911" s="30" t="str">
        <f ca="1">IFERROR(__xludf.DUMMYFUNCTION("""COMPUTED_VALUE"""),"9084")</f>
        <v>9084</v>
      </c>
      <c r="P1911" s="30" t="str">
        <f ca="1">IFERROR(__xludf.DUMMYFUNCTION("""COMPUTED_VALUE"""),"CAPITAL")</f>
        <v>CAPITAL</v>
      </c>
      <c r="Q1911" s="30" t="str">
        <f ca="1">IFERROR(__xludf.DUMMYFUNCTION("""COMPUTED_VALUE"""),"-26.854524")</f>
        <v>-26.854524</v>
      </c>
      <c r="R1911" s="30" t="str">
        <f ca="1">IFERROR(__xludf.DUMMYFUNCTION("""COMPUTED_VALUE"""),"-65.236284")</f>
        <v>-65.236284</v>
      </c>
      <c r="S1911" s="30" t="str">
        <f ca="1">IFERROR(__xludf.DUMMYFUNCTION("""COMPUTED_VALUE"""),"Provincial")</f>
        <v>Provincial</v>
      </c>
      <c r="T1911" s="30" t="str">
        <f ca="1">IFERROR(__xludf.DUMMYFUNCTION("""COMPUTED_VALUE"""),"-")</f>
        <v>-</v>
      </c>
    </row>
    <row r="1912" spans="1:20" ht="15.75" customHeight="1" x14ac:dyDescent="0.25">
      <c r="A1912" s="30" t="str">
        <f ca="1">IFERROR(__xludf.DUMMYFUNCTION("""COMPUTED_VALUE"""),"50900842196298")</f>
        <v>50900842196298</v>
      </c>
      <c r="B1912" s="30" t="str">
        <f ca="1">IFERROR(__xludf.DUMMYFUNCTION("""COMPUTED_VALUE"""),"CAPS NUESTRO SEÑOR DE LA SALUD")</f>
        <v>CAPS NUESTRO SEÑOR DE LA SALUD</v>
      </c>
      <c r="C1912" s="30" t="str">
        <f ca="1">IFERROR(__xludf.DUMMYFUNCTION("""COMPUTED_VALUE"""),"Tucumán")</f>
        <v>Tucumán</v>
      </c>
      <c r="D1912" s="30" t="str">
        <f ca="1">IFERROR(__xludf.DUMMYFUNCTION("""COMPUTED_VALUE"""),"90")</f>
        <v>90</v>
      </c>
      <c r="E1912" s="30" t="str">
        <f ca="1">IFERROR(__xludf.DUMMYFUNCTION("""COMPUTED_VALUE"""),"")</f>
        <v/>
      </c>
      <c r="F1912" s="29"/>
      <c r="G1912" s="29"/>
      <c r="H1912" s="30" t="str">
        <f ca="1">IFERROR(__xludf.DUMMYFUNCTION("""COMPUTED_VALUE"""),"activo")</f>
        <v>activo</v>
      </c>
      <c r="I1912" s="29"/>
      <c r="J1912" s="29"/>
      <c r="K1912" s="29"/>
      <c r="L1912" s="30" t="str">
        <f ca="1">IFERROR(__xludf.DUMMYFUNCTION("""COMPUTED_VALUE"""),"No")</f>
        <v>No</v>
      </c>
      <c r="M1912" s="30" t="str">
        <f ca="1">IFERROR(__xludf.DUMMYFUNCTION("""COMPUTED_VALUE"""),"90084010000")</f>
        <v>90084010000</v>
      </c>
      <c r="N1912" s="30" t="str">
        <f ca="1">IFERROR(__xludf.DUMMYFUNCTION("""COMPUTED_VALUE"""),"SAN MIGUEL DE TUCUMAN")</f>
        <v>SAN MIGUEL DE TUCUMAN</v>
      </c>
      <c r="O1912" s="30" t="str">
        <f ca="1">IFERROR(__xludf.DUMMYFUNCTION("""COMPUTED_VALUE"""),"9084")</f>
        <v>9084</v>
      </c>
      <c r="P1912" s="30" t="str">
        <f ca="1">IFERROR(__xludf.DUMMYFUNCTION("""COMPUTED_VALUE"""),"CAPITAL")</f>
        <v>CAPITAL</v>
      </c>
      <c r="Q1912" s="30" t="str">
        <f ca="1">IFERROR(__xludf.DUMMYFUNCTION("""COMPUTED_VALUE"""),"-26.8367908")</f>
        <v>-26.8367908</v>
      </c>
      <c r="R1912" s="30" t="str">
        <f ca="1">IFERROR(__xludf.DUMMYFUNCTION("""COMPUTED_VALUE"""),"-65.2420013")</f>
        <v>-65.2420013</v>
      </c>
      <c r="S1912" s="30" t="str">
        <f ca="1">IFERROR(__xludf.DUMMYFUNCTION("""COMPUTED_VALUE"""),"Provincial")</f>
        <v>Provincial</v>
      </c>
      <c r="T1912" s="30" t="str">
        <f ca="1">IFERROR(__xludf.DUMMYFUNCTION("""COMPUTED_VALUE"""),"-")</f>
        <v>-</v>
      </c>
    </row>
    <row r="1913" spans="1:20" ht="15.75" customHeight="1" x14ac:dyDescent="0.25">
      <c r="A1913" s="30" t="str">
        <f ca="1">IFERROR(__xludf.DUMMYFUNCTION("""COMPUTED_VALUE"""),"50900842196299")</f>
        <v>50900842196299</v>
      </c>
      <c r="B1913" s="30" t="str">
        <f ca="1">IFERROR(__xludf.DUMMYFUNCTION("""COMPUTED_VALUE"""),"CAPS NUESTRO SEÑOR DEL MILAGRO")</f>
        <v>CAPS NUESTRO SEÑOR DEL MILAGRO</v>
      </c>
      <c r="C1913" s="30" t="str">
        <f ca="1">IFERROR(__xludf.DUMMYFUNCTION("""COMPUTED_VALUE"""),"Tucumán")</f>
        <v>Tucumán</v>
      </c>
      <c r="D1913" s="30" t="str">
        <f ca="1">IFERROR(__xludf.DUMMYFUNCTION("""COMPUTED_VALUE"""),"90")</f>
        <v>90</v>
      </c>
      <c r="E1913" s="30" t="str">
        <f ca="1">IFERROR(__xludf.DUMMYFUNCTION("""COMPUTED_VALUE"""),"")</f>
        <v/>
      </c>
      <c r="F1913" s="29"/>
      <c r="G1913" s="29"/>
      <c r="H1913" s="30" t="str">
        <f ca="1">IFERROR(__xludf.DUMMYFUNCTION("""COMPUTED_VALUE"""),"activo")</f>
        <v>activo</v>
      </c>
      <c r="I1913" s="29"/>
      <c r="J1913" s="29"/>
      <c r="K1913" s="29"/>
      <c r="L1913" s="30" t="str">
        <f ca="1">IFERROR(__xludf.DUMMYFUNCTION("""COMPUTED_VALUE"""),"No")</f>
        <v>No</v>
      </c>
      <c r="M1913" s="30" t="str">
        <f ca="1">IFERROR(__xludf.DUMMYFUNCTION("""COMPUTED_VALUE"""),"90084010000")</f>
        <v>90084010000</v>
      </c>
      <c r="N1913" s="30" t="str">
        <f ca="1">IFERROR(__xludf.DUMMYFUNCTION("""COMPUTED_VALUE"""),"SAN MIGUEL DE TUCUMAN")</f>
        <v>SAN MIGUEL DE TUCUMAN</v>
      </c>
      <c r="O1913" s="30" t="str">
        <f ca="1">IFERROR(__xludf.DUMMYFUNCTION("""COMPUTED_VALUE"""),"9084")</f>
        <v>9084</v>
      </c>
      <c r="P1913" s="30" t="str">
        <f ca="1">IFERROR(__xludf.DUMMYFUNCTION("""COMPUTED_VALUE"""),"CAPITAL")</f>
        <v>CAPITAL</v>
      </c>
      <c r="Q1913" s="30" t="str">
        <f ca="1">IFERROR(__xludf.DUMMYFUNCTION("""COMPUTED_VALUE"""),"-26.847545")</f>
        <v>-26.847545</v>
      </c>
      <c r="R1913" s="30" t="str">
        <f ca="1">IFERROR(__xludf.DUMMYFUNCTION("""COMPUTED_VALUE"""),"-65.243012")</f>
        <v>-65.243012</v>
      </c>
      <c r="S1913" s="30" t="str">
        <f ca="1">IFERROR(__xludf.DUMMYFUNCTION("""COMPUTED_VALUE"""),"Provincial")</f>
        <v>Provincial</v>
      </c>
      <c r="T1913" s="30" t="str">
        <f ca="1">IFERROR(__xludf.DUMMYFUNCTION("""COMPUTED_VALUE"""),"-")</f>
        <v>-</v>
      </c>
    </row>
    <row r="1914" spans="1:20" ht="15.75" customHeight="1" x14ac:dyDescent="0.25">
      <c r="A1914" s="30" t="str">
        <f ca="1">IFERROR(__xludf.DUMMYFUNCTION("""COMPUTED_VALUE"""),"50900842196313")</f>
        <v>50900842196313</v>
      </c>
      <c r="B1914" s="30" t="str">
        <f ca="1">IFERROR(__xludf.DUMMYFUNCTION("""COMPUTED_VALUE"""),"CAPS SAN BERNARDO")</f>
        <v>CAPS SAN BERNARDO</v>
      </c>
      <c r="C1914" s="30" t="str">
        <f ca="1">IFERROR(__xludf.DUMMYFUNCTION("""COMPUTED_VALUE"""),"Tucumán")</f>
        <v>Tucumán</v>
      </c>
      <c r="D1914" s="30" t="str">
        <f ca="1">IFERROR(__xludf.DUMMYFUNCTION("""COMPUTED_VALUE"""),"90")</f>
        <v>90</v>
      </c>
      <c r="E1914" s="30" t="str">
        <f ca="1">IFERROR(__xludf.DUMMYFUNCTION("""COMPUTED_VALUE"""),"")</f>
        <v/>
      </c>
      <c r="F1914" s="29"/>
      <c r="G1914" s="29"/>
      <c r="H1914" s="30" t="str">
        <f ca="1">IFERROR(__xludf.DUMMYFUNCTION("""COMPUTED_VALUE"""),"activo")</f>
        <v>activo</v>
      </c>
      <c r="I1914" s="29"/>
      <c r="J1914" s="29"/>
      <c r="K1914" s="29"/>
      <c r="L1914" s="30" t="str">
        <f ca="1">IFERROR(__xludf.DUMMYFUNCTION("""COMPUTED_VALUE"""),"No")</f>
        <v>No</v>
      </c>
      <c r="M1914" s="30" t="str">
        <f ca="1">IFERROR(__xludf.DUMMYFUNCTION("""COMPUTED_VALUE"""),"90084010000")</f>
        <v>90084010000</v>
      </c>
      <c r="N1914" s="30" t="str">
        <f ca="1">IFERROR(__xludf.DUMMYFUNCTION("""COMPUTED_VALUE"""),"SAN MIGUEL DE TUCUMAN")</f>
        <v>SAN MIGUEL DE TUCUMAN</v>
      </c>
      <c r="O1914" s="30" t="str">
        <f ca="1">IFERROR(__xludf.DUMMYFUNCTION("""COMPUTED_VALUE"""),"9084")</f>
        <v>9084</v>
      </c>
      <c r="P1914" s="30" t="str">
        <f ca="1">IFERROR(__xludf.DUMMYFUNCTION("""COMPUTED_VALUE"""),"CAPITAL")</f>
        <v>CAPITAL</v>
      </c>
      <c r="Q1914" s="30" t="str">
        <f ca="1">IFERROR(__xludf.DUMMYFUNCTION("""COMPUTED_VALUE"""),"-26.830269")</f>
        <v>-26.830269</v>
      </c>
      <c r="R1914" s="30" t="str">
        <f ca="1">IFERROR(__xludf.DUMMYFUNCTION("""COMPUTED_VALUE"""),"-65.241852")</f>
        <v>-65.241852</v>
      </c>
      <c r="S1914" s="30" t="str">
        <f ca="1">IFERROR(__xludf.DUMMYFUNCTION("""COMPUTED_VALUE"""),"Provincial")</f>
        <v>Provincial</v>
      </c>
      <c r="T1914" s="30" t="str">
        <f ca="1">IFERROR(__xludf.DUMMYFUNCTION("""COMPUTED_VALUE"""),"-")</f>
        <v>-</v>
      </c>
    </row>
    <row r="1915" spans="1:20" ht="15.75" customHeight="1" x14ac:dyDescent="0.25">
      <c r="A1915" s="30" t="str">
        <f ca="1">IFERROR(__xludf.DUMMYFUNCTION("""COMPUTED_VALUE"""),"50900842196315")</f>
        <v>50900842196315</v>
      </c>
      <c r="B1915" s="30" t="str">
        <f ca="1">IFERROR(__xludf.DUMMYFUNCTION("""COMPUTED_VALUE"""),"CAPS SAN MARTIN")</f>
        <v>CAPS SAN MARTIN</v>
      </c>
      <c r="C1915" s="30" t="str">
        <f ca="1">IFERROR(__xludf.DUMMYFUNCTION("""COMPUTED_VALUE"""),"Tucumán")</f>
        <v>Tucumán</v>
      </c>
      <c r="D1915" s="30" t="str">
        <f ca="1">IFERROR(__xludf.DUMMYFUNCTION("""COMPUTED_VALUE"""),"90")</f>
        <v>90</v>
      </c>
      <c r="E1915" s="30" t="str">
        <f ca="1">IFERROR(__xludf.DUMMYFUNCTION("""COMPUTED_VALUE"""),"")</f>
        <v/>
      </c>
      <c r="F1915" s="29"/>
      <c r="G1915" s="29"/>
      <c r="H1915" s="30" t="str">
        <f ca="1">IFERROR(__xludf.DUMMYFUNCTION("""COMPUTED_VALUE"""),"activo")</f>
        <v>activo</v>
      </c>
      <c r="I1915" s="29"/>
      <c r="J1915" s="29"/>
      <c r="K1915" s="29"/>
      <c r="L1915" s="30" t="str">
        <f ca="1">IFERROR(__xludf.DUMMYFUNCTION("""COMPUTED_VALUE"""),"No")</f>
        <v>No</v>
      </c>
      <c r="M1915" s="30" t="str">
        <f ca="1">IFERROR(__xludf.DUMMYFUNCTION("""COMPUTED_VALUE"""),"90084010000")</f>
        <v>90084010000</v>
      </c>
      <c r="N1915" s="30" t="str">
        <f ca="1">IFERROR(__xludf.DUMMYFUNCTION("""COMPUTED_VALUE"""),"SAN MIGUEL DE TUCUMAN")</f>
        <v>SAN MIGUEL DE TUCUMAN</v>
      </c>
      <c r="O1915" s="30" t="str">
        <f ca="1">IFERROR(__xludf.DUMMYFUNCTION("""COMPUTED_VALUE"""),"9084")</f>
        <v>9084</v>
      </c>
      <c r="P1915" s="30" t="str">
        <f ca="1">IFERROR(__xludf.DUMMYFUNCTION("""COMPUTED_VALUE"""),"CAPITAL")</f>
        <v>CAPITAL</v>
      </c>
      <c r="Q1915" s="30" t="str">
        <f ca="1">IFERROR(__xludf.DUMMYFUNCTION("""COMPUTED_VALUE"""),"-26.8362182")</f>
        <v>-26.8362182</v>
      </c>
      <c r="R1915" s="30" t="str">
        <f ca="1">IFERROR(__xludf.DUMMYFUNCTION("""COMPUTED_VALUE"""),"-65.2519226")</f>
        <v>-65.2519226</v>
      </c>
      <c r="S1915" s="30" t="str">
        <f ca="1">IFERROR(__xludf.DUMMYFUNCTION("""COMPUTED_VALUE"""),"Provincial")</f>
        <v>Provincial</v>
      </c>
      <c r="T1915" s="30" t="str">
        <f ca="1">IFERROR(__xludf.DUMMYFUNCTION("""COMPUTED_VALUE"""),"-")</f>
        <v>-</v>
      </c>
    </row>
    <row r="1916" spans="1:20" ht="15.75" customHeight="1" x14ac:dyDescent="0.25">
      <c r="A1916" s="30" t="str">
        <f ca="1">IFERROR(__xludf.DUMMYFUNCTION("""COMPUTED_VALUE"""),"50900842196316")</f>
        <v>50900842196316</v>
      </c>
      <c r="B1916" s="30" t="str">
        <f ca="1">IFERROR(__xludf.DUMMYFUNCTION("""COMPUTED_VALUE"""),"CAPS SAN MIGUEL")</f>
        <v>CAPS SAN MIGUEL</v>
      </c>
      <c r="C1916" s="30" t="str">
        <f ca="1">IFERROR(__xludf.DUMMYFUNCTION("""COMPUTED_VALUE"""),"Tucumán")</f>
        <v>Tucumán</v>
      </c>
      <c r="D1916" s="30" t="str">
        <f ca="1">IFERROR(__xludf.DUMMYFUNCTION("""COMPUTED_VALUE"""),"90")</f>
        <v>90</v>
      </c>
      <c r="E1916" s="30" t="str">
        <f ca="1">IFERROR(__xludf.DUMMYFUNCTION("""COMPUTED_VALUE"""),"")</f>
        <v/>
      </c>
      <c r="F1916" s="29"/>
      <c r="G1916" s="29"/>
      <c r="H1916" s="30" t="str">
        <f ca="1">IFERROR(__xludf.DUMMYFUNCTION("""COMPUTED_VALUE"""),"activo")</f>
        <v>activo</v>
      </c>
      <c r="I1916" s="29"/>
      <c r="J1916" s="29"/>
      <c r="K1916" s="29"/>
      <c r="L1916" s="30" t="str">
        <f ca="1">IFERROR(__xludf.DUMMYFUNCTION("""COMPUTED_VALUE"""),"No")</f>
        <v>No</v>
      </c>
      <c r="M1916" s="30" t="str">
        <f ca="1">IFERROR(__xludf.DUMMYFUNCTION("""COMPUTED_VALUE"""),"90084010000")</f>
        <v>90084010000</v>
      </c>
      <c r="N1916" s="30" t="str">
        <f ca="1">IFERROR(__xludf.DUMMYFUNCTION("""COMPUTED_VALUE"""),"SAN MIGUEL DE TUCUMAN")</f>
        <v>SAN MIGUEL DE TUCUMAN</v>
      </c>
      <c r="O1916" s="30" t="str">
        <f ca="1">IFERROR(__xludf.DUMMYFUNCTION("""COMPUTED_VALUE"""),"9084")</f>
        <v>9084</v>
      </c>
      <c r="P1916" s="30" t="str">
        <f ca="1">IFERROR(__xludf.DUMMYFUNCTION("""COMPUTED_VALUE"""),"CAPITAL")</f>
        <v>CAPITAL</v>
      </c>
      <c r="Q1916" s="30" t="str">
        <f ca="1">IFERROR(__xludf.DUMMYFUNCTION("""COMPUTED_VALUE"""),"-26.837977")</f>
        <v>-26.837977</v>
      </c>
      <c r="R1916" s="30" t="str">
        <f ca="1">IFERROR(__xludf.DUMMYFUNCTION("""COMPUTED_VALUE"""),"-65.1781867")</f>
        <v>-65.1781867</v>
      </c>
      <c r="S1916" s="30" t="str">
        <f ca="1">IFERROR(__xludf.DUMMYFUNCTION("""COMPUTED_VALUE"""),"Provincial")</f>
        <v>Provincial</v>
      </c>
      <c r="T1916" s="30" t="str">
        <f ca="1">IFERROR(__xludf.DUMMYFUNCTION("""COMPUTED_VALUE"""),"-")</f>
        <v>-</v>
      </c>
    </row>
    <row r="1917" spans="1:20" ht="15.75" customHeight="1" x14ac:dyDescent="0.25">
      <c r="A1917" s="30" t="str">
        <f ca="1">IFERROR(__xludf.DUMMYFUNCTION("""COMPUTED_VALUE"""),"50900842196398")</f>
        <v>50900842196398</v>
      </c>
      <c r="B1917" s="30" t="str">
        <f ca="1">IFERROR(__xludf.DUMMYFUNCTION("""COMPUTED_VALUE"""),"CIC ADOLFO DE LA VEGA (EX CAPS DR. CARLOS ALVARADO)")</f>
        <v>CIC ADOLFO DE LA VEGA (EX CAPS DR. CARLOS ALVARADO)</v>
      </c>
      <c r="C1917" s="30" t="str">
        <f ca="1">IFERROR(__xludf.DUMMYFUNCTION("""COMPUTED_VALUE"""),"Tucumán")</f>
        <v>Tucumán</v>
      </c>
      <c r="D1917" s="30" t="str">
        <f ca="1">IFERROR(__xludf.DUMMYFUNCTION("""COMPUTED_VALUE"""),"90")</f>
        <v>90</v>
      </c>
      <c r="E1917" s="30" t="str">
        <f ca="1">IFERROR(__xludf.DUMMYFUNCTION("""COMPUTED_VALUE"""),"")</f>
        <v/>
      </c>
      <c r="F1917" s="29"/>
      <c r="G1917" s="29"/>
      <c r="H1917" s="30" t="str">
        <f ca="1">IFERROR(__xludf.DUMMYFUNCTION("""COMPUTED_VALUE"""),"activo")</f>
        <v>activo</v>
      </c>
      <c r="I1917" s="29"/>
      <c r="J1917" s="29"/>
      <c r="K1917" s="29"/>
      <c r="L1917" s="30" t="str">
        <f ca="1">IFERROR(__xludf.DUMMYFUNCTION("""COMPUTED_VALUE"""),"No")</f>
        <v>No</v>
      </c>
      <c r="M1917" s="30" t="str">
        <f ca="1">IFERROR(__xludf.DUMMYFUNCTION("""COMPUTED_VALUE"""),"90084010000")</f>
        <v>90084010000</v>
      </c>
      <c r="N1917" s="30" t="str">
        <f ca="1">IFERROR(__xludf.DUMMYFUNCTION("""COMPUTED_VALUE"""),"SAN MIGUEL DE TUCUMAN")</f>
        <v>SAN MIGUEL DE TUCUMAN</v>
      </c>
      <c r="O1917" s="30" t="str">
        <f ca="1">IFERROR(__xludf.DUMMYFUNCTION("""COMPUTED_VALUE"""),"9084")</f>
        <v>9084</v>
      </c>
      <c r="P1917" s="30" t="str">
        <f ca="1">IFERROR(__xludf.DUMMYFUNCTION("""COMPUTED_VALUE"""),"CAPITAL")</f>
        <v>CAPITAL</v>
      </c>
      <c r="Q1917" s="30" t="str">
        <f ca="1">IFERROR(__xludf.DUMMYFUNCTION("""COMPUTED_VALUE"""),"-26.828513")</f>
        <v>-26.828513</v>
      </c>
      <c r="R1917" s="30" t="str">
        <f ca="1">IFERROR(__xludf.DUMMYFUNCTION("""COMPUTED_VALUE"""),"-65.253511")</f>
        <v>-65.253511</v>
      </c>
      <c r="S1917" s="30" t="str">
        <f ca="1">IFERROR(__xludf.DUMMYFUNCTION("""COMPUTED_VALUE"""),"Provincial")</f>
        <v>Provincial</v>
      </c>
      <c r="T1917" s="30" t="str">
        <f ca="1">IFERROR(__xludf.DUMMYFUNCTION("""COMPUTED_VALUE"""),"-")</f>
        <v>-</v>
      </c>
    </row>
    <row r="1918" spans="1:20" ht="15.75" customHeight="1" x14ac:dyDescent="0.25">
      <c r="A1918" s="30" t="str">
        <f ca="1">IFERROR(__xludf.DUMMYFUNCTION("""COMPUTED_VALUE"""),"50900842196412")</f>
        <v>50900842196412</v>
      </c>
      <c r="B1918" s="30" t="str">
        <f ca="1">IFERROR(__xludf.DUMMYFUNCTION("""COMPUTED_VALUE"""),"CIC SAN FELIPE")</f>
        <v>CIC SAN FELIPE</v>
      </c>
      <c r="C1918" s="30" t="str">
        <f ca="1">IFERROR(__xludf.DUMMYFUNCTION("""COMPUTED_VALUE"""),"Tucumán")</f>
        <v>Tucumán</v>
      </c>
      <c r="D1918" s="30" t="str">
        <f ca="1">IFERROR(__xludf.DUMMYFUNCTION("""COMPUTED_VALUE"""),"90")</f>
        <v>90</v>
      </c>
      <c r="E1918" s="30" t="str">
        <f ca="1">IFERROR(__xludf.DUMMYFUNCTION("""COMPUTED_VALUE"""),"")</f>
        <v/>
      </c>
      <c r="F1918" s="29"/>
      <c r="G1918" s="29"/>
      <c r="H1918" s="30" t="str">
        <f ca="1">IFERROR(__xludf.DUMMYFUNCTION("""COMPUTED_VALUE"""),"activo")</f>
        <v>activo</v>
      </c>
      <c r="I1918" s="29"/>
      <c r="J1918" s="29"/>
      <c r="K1918" s="29"/>
      <c r="L1918" s="30" t="str">
        <f ca="1">IFERROR(__xludf.DUMMYFUNCTION("""COMPUTED_VALUE"""),"No")</f>
        <v>No</v>
      </c>
      <c r="M1918" s="30" t="str">
        <f ca="1">IFERROR(__xludf.DUMMYFUNCTION("""COMPUTED_VALUE"""),"90084010000")</f>
        <v>90084010000</v>
      </c>
      <c r="N1918" s="30" t="str">
        <f ca="1">IFERROR(__xludf.DUMMYFUNCTION("""COMPUTED_VALUE"""),"SAN MIGUEL DE TUCUMAN")</f>
        <v>SAN MIGUEL DE TUCUMAN</v>
      </c>
      <c r="O1918" s="30" t="str">
        <f ca="1">IFERROR(__xludf.DUMMYFUNCTION("""COMPUTED_VALUE"""),"9084")</f>
        <v>9084</v>
      </c>
      <c r="P1918" s="30" t="str">
        <f ca="1">IFERROR(__xludf.DUMMYFUNCTION("""COMPUTED_VALUE"""),"CAPITAL")</f>
        <v>CAPITAL</v>
      </c>
      <c r="Q1918" s="30" t="str">
        <f ca="1">IFERROR(__xludf.DUMMYFUNCTION("""COMPUTED_VALUE"""),"-26.87977471")</f>
        <v>-26.87977471</v>
      </c>
      <c r="R1918" s="30" t="str">
        <f ca="1">IFERROR(__xludf.DUMMYFUNCTION("""COMPUTED_VALUE"""),"-65.2261157")</f>
        <v>-65.2261157</v>
      </c>
      <c r="S1918" s="30" t="str">
        <f ca="1">IFERROR(__xludf.DUMMYFUNCTION("""COMPUTED_VALUE"""),"Provincial")</f>
        <v>Provincial</v>
      </c>
      <c r="T1918" s="30" t="str">
        <f ca="1">IFERROR(__xludf.DUMMYFUNCTION("""COMPUTED_VALUE"""),"-")</f>
        <v>-</v>
      </c>
    </row>
    <row r="1919" spans="1:20" ht="15.75" customHeight="1" x14ac:dyDescent="0.25">
      <c r="A1919" s="30" t="str">
        <f ca="1">IFERROR(__xludf.DUMMYFUNCTION("""COMPUTED_VALUE"""),"50900842196414")</f>
        <v>50900842196414</v>
      </c>
      <c r="B1919" s="30" t="str">
        <f ca="1">IFERROR(__xludf.DUMMYFUNCTION("""COMPUTED_VALUE"""),"CIC VIAL III")</f>
        <v>CIC VIAL III</v>
      </c>
      <c r="C1919" s="30" t="str">
        <f ca="1">IFERROR(__xludf.DUMMYFUNCTION("""COMPUTED_VALUE"""),"Tucumán")</f>
        <v>Tucumán</v>
      </c>
      <c r="D1919" s="30" t="str">
        <f ca="1">IFERROR(__xludf.DUMMYFUNCTION("""COMPUTED_VALUE"""),"90")</f>
        <v>90</v>
      </c>
      <c r="E1919" s="30" t="str">
        <f ca="1">IFERROR(__xludf.DUMMYFUNCTION("""COMPUTED_VALUE"""),"")</f>
        <v/>
      </c>
      <c r="F1919" s="29"/>
      <c r="G1919" s="29"/>
      <c r="H1919" s="30" t="str">
        <f ca="1">IFERROR(__xludf.DUMMYFUNCTION("""COMPUTED_VALUE"""),"activo")</f>
        <v>activo</v>
      </c>
      <c r="I1919" s="29"/>
      <c r="J1919" s="29"/>
      <c r="K1919" s="29"/>
      <c r="L1919" s="30" t="str">
        <f ca="1">IFERROR(__xludf.DUMMYFUNCTION("""COMPUTED_VALUE"""),"No")</f>
        <v>No</v>
      </c>
      <c r="M1919" s="30" t="str">
        <f ca="1">IFERROR(__xludf.DUMMYFUNCTION("""COMPUTED_VALUE"""),"90084010000")</f>
        <v>90084010000</v>
      </c>
      <c r="N1919" s="30" t="str">
        <f ca="1">IFERROR(__xludf.DUMMYFUNCTION("""COMPUTED_VALUE"""),"SAN MIGUEL DE TUCUMAN")</f>
        <v>SAN MIGUEL DE TUCUMAN</v>
      </c>
      <c r="O1919" s="30" t="str">
        <f ca="1">IFERROR(__xludf.DUMMYFUNCTION("""COMPUTED_VALUE"""),"9084")</f>
        <v>9084</v>
      </c>
      <c r="P1919" s="30" t="str">
        <f ca="1">IFERROR(__xludf.DUMMYFUNCTION("""COMPUTED_VALUE"""),"CAPITAL")</f>
        <v>CAPITAL</v>
      </c>
      <c r="Q1919" s="30" t="str">
        <f ca="1">IFERROR(__xludf.DUMMYFUNCTION("""COMPUTED_VALUE"""),"-26.853189")</f>
        <v>-26.853189</v>
      </c>
      <c r="R1919" s="30" t="str">
        <f ca="1">IFERROR(__xludf.DUMMYFUNCTION("""COMPUTED_VALUE"""),"-65.258453")</f>
        <v>-65.258453</v>
      </c>
      <c r="S1919" s="30" t="str">
        <f ca="1">IFERROR(__xludf.DUMMYFUNCTION("""COMPUTED_VALUE"""),"Provincial")</f>
        <v>Provincial</v>
      </c>
      <c r="T1919" s="30" t="str">
        <f ca="1">IFERROR(__xludf.DUMMYFUNCTION("""COMPUTED_VALUE"""),"-")</f>
        <v>-</v>
      </c>
    </row>
    <row r="1920" spans="1:20" ht="15.75" customHeight="1" x14ac:dyDescent="0.25">
      <c r="A1920" s="30" t="str">
        <f ca="1">IFERROR(__xludf.DUMMYFUNCTION("""COMPUTED_VALUE"""),"50900842196465")</f>
        <v>50900842196465</v>
      </c>
      <c r="B1920" s="30" t="str">
        <f ca="1">IFERROR(__xludf.DUMMYFUNCTION("""COMPUTED_VALUE"""),"POLICLINICA DR. JUAN FRANCISCO VILLALONGA")</f>
        <v>POLICLINICA DR. JUAN FRANCISCO VILLALONGA</v>
      </c>
      <c r="C1920" s="30" t="str">
        <f ca="1">IFERROR(__xludf.DUMMYFUNCTION("""COMPUTED_VALUE"""),"Tucumán")</f>
        <v>Tucumán</v>
      </c>
      <c r="D1920" s="30" t="str">
        <f ca="1">IFERROR(__xludf.DUMMYFUNCTION("""COMPUTED_VALUE"""),"90")</f>
        <v>90</v>
      </c>
      <c r="E1920" s="30" t="str">
        <f ca="1">IFERROR(__xludf.DUMMYFUNCTION("""COMPUTED_VALUE"""),"")</f>
        <v/>
      </c>
      <c r="F1920" s="29"/>
      <c r="G1920" s="29"/>
      <c r="H1920" s="30" t="str">
        <f ca="1">IFERROR(__xludf.DUMMYFUNCTION("""COMPUTED_VALUE"""),"activo")</f>
        <v>activo</v>
      </c>
      <c r="I1920" s="29"/>
      <c r="J1920" s="29"/>
      <c r="K1920" s="29"/>
      <c r="L1920" s="30" t="str">
        <f ca="1">IFERROR(__xludf.DUMMYFUNCTION("""COMPUTED_VALUE"""),"No")</f>
        <v>No</v>
      </c>
      <c r="M1920" s="30" t="str">
        <f ca="1">IFERROR(__xludf.DUMMYFUNCTION("""COMPUTED_VALUE"""),"90084010000")</f>
        <v>90084010000</v>
      </c>
      <c r="N1920" s="30" t="str">
        <f ca="1">IFERROR(__xludf.DUMMYFUNCTION("""COMPUTED_VALUE"""),"SAN MIGUEL DE TUCUMAN")</f>
        <v>SAN MIGUEL DE TUCUMAN</v>
      </c>
      <c r="O1920" s="30" t="str">
        <f ca="1">IFERROR(__xludf.DUMMYFUNCTION("""COMPUTED_VALUE"""),"9084")</f>
        <v>9084</v>
      </c>
      <c r="P1920" s="30" t="str">
        <f ca="1">IFERROR(__xludf.DUMMYFUNCTION("""COMPUTED_VALUE"""),"CAPITAL")</f>
        <v>CAPITAL</v>
      </c>
      <c r="Q1920" s="30" t="str">
        <f ca="1">IFERROR(__xludf.DUMMYFUNCTION("""COMPUTED_VALUE"""),"-26.851836")</f>
        <v>-26.851836</v>
      </c>
      <c r="R1920" s="30" t="str">
        <f ca="1">IFERROR(__xludf.DUMMYFUNCTION("""COMPUTED_VALUE"""),"-65.22291")</f>
        <v>-65.22291</v>
      </c>
      <c r="S1920" s="30" t="str">
        <f ca="1">IFERROR(__xludf.DUMMYFUNCTION("""COMPUTED_VALUE"""),"Provincial")</f>
        <v>Provincial</v>
      </c>
      <c r="T1920" s="30" t="str">
        <f ca="1">IFERROR(__xludf.DUMMYFUNCTION("""COMPUTED_VALUE"""),"-")</f>
        <v>-</v>
      </c>
    </row>
    <row r="1921" spans="1:20" ht="15.75" customHeight="1" x14ac:dyDescent="0.25">
      <c r="A1921" s="30" t="str">
        <f ca="1">IFERROR(__xludf.DUMMYFUNCTION("""COMPUTED_VALUE"""),"50900842196467")</f>
        <v>50900842196467</v>
      </c>
      <c r="B1921" s="30" t="str">
        <f ca="1">IFERROR(__xludf.DUMMYFUNCTION("""COMPUTED_VALUE"""),"POLICLINICA DRA. DELIA FERNANDEZ PALMA (EX VILLA ANGELINA)")</f>
        <v>POLICLINICA DRA. DELIA FERNANDEZ PALMA (EX VILLA ANGELINA)</v>
      </c>
      <c r="C1921" s="30" t="str">
        <f ca="1">IFERROR(__xludf.DUMMYFUNCTION("""COMPUTED_VALUE"""),"Tucumán")</f>
        <v>Tucumán</v>
      </c>
      <c r="D1921" s="30" t="str">
        <f ca="1">IFERROR(__xludf.DUMMYFUNCTION("""COMPUTED_VALUE"""),"90")</f>
        <v>90</v>
      </c>
      <c r="E1921" s="30" t="str">
        <f ca="1">IFERROR(__xludf.DUMMYFUNCTION("""COMPUTED_VALUE"""),"")</f>
        <v/>
      </c>
      <c r="F1921" s="29"/>
      <c r="G1921" s="29"/>
      <c r="H1921" s="30" t="str">
        <f ca="1">IFERROR(__xludf.DUMMYFUNCTION("""COMPUTED_VALUE"""),"activo")</f>
        <v>activo</v>
      </c>
      <c r="I1921" s="29"/>
      <c r="J1921" s="29"/>
      <c r="K1921" s="29"/>
      <c r="L1921" s="30" t="str">
        <f ca="1">IFERROR(__xludf.DUMMYFUNCTION("""COMPUTED_VALUE"""),"No")</f>
        <v>No</v>
      </c>
      <c r="M1921" s="30" t="str">
        <f ca="1">IFERROR(__xludf.DUMMYFUNCTION("""COMPUTED_VALUE"""),"90084010000")</f>
        <v>90084010000</v>
      </c>
      <c r="N1921" s="30" t="str">
        <f ca="1">IFERROR(__xludf.DUMMYFUNCTION("""COMPUTED_VALUE"""),"SAN MIGUEL DE TUCUMAN")</f>
        <v>SAN MIGUEL DE TUCUMAN</v>
      </c>
      <c r="O1921" s="30" t="str">
        <f ca="1">IFERROR(__xludf.DUMMYFUNCTION("""COMPUTED_VALUE"""),"9084")</f>
        <v>9084</v>
      </c>
      <c r="P1921" s="30" t="str">
        <f ca="1">IFERROR(__xludf.DUMMYFUNCTION("""COMPUTED_VALUE"""),"CAPITAL")</f>
        <v>CAPITAL</v>
      </c>
      <c r="Q1921" s="30" t="str">
        <f ca="1">IFERROR(__xludf.DUMMYFUNCTION("""COMPUTED_VALUE"""),"-26.872259")</f>
        <v>-26.872259</v>
      </c>
      <c r="R1921" s="30" t="str">
        <f ca="1">IFERROR(__xludf.DUMMYFUNCTION("""COMPUTED_VALUE"""),"-65.2184433")</f>
        <v>-65.2184433</v>
      </c>
      <c r="S1921" s="30" t="str">
        <f ca="1">IFERROR(__xludf.DUMMYFUNCTION("""COMPUTED_VALUE"""),"Provincial")</f>
        <v>Provincial</v>
      </c>
      <c r="T1921" s="30" t="str">
        <f ca="1">IFERROR(__xludf.DUMMYFUNCTION("""COMPUTED_VALUE"""),"-")</f>
        <v>-</v>
      </c>
    </row>
    <row r="1922" spans="1:20" ht="15.75" customHeight="1" x14ac:dyDescent="0.25">
      <c r="A1922" s="30" t="str">
        <f ca="1">IFERROR(__xludf.DUMMYFUNCTION("""COMPUTED_VALUE"""),"50900842196468")</f>
        <v>50900842196468</v>
      </c>
      <c r="B1922" s="30" t="str">
        <f ca="1">IFERROR(__xludf.DUMMYFUNCTION("""COMPUTED_VALUE"""),"POLICLINICA GINES GONZALEZ GARCIA (EX BARRIO NORTE)")</f>
        <v>POLICLINICA GINES GONZALEZ GARCIA (EX BARRIO NORTE)</v>
      </c>
      <c r="C1922" s="30" t="str">
        <f ca="1">IFERROR(__xludf.DUMMYFUNCTION("""COMPUTED_VALUE"""),"Tucumán")</f>
        <v>Tucumán</v>
      </c>
      <c r="D1922" s="30" t="str">
        <f ca="1">IFERROR(__xludf.DUMMYFUNCTION("""COMPUTED_VALUE"""),"90")</f>
        <v>90</v>
      </c>
      <c r="E1922" s="30" t="str">
        <f ca="1">IFERROR(__xludf.DUMMYFUNCTION("""COMPUTED_VALUE"""),"")</f>
        <v/>
      </c>
      <c r="F1922" s="29"/>
      <c r="G1922" s="29"/>
      <c r="H1922" s="30" t="str">
        <f ca="1">IFERROR(__xludf.DUMMYFUNCTION("""COMPUTED_VALUE"""),"activo")</f>
        <v>activo</v>
      </c>
      <c r="I1922" s="29"/>
      <c r="J1922" s="29"/>
      <c r="K1922" s="29"/>
      <c r="L1922" s="30" t="str">
        <f ca="1">IFERROR(__xludf.DUMMYFUNCTION("""COMPUTED_VALUE"""),"No")</f>
        <v>No</v>
      </c>
      <c r="M1922" s="30" t="str">
        <f ca="1">IFERROR(__xludf.DUMMYFUNCTION("""COMPUTED_VALUE"""),"90084010000")</f>
        <v>90084010000</v>
      </c>
      <c r="N1922" s="30" t="str">
        <f ca="1">IFERROR(__xludf.DUMMYFUNCTION("""COMPUTED_VALUE"""),"SAN MIGUEL DE TUCUMAN")</f>
        <v>SAN MIGUEL DE TUCUMAN</v>
      </c>
      <c r="O1922" s="30" t="str">
        <f ca="1">IFERROR(__xludf.DUMMYFUNCTION("""COMPUTED_VALUE"""),"9084")</f>
        <v>9084</v>
      </c>
      <c r="P1922" s="30" t="str">
        <f ca="1">IFERROR(__xludf.DUMMYFUNCTION("""COMPUTED_VALUE"""),"CAPITAL")</f>
        <v>CAPITAL</v>
      </c>
      <c r="Q1922" s="30" t="str">
        <f ca="1">IFERROR(__xludf.DUMMYFUNCTION("""COMPUTED_VALUE"""),"-26.801881")</f>
        <v>-26.801881</v>
      </c>
      <c r="R1922" s="30" t="str">
        <f ca="1">IFERROR(__xludf.DUMMYFUNCTION("""COMPUTED_VALUE"""),"-65.188365")</f>
        <v>-65.188365</v>
      </c>
      <c r="S1922" s="30" t="str">
        <f ca="1">IFERROR(__xludf.DUMMYFUNCTION("""COMPUTED_VALUE"""),"Provincial")</f>
        <v>Provincial</v>
      </c>
      <c r="T1922" s="30" t="str">
        <f ca="1">IFERROR(__xludf.DUMMYFUNCTION("""COMPUTED_VALUE"""),"-")</f>
        <v>-</v>
      </c>
    </row>
    <row r="1923" spans="1:20" ht="15.75" customHeight="1" x14ac:dyDescent="0.25">
      <c r="A1923" s="30" t="str">
        <f ca="1">IFERROR(__xludf.DUMMYFUNCTION("""COMPUTED_VALUE"""),"50900842196470")</f>
        <v>50900842196470</v>
      </c>
      <c r="B1923" s="30" t="str">
        <f ca="1">IFERROR(__xludf.DUMMYFUNCTION("""COMPUTED_VALUE"""),"POLICLINICA SAN CAYETANO")</f>
        <v>POLICLINICA SAN CAYETANO</v>
      </c>
      <c r="C1923" s="30" t="str">
        <f ca="1">IFERROR(__xludf.DUMMYFUNCTION("""COMPUTED_VALUE"""),"Tucumán")</f>
        <v>Tucumán</v>
      </c>
      <c r="D1923" s="30" t="str">
        <f ca="1">IFERROR(__xludf.DUMMYFUNCTION("""COMPUTED_VALUE"""),"90")</f>
        <v>90</v>
      </c>
      <c r="E1923" s="30" t="str">
        <f ca="1">IFERROR(__xludf.DUMMYFUNCTION("""COMPUTED_VALUE"""),"")</f>
        <v/>
      </c>
      <c r="F1923" s="29"/>
      <c r="G1923" s="29"/>
      <c r="H1923" s="30" t="str">
        <f ca="1">IFERROR(__xludf.DUMMYFUNCTION("""COMPUTED_VALUE"""),"activo")</f>
        <v>activo</v>
      </c>
      <c r="I1923" s="29"/>
      <c r="J1923" s="29"/>
      <c r="K1923" s="29"/>
      <c r="L1923" s="30" t="str">
        <f ca="1">IFERROR(__xludf.DUMMYFUNCTION("""COMPUTED_VALUE"""),"No")</f>
        <v>No</v>
      </c>
      <c r="M1923" s="30" t="str">
        <f ca="1">IFERROR(__xludf.DUMMYFUNCTION("""COMPUTED_VALUE"""),"90084010000")</f>
        <v>90084010000</v>
      </c>
      <c r="N1923" s="30" t="str">
        <f ca="1">IFERROR(__xludf.DUMMYFUNCTION("""COMPUTED_VALUE"""),"SAN MIGUEL DE TUCUMAN")</f>
        <v>SAN MIGUEL DE TUCUMAN</v>
      </c>
      <c r="O1923" s="30" t="str">
        <f ca="1">IFERROR(__xludf.DUMMYFUNCTION("""COMPUTED_VALUE"""),"9084")</f>
        <v>9084</v>
      </c>
      <c r="P1923" s="30" t="str">
        <f ca="1">IFERROR(__xludf.DUMMYFUNCTION("""COMPUTED_VALUE"""),"CAPITAL")</f>
        <v>CAPITAL</v>
      </c>
      <c r="Q1923" s="30" t="str">
        <f ca="1">IFERROR(__xludf.DUMMYFUNCTION("""COMPUTED_VALUE"""),"-26.852241")</f>
        <v>-26.852241</v>
      </c>
      <c r="R1923" s="30" t="str">
        <f ca="1">IFERROR(__xludf.DUMMYFUNCTION("""COMPUTED_VALUE"""),"-65.198382")</f>
        <v>-65.198382</v>
      </c>
      <c r="S1923" s="30" t="str">
        <f ca="1">IFERROR(__xludf.DUMMYFUNCTION("""COMPUTED_VALUE"""),"Provincial")</f>
        <v>Provincial</v>
      </c>
      <c r="T1923" s="30" t="str">
        <f ca="1">IFERROR(__xludf.DUMMYFUNCTION("""COMPUTED_VALUE"""),"-")</f>
        <v>-</v>
      </c>
    </row>
    <row r="1924" spans="1:20" ht="15.75" customHeight="1" x14ac:dyDescent="0.25">
      <c r="A1924" s="30" t="str">
        <f ca="1">IFERROR(__xludf.DUMMYFUNCTION("""COMPUTED_VALUE"""),"50900842196471")</f>
        <v>50900842196471</v>
      </c>
      <c r="B1924" s="30" t="str">
        <f ca="1">IFERROR(__xludf.DUMMYFUNCTION("""COMPUTED_VALUE"""),"POLICLINICA SAN RAFAEL")</f>
        <v>POLICLINICA SAN RAFAEL</v>
      </c>
      <c r="C1924" s="30" t="str">
        <f ca="1">IFERROR(__xludf.DUMMYFUNCTION("""COMPUTED_VALUE"""),"Tucumán")</f>
        <v>Tucumán</v>
      </c>
      <c r="D1924" s="30" t="str">
        <f ca="1">IFERROR(__xludf.DUMMYFUNCTION("""COMPUTED_VALUE"""),"90")</f>
        <v>90</v>
      </c>
      <c r="E1924" s="30" t="str">
        <f ca="1">IFERROR(__xludf.DUMMYFUNCTION("""COMPUTED_VALUE"""),"")</f>
        <v/>
      </c>
      <c r="F1924" s="29"/>
      <c r="G1924" s="29"/>
      <c r="H1924" s="30" t="str">
        <f ca="1">IFERROR(__xludf.DUMMYFUNCTION("""COMPUTED_VALUE"""),"activo")</f>
        <v>activo</v>
      </c>
      <c r="I1924" s="29"/>
      <c r="J1924" s="29"/>
      <c r="K1924" s="29"/>
      <c r="L1924" s="30" t="str">
        <f ca="1">IFERROR(__xludf.DUMMYFUNCTION("""COMPUTED_VALUE"""),"No")</f>
        <v>No</v>
      </c>
      <c r="M1924" s="30" t="str">
        <f ca="1">IFERROR(__xludf.DUMMYFUNCTION("""COMPUTED_VALUE"""),"90084010000")</f>
        <v>90084010000</v>
      </c>
      <c r="N1924" s="30" t="str">
        <f ca="1">IFERROR(__xludf.DUMMYFUNCTION("""COMPUTED_VALUE"""),"SAN MIGUEL DE TUCUMAN")</f>
        <v>SAN MIGUEL DE TUCUMAN</v>
      </c>
      <c r="O1924" s="30" t="str">
        <f ca="1">IFERROR(__xludf.DUMMYFUNCTION("""COMPUTED_VALUE"""),"9084")</f>
        <v>9084</v>
      </c>
      <c r="P1924" s="30" t="str">
        <f ca="1">IFERROR(__xludf.DUMMYFUNCTION("""COMPUTED_VALUE"""),"CAPITAL")</f>
        <v>CAPITAL</v>
      </c>
      <c r="Q1924" s="30" t="str">
        <f ca="1">IFERROR(__xludf.DUMMYFUNCTION("""COMPUTED_VALUE"""),"-26.79162816")</f>
        <v>-26.79162816</v>
      </c>
      <c r="R1924" s="30" t="str">
        <f ca="1">IFERROR(__xludf.DUMMYFUNCTION("""COMPUTED_VALUE"""),"-65.22870541")</f>
        <v>-65.22870541</v>
      </c>
      <c r="S1924" s="30" t="str">
        <f ca="1">IFERROR(__xludf.DUMMYFUNCTION("""COMPUTED_VALUE"""),"Provincial")</f>
        <v>Provincial</v>
      </c>
      <c r="T1924" s="30" t="str">
        <f ca="1">IFERROR(__xludf.DUMMYFUNCTION("""COMPUTED_VALUE"""),"-")</f>
        <v>-</v>
      </c>
    </row>
    <row r="1925" spans="1:20" ht="15.75" customHeight="1" x14ac:dyDescent="0.25">
      <c r="A1925" s="30" t="str">
        <f ca="1">IFERROR(__xludf.DUMMYFUNCTION("""COMPUTED_VALUE"""),"10900632196030")</f>
        <v>10900632196030</v>
      </c>
      <c r="B1925" s="30" t="str">
        <f ca="1">IFERROR(__xludf.DUMMYFUNCTION("""COMPUTED_VALUE"""),"HOSPITAL SAN PABLO")</f>
        <v>HOSPITAL SAN PABLO</v>
      </c>
      <c r="C1925" s="30" t="str">
        <f ca="1">IFERROR(__xludf.DUMMYFUNCTION("""COMPUTED_VALUE"""),"Tucumán")</f>
        <v>Tucumán</v>
      </c>
      <c r="D1925" s="30" t="str">
        <f ca="1">IFERROR(__xludf.DUMMYFUNCTION("""COMPUTED_VALUE"""),"90")</f>
        <v>90</v>
      </c>
      <c r="E1925" s="30" t="str">
        <f ca="1">IFERROR(__xludf.DUMMYFUNCTION("""COMPUTED_VALUE"""),"")</f>
        <v/>
      </c>
      <c r="F1925" s="29"/>
      <c r="G1925" s="29"/>
      <c r="H1925" s="30" t="str">
        <f ca="1">IFERROR(__xludf.DUMMYFUNCTION("""COMPUTED_VALUE"""),"activo")</f>
        <v>activo</v>
      </c>
      <c r="I1925" s="29"/>
      <c r="J1925" s="29"/>
      <c r="K1925" s="29"/>
      <c r="L1925" s="30" t="str">
        <f ca="1">IFERROR(__xludf.DUMMYFUNCTION("""COMPUTED_VALUE"""),"No")</f>
        <v>No</v>
      </c>
      <c r="M1925" s="30" t="str">
        <f ca="1">IFERROR(__xludf.DUMMYFUNCTION("""COMPUTED_VALUE"""),"90063030000")</f>
        <v>90063030000</v>
      </c>
      <c r="N1925" s="30" t="str">
        <f ca="1">IFERROR(__xludf.DUMMYFUNCTION("""COMPUTED_VALUE"""),"INGENIO SAN PABLO")</f>
        <v>INGENIO SAN PABLO</v>
      </c>
      <c r="O1925" s="30" t="str">
        <f ca="1">IFERROR(__xludf.DUMMYFUNCTION("""COMPUTED_VALUE"""),"9063")</f>
        <v>9063</v>
      </c>
      <c r="P1925" s="30" t="str">
        <f ca="1">IFERROR(__xludf.DUMMYFUNCTION("""COMPUTED_VALUE"""),"LULES")</f>
        <v>LULES</v>
      </c>
      <c r="Q1925" s="30" t="str">
        <f ca="1">IFERROR(__xludf.DUMMYFUNCTION("""COMPUTED_VALUE"""),"-26.870699")</f>
        <v>-26.870699</v>
      </c>
      <c r="R1925" s="30" t="str">
        <f ca="1">IFERROR(__xludf.DUMMYFUNCTION("""COMPUTED_VALUE"""),"-65.31061")</f>
        <v>-65.31061</v>
      </c>
      <c r="S1925" s="30" t="str">
        <f ca="1">IFERROR(__xludf.DUMMYFUNCTION("""COMPUTED_VALUE"""),"Provincial")</f>
        <v>Provincial</v>
      </c>
      <c r="T1925" s="30" t="str">
        <f ca="1">IFERROR(__xludf.DUMMYFUNCTION("""COMPUTED_VALUE"""),"-")</f>
        <v>-</v>
      </c>
    </row>
    <row r="1926" spans="1:20" ht="15.75" customHeight="1" x14ac:dyDescent="0.25">
      <c r="A1926" s="30" t="str">
        <f ca="1">IFERROR(__xludf.DUMMYFUNCTION("""COMPUTED_VALUE"""),"50900982196171")</f>
        <v>50900982196171</v>
      </c>
      <c r="B1926" s="30" t="str">
        <f ca="1">IFERROR(__xludf.DUMMYFUNCTION("""COMPUTED_VALUE"""),"CAPS EL MOLLAR (TAFI DEL VALLE)")</f>
        <v>CAPS EL MOLLAR (TAFI DEL VALLE)</v>
      </c>
      <c r="C1926" s="30" t="str">
        <f ca="1">IFERROR(__xludf.DUMMYFUNCTION("""COMPUTED_VALUE"""),"Tucumán")</f>
        <v>Tucumán</v>
      </c>
      <c r="D1926" s="30" t="str">
        <f ca="1">IFERROR(__xludf.DUMMYFUNCTION("""COMPUTED_VALUE"""),"90")</f>
        <v>90</v>
      </c>
      <c r="E1926" s="30" t="str">
        <f ca="1">IFERROR(__xludf.DUMMYFUNCTION("""COMPUTED_VALUE"""),"si")</f>
        <v>si</v>
      </c>
      <c r="F1926" s="29"/>
      <c r="G1926" s="29"/>
      <c r="H1926" s="30" t="str">
        <f ca="1">IFERROR(__xludf.DUMMYFUNCTION("""COMPUTED_VALUE"""),"activo")</f>
        <v>activo</v>
      </c>
      <c r="I1926" s="29"/>
      <c r="J1926" s="29"/>
      <c r="K1926" s="29"/>
      <c r="L1926" s="30" t="str">
        <f ca="1">IFERROR(__xludf.DUMMYFUNCTION("""COMPUTED_VALUE"""),"No")</f>
        <v>No</v>
      </c>
      <c r="M1926" s="30" t="str">
        <f ca="1">IFERROR(__xludf.DUMMYFUNCTION("""COMPUTED_VALUE"""),"90098030000")</f>
        <v>90098030000</v>
      </c>
      <c r="N1926" s="30" t="str">
        <f ca="1">IFERROR(__xludf.DUMMYFUNCTION("""COMPUTED_VALUE"""),"EL MOLLAR")</f>
        <v>EL MOLLAR</v>
      </c>
      <c r="O1926" s="30" t="str">
        <f ca="1">IFERROR(__xludf.DUMMYFUNCTION("""COMPUTED_VALUE"""),"9098")</f>
        <v>9098</v>
      </c>
      <c r="P1926" s="30" t="str">
        <f ca="1">IFERROR(__xludf.DUMMYFUNCTION("""COMPUTED_VALUE"""),"TAFÍ DEL VALLE")</f>
        <v>TAFÍ DEL VALLE</v>
      </c>
      <c r="Q1926" s="30" t="str">
        <f ca="1">IFERROR(__xludf.DUMMYFUNCTION("""COMPUTED_VALUE"""),"-26.8511")</f>
        <v>-26.8511</v>
      </c>
      <c r="R1926" s="30" t="str">
        <f ca="1">IFERROR(__xludf.DUMMYFUNCTION("""COMPUTED_VALUE"""),"-65.7081984")</f>
        <v>-65.7081984</v>
      </c>
      <c r="S1926" s="30" t="str">
        <f ca="1">IFERROR(__xludf.DUMMYFUNCTION("""COMPUTED_VALUE"""),"Provincial")</f>
        <v>Provincial</v>
      </c>
      <c r="T1926" s="30" t="str">
        <f ca="1">IFERROR(__xludf.DUMMYFUNCTION("""COMPUTED_VALUE"""),"-")</f>
        <v>-</v>
      </c>
    </row>
    <row r="1927" spans="1:20" ht="15.75" customHeight="1" x14ac:dyDescent="0.25">
      <c r="A1927" s="30" t="str">
        <f ca="1">IFERROR(__xludf.DUMMYFUNCTION("""COMPUTED_VALUE"""),"50900982196464")</f>
        <v>50900982196464</v>
      </c>
      <c r="B1927" s="30" t="str">
        <f ca="1">IFERROR(__xludf.DUMMYFUNCTION("""COMPUTED_VALUE"""),"POLICLINICA DR. ADRIAN TUMA (AMAICHA DEL VALLE)")</f>
        <v>POLICLINICA DR. ADRIAN TUMA (AMAICHA DEL VALLE)</v>
      </c>
      <c r="C1927" s="30" t="str">
        <f ca="1">IFERROR(__xludf.DUMMYFUNCTION("""COMPUTED_VALUE"""),"Tucumán")</f>
        <v>Tucumán</v>
      </c>
      <c r="D1927" s="30" t="str">
        <f ca="1">IFERROR(__xludf.DUMMYFUNCTION("""COMPUTED_VALUE"""),"90")</f>
        <v>90</v>
      </c>
      <c r="E1927" s="30" t="str">
        <f ca="1">IFERROR(__xludf.DUMMYFUNCTION("""COMPUTED_VALUE"""),"si")</f>
        <v>si</v>
      </c>
      <c r="F1927" s="29"/>
      <c r="G1927" s="29"/>
      <c r="H1927" s="30" t="str">
        <f ca="1">IFERROR(__xludf.DUMMYFUNCTION("""COMPUTED_VALUE"""),"activo")</f>
        <v>activo</v>
      </c>
      <c r="I1927" s="29"/>
      <c r="J1927" s="29"/>
      <c r="K1927" s="29"/>
      <c r="L1927" s="30" t="str">
        <f ca="1">IFERROR(__xludf.DUMMYFUNCTION("""COMPUTED_VALUE"""),"No")</f>
        <v>No</v>
      </c>
      <c r="M1927" s="30" t="str">
        <f ca="1">IFERROR(__xludf.DUMMYFUNCTION("""COMPUTED_VALUE"""),"90098010000")</f>
        <v>90098010000</v>
      </c>
      <c r="N1927" s="30" t="str">
        <f ca="1">IFERROR(__xludf.DUMMYFUNCTION("""COMPUTED_VALUE"""),"AMAICHA DEL VALLE")</f>
        <v>AMAICHA DEL VALLE</v>
      </c>
      <c r="O1927" s="30" t="str">
        <f ca="1">IFERROR(__xludf.DUMMYFUNCTION("""COMPUTED_VALUE"""),"9098")</f>
        <v>9098</v>
      </c>
      <c r="P1927" s="30" t="str">
        <f ca="1">IFERROR(__xludf.DUMMYFUNCTION("""COMPUTED_VALUE"""),"TAFÍ DEL VALLE")</f>
        <v>TAFÍ DEL VALLE</v>
      </c>
      <c r="Q1927" s="30" t="str">
        <f ca="1">IFERROR(__xludf.DUMMYFUNCTION("""COMPUTED_VALUE"""),"-26.593241")</f>
        <v>-26.593241</v>
      </c>
      <c r="R1927" s="30" t="str">
        <f ca="1">IFERROR(__xludf.DUMMYFUNCTION("""COMPUTED_VALUE"""),"-65.919681")</f>
        <v>-65.919681</v>
      </c>
      <c r="S1927" s="30" t="str">
        <f ca="1">IFERROR(__xludf.DUMMYFUNCTION("""COMPUTED_VALUE"""),"Provincial")</f>
        <v>Provincial</v>
      </c>
      <c r="T1927" s="30" t="str">
        <f ca="1">IFERROR(__xludf.DUMMYFUNCTION("""COMPUTED_VALUE"""),"-")</f>
        <v>-</v>
      </c>
    </row>
    <row r="1928" spans="1:20" ht="15.75" customHeight="1" x14ac:dyDescent="0.25">
      <c r="A1928" s="30" t="str">
        <f ca="1">IFERROR(__xludf.DUMMYFUNCTION("""COMPUTED_VALUE"""),"50901052196130")</f>
        <v>50901052196130</v>
      </c>
      <c r="B1928" s="30" t="str">
        <f ca="1">IFERROR(__xludf.DUMMYFUNCTION("""COMPUTED_VALUE"""),"POLICLINICA VILLA MARIANO MORENO")</f>
        <v>POLICLINICA VILLA MARIANO MORENO</v>
      </c>
      <c r="C1928" s="30" t="str">
        <f ca="1">IFERROR(__xludf.DUMMYFUNCTION("""COMPUTED_VALUE"""),"Tucumán")</f>
        <v>Tucumán</v>
      </c>
      <c r="D1928" s="30" t="str">
        <f ca="1">IFERROR(__xludf.DUMMYFUNCTION("""COMPUTED_VALUE"""),"90")</f>
        <v>90</v>
      </c>
      <c r="E1928" s="30" t="str">
        <f ca="1">IFERROR(__xludf.DUMMYFUNCTION("""COMPUTED_VALUE"""),"")</f>
        <v/>
      </c>
      <c r="F1928" s="29"/>
      <c r="G1928" s="29"/>
      <c r="H1928" s="30" t="str">
        <f ca="1">IFERROR(__xludf.DUMMYFUNCTION("""COMPUTED_VALUE"""),"activo")</f>
        <v>activo</v>
      </c>
      <c r="I1928" s="29"/>
      <c r="J1928" s="29"/>
      <c r="K1928" s="29"/>
      <c r="L1928" s="30" t="str">
        <f ca="1">IFERROR(__xludf.DUMMYFUNCTION("""COMPUTED_VALUE"""),"No")</f>
        <v>No</v>
      </c>
      <c r="M1928" s="30" t="str">
        <f ca="1">IFERROR(__xludf.DUMMYFUNCTION("""COMPUTED_VALUE"""),"90105100000")</f>
        <v>90105100000</v>
      </c>
      <c r="N1928" s="30" t="str">
        <f ca="1">IFERROR(__xludf.DUMMYFUNCTION("""COMPUTED_VALUE"""),"VILLA MARIANO MORENO - EL COLMENAR")</f>
        <v>VILLA MARIANO MORENO - EL COLMENAR</v>
      </c>
      <c r="O1928" s="30" t="str">
        <f ca="1">IFERROR(__xludf.DUMMYFUNCTION("""COMPUTED_VALUE"""),"90105")</f>
        <v>90105</v>
      </c>
      <c r="P1928" s="30" t="str">
        <f ca="1">IFERROR(__xludf.DUMMYFUNCTION("""COMPUTED_VALUE"""),"TAFÍ VIEJO")</f>
        <v>TAFÍ VIEJO</v>
      </c>
      <c r="Q1928" s="30" t="str">
        <f ca="1">IFERROR(__xludf.DUMMYFUNCTION("""COMPUTED_VALUE"""),"-26.777434")</f>
        <v>-26.777434</v>
      </c>
      <c r="R1928" s="30" t="str">
        <f ca="1">IFERROR(__xludf.DUMMYFUNCTION("""COMPUTED_VALUE"""),"-65.210123")</f>
        <v>-65.210123</v>
      </c>
      <c r="S1928" s="30" t="str">
        <f ca="1">IFERROR(__xludf.DUMMYFUNCTION("""COMPUTED_VALUE"""),"Provincial")</f>
        <v>Provincial</v>
      </c>
      <c r="T1928" s="30" t="str">
        <f ca="1">IFERROR(__xludf.DUMMYFUNCTION("""COMPUTED_VALUE"""),"-")</f>
        <v>-</v>
      </c>
    </row>
    <row r="1929" spans="1:20" ht="15.75" customHeight="1" x14ac:dyDescent="0.25">
      <c r="A1929" s="30" t="str">
        <f ca="1">IFERROR(__xludf.DUMMYFUNCTION("""COMPUTED_VALUE"""),"50901052196202")</f>
        <v>50901052196202</v>
      </c>
      <c r="B1929" s="30" t="str">
        <f ca="1">IFERROR(__xludf.DUMMYFUNCTION("""COMPUTED_VALUE"""),"CAPS PABLO VI")</f>
        <v>CAPS PABLO VI</v>
      </c>
      <c r="C1929" s="30" t="str">
        <f ca="1">IFERROR(__xludf.DUMMYFUNCTION("""COMPUTED_VALUE"""),"Tucumán")</f>
        <v>Tucumán</v>
      </c>
      <c r="D1929" s="30" t="str">
        <f ca="1">IFERROR(__xludf.DUMMYFUNCTION("""COMPUTED_VALUE"""),"90")</f>
        <v>90</v>
      </c>
      <c r="E1929" s="30" t="str">
        <f ca="1">IFERROR(__xludf.DUMMYFUNCTION("""COMPUTED_VALUE"""),"")</f>
        <v/>
      </c>
      <c r="F1929" s="29"/>
      <c r="G1929" s="29"/>
      <c r="H1929" s="30" t="str">
        <f ca="1">IFERROR(__xludf.DUMMYFUNCTION("""COMPUTED_VALUE"""),"activo")</f>
        <v>activo</v>
      </c>
      <c r="I1929" s="29"/>
      <c r="J1929" s="29"/>
      <c r="K1929" s="29"/>
      <c r="L1929" s="30" t="str">
        <f ca="1">IFERROR(__xludf.DUMMYFUNCTION("""COMPUTED_VALUE"""),"No")</f>
        <v>No</v>
      </c>
      <c r="M1929" s="30" t="str">
        <f ca="1">IFERROR(__xludf.DUMMYFUNCTION("""COMPUTED_VALUE"""),"90105110")</f>
        <v>90105110</v>
      </c>
      <c r="N1929" s="30" t="str">
        <f ca="1">IFERROR(__xludf.DUMMYFUNCTION("""COMPUTED_VALUE"""),"LAS TALITAS")</f>
        <v>LAS TALITAS</v>
      </c>
      <c r="O1929" s="30" t="str">
        <f ca="1">IFERROR(__xludf.DUMMYFUNCTION("""COMPUTED_VALUE"""),"90105")</f>
        <v>90105</v>
      </c>
      <c r="P1929" s="30" t="str">
        <f ca="1">IFERROR(__xludf.DUMMYFUNCTION("""COMPUTED_VALUE"""),"TAFÍ VIEJO")</f>
        <v>TAFÍ VIEJO</v>
      </c>
      <c r="Q1929" s="30" t="str">
        <f ca="1">IFERROR(__xludf.DUMMYFUNCTION("""COMPUTED_VALUE"""),"-26.774527")</f>
        <v>-26.774527</v>
      </c>
      <c r="R1929" s="30" t="str">
        <f ca="1">IFERROR(__xludf.DUMMYFUNCTION("""COMPUTED_VALUE"""),"-65.196377")</f>
        <v>-65.196377</v>
      </c>
      <c r="S1929" s="30" t="str">
        <f ca="1">IFERROR(__xludf.DUMMYFUNCTION("""COMPUTED_VALUE"""),"Provincial")</f>
        <v>Provincial</v>
      </c>
      <c r="T1929" s="30" t="str">
        <f ca="1">IFERROR(__xludf.DUMMYFUNCTION("""COMPUTED_VALUE"""),"-")</f>
        <v>-</v>
      </c>
    </row>
    <row r="1930" spans="1:20" ht="15.75" customHeight="1" x14ac:dyDescent="0.25">
      <c r="A1930" s="30" t="str">
        <f ca="1">IFERROR(__xludf.DUMMYFUNCTION("""COMPUTED_VALUE"""),"50901052196208")</f>
        <v>50901052196208</v>
      </c>
      <c r="B1930" s="30" t="str">
        <f ca="1">IFERROR(__xludf.DUMMYFUNCTION("""COMPUTED_VALUE"""),"CAPS SAN FRANCISCO SOLANO (EX BARRIO SOEME)")</f>
        <v>CAPS SAN FRANCISCO SOLANO (EX BARRIO SOEME)</v>
      </c>
      <c r="C1930" s="30" t="str">
        <f ca="1">IFERROR(__xludf.DUMMYFUNCTION("""COMPUTED_VALUE"""),"Tucumán")</f>
        <v>Tucumán</v>
      </c>
      <c r="D1930" s="30" t="str">
        <f ca="1">IFERROR(__xludf.DUMMYFUNCTION("""COMPUTED_VALUE"""),"90")</f>
        <v>90</v>
      </c>
      <c r="E1930" s="30" t="str">
        <f ca="1">IFERROR(__xludf.DUMMYFUNCTION("""COMPUTED_VALUE"""),"")</f>
        <v/>
      </c>
      <c r="F1930" s="29"/>
      <c r="G1930" s="29"/>
      <c r="H1930" s="30" t="str">
        <f ca="1">IFERROR(__xludf.DUMMYFUNCTION("""COMPUTED_VALUE"""),"activo")</f>
        <v>activo</v>
      </c>
      <c r="I1930" s="29"/>
      <c r="J1930" s="29"/>
      <c r="K1930" s="29"/>
      <c r="L1930" s="30" t="str">
        <f ca="1">IFERROR(__xludf.DUMMYFUNCTION("""COMPUTED_VALUE"""),"No")</f>
        <v>No</v>
      </c>
      <c r="M1930" s="30" t="str">
        <f ca="1">IFERROR(__xludf.DUMMYFUNCTION("""COMPUTED_VALUE"""),"90105100000")</f>
        <v>90105100000</v>
      </c>
      <c r="N1930" s="30" t="str">
        <f ca="1">IFERROR(__xludf.DUMMYFUNCTION("""COMPUTED_VALUE"""),"VILLA MARIANO MORENO - EL COLMENAR")</f>
        <v>VILLA MARIANO MORENO - EL COLMENAR</v>
      </c>
      <c r="O1930" s="30" t="str">
        <f ca="1">IFERROR(__xludf.DUMMYFUNCTION("""COMPUTED_VALUE"""),"90105")</f>
        <v>90105</v>
      </c>
      <c r="P1930" s="30" t="str">
        <f ca="1">IFERROR(__xludf.DUMMYFUNCTION("""COMPUTED_VALUE"""),"TAFÍ VIEJO")</f>
        <v>TAFÍ VIEJO</v>
      </c>
      <c r="Q1930" s="30" t="str">
        <f ca="1">IFERROR(__xludf.DUMMYFUNCTION("""COMPUTED_VALUE"""),"-26.778388")</f>
        <v>-26.778388</v>
      </c>
      <c r="R1930" s="30" t="str">
        <f ca="1">IFERROR(__xludf.DUMMYFUNCTION("""COMPUTED_VALUE"""),"-65.187512")</f>
        <v>-65.187512</v>
      </c>
      <c r="S1930" s="30" t="str">
        <f ca="1">IFERROR(__xludf.DUMMYFUNCTION("""COMPUTED_VALUE"""),"Provincial")</f>
        <v>Provincial</v>
      </c>
      <c r="T1930" s="30" t="str">
        <f ca="1">IFERROR(__xludf.DUMMYFUNCTION("""COMPUTED_VALUE"""),"-")</f>
        <v>-</v>
      </c>
    </row>
    <row r="1931" spans="1:20" ht="15.75" customHeight="1" x14ac:dyDescent="0.25">
      <c r="A1931" s="30" t="str">
        <f ca="1">IFERROR(__xludf.DUMMYFUNCTION("""COMPUTED_VALUE"""),"50901052196227")</f>
        <v>50901052196227</v>
      </c>
      <c r="B1931" s="30" t="str">
        <f ca="1">IFERROR(__xludf.DUMMYFUNCTION("""COMPUTED_VALUE"""),"CAPS VILLA OBRERA")</f>
        <v>CAPS VILLA OBRERA</v>
      </c>
      <c r="C1931" s="30" t="str">
        <f ca="1">IFERROR(__xludf.DUMMYFUNCTION("""COMPUTED_VALUE"""),"Tucumán")</f>
        <v>Tucumán</v>
      </c>
      <c r="D1931" s="30" t="str">
        <f ca="1">IFERROR(__xludf.DUMMYFUNCTION("""COMPUTED_VALUE"""),"90")</f>
        <v>90</v>
      </c>
      <c r="E1931" s="30" t="str">
        <f ca="1">IFERROR(__xludf.DUMMYFUNCTION("""COMPUTED_VALUE"""),"")</f>
        <v/>
      </c>
      <c r="F1931" s="29"/>
      <c r="G1931" s="29"/>
      <c r="H1931" s="30" t="str">
        <f ca="1">IFERROR(__xludf.DUMMYFUNCTION("""COMPUTED_VALUE"""),"activo")</f>
        <v>activo</v>
      </c>
      <c r="I1931" s="29"/>
      <c r="J1931" s="29"/>
      <c r="K1931" s="29"/>
      <c r="L1931" s="30" t="str">
        <f ca="1">IFERROR(__xludf.DUMMYFUNCTION("""COMPUTED_VALUE"""),"No")</f>
        <v>No</v>
      </c>
      <c r="M1931" s="30" t="str">
        <f ca="1">IFERROR(__xludf.DUMMYFUNCTION("""COMPUTED_VALUE"""),"90105080000")</f>
        <v>90105080000</v>
      </c>
      <c r="N1931" s="30" t="str">
        <f ca="1">IFERROR(__xludf.DUMMYFUNCTION("""COMPUTED_VALUE"""),"TAFI VIEJO")</f>
        <v>TAFI VIEJO</v>
      </c>
      <c r="O1931" s="30" t="str">
        <f ca="1">IFERROR(__xludf.DUMMYFUNCTION("""COMPUTED_VALUE"""),"90105")</f>
        <v>90105</v>
      </c>
      <c r="P1931" s="30" t="str">
        <f ca="1">IFERROR(__xludf.DUMMYFUNCTION("""COMPUTED_VALUE"""),"TAFÍ VIEJO")</f>
        <v>TAFÍ VIEJO</v>
      </c>
      <c r="Q1931" s="30" t="str">
        <f ca="1">IFERROR(__xludf.DUMMYFUNCTION("""COMPUTED_VALUE"""),"-26.735266")</f>
        <v>-26.735266</v>
      </c>
      <c r="R1931" s="30" t="str">
        <f ca="1">IFERROR(__xludf.DUMMYFUNCTION("""COMPUTED_VALUE"""),"-65.249518")</f>
        <v>-65.249518</v>
      </c>
      <c r="S1931" s="30" t="str">
        <f ca="1">IFERROR(__xludf.DUMMYFUNCTION("""COMPUTED_VALUE"""),"Provincial")</f>
        <v>Provincial</v>
      </c>
      <c r="T1931" s="30" t="str">
        <f ca="1">IFERROR(__xludf.DUMMYFUNCTION("""COMPUTED_VALUE"""),"-")</f>
        <v>-</v>
      </c>
    </row>
    <row r="1932" spans="1:20" ht="15.75" customHeight="1" x14ac:dyDescent="0.25">
      <c r="A1932" s="30" t="str">
        <f ca="1">IFERROR(__xludf.DUMMYFUNCTION("""COMPUTED_VALUE"""),"50901052196230")</f>
        <v>50901052196230</v>
      </c>
      <c r="B1932" s="30" t="str">
        <f ca="1">IFERROR(__xludf.DUMMYFUNCTION("""COMPUTED_VALUE"""),"CAPS VILLA ROSA")</f>
        <v>CAPS VILLA ROSA</v>
      </c>
      <c r="C1932" s="30" t="str">
        <f ca="1">IFERROR(__xludf.DUMMYFUNCTION("""COMPUTED_VALUE"""),"Tucumán")</f>
        <v>Tucumán</v>
      </c>
      <c r="D1932" s="30" t="str">
        <f ca="1">IFERROR(__xludf.DUMMYFUNCTION("""COMPUTED_VALUE"""),"90")</f>
        <v>90</v>
      </c>
      <c r="E1932" s="30" t="str">
        <f ca="1">IFERROR(__xludf.DUMMYFUNCTION("""COMPUTED_VALUE"""),"")</f>
        <v/>
      </c>
      <c r="F1932" s="29"/>
      <c r="G1932" s="29"/>
      <c r="H1932" s="30" t="str">
        <f ca="1">IFERROR(__xludf.DUMMYFUNCTION("""COMPUTED_VALUE"""),"activo")</f>
        <v>activo</v>
      </c>
      <c r="I1932" s="29"/>
      <c r="J1932" s="29"/>
      <c r="K1932" s="29"/>
      <c r="L1932" s="30" t="str">
        <f ca="1">IFERROR(__xludf.DUMMYFUNCTION("""COMPUTED_VALUE"""),"No")</f>
        <v>No</v>
      </c>
      <c r="M1932" s="30" t="str">
        <f ca="1">IFERROR(__xludf.DUMMYFUNCTION("""COMPUTED_VALUE"""),"90105080000")</f>
        <v>90105080000</v>
      </c>
      <c r="N1932" s="30" t="str">
        <f ca="1">IFERROR(__xludf.DUMMYFUNCTION("""COMPUTED_VALUE"""),"TAFI VIEJO")</f>
        <v>TAFI VIEJO</v>
      </c>
      <c r="O1932" s="30" t="str">
        <f ca="1">IFERROR(__xludf.DUMMYFUNCTION("""COMPUTED_VALUE"""),"90105")</f>
        <v>90105</v>
      </c>
      <c r="P1932" s="30" t="str">
        <f ca="1">IFERROR(__xludf.DUMMYFUNCTION("""COMPUTED_VALUE"""),"TAFÍ VIEJO")</f>
        <v>TAFÍ VIEJO</v>
      </c>
      <c r="Q1932" s="30" t="str">
        <f ca="1">IFERROR(__xludf.DUMMYFUNCTION("""COMPUTED_VALUE"""),"-26.723285")</f>
        <v>-26.723285</v>
      </c>
      <c r="R1932" s="30" t="str">
        <f ca="1">IFERROR(__xludf.DUMMYFUNCTION("""COMPUTED_VALUE"""),"-65.260212")</f>
        <v>-65.260212</v>
      </c>
      <c r="S1932" s="30" t="str">
        <f ca="1">IFERROR(__xludf.DUMMYFUNCTION("""COMPUTED_VALUE"""),"Provincial")</f>
        <v>Provincial</v>
      </c>
      <c r="T1932" s="30" t="str">
        <f ca="1">IFERROR(__xludf.DUMMYFUNCTION("""COMPUTED_VALUE"""),"-")</f>
        <v>-</v>
      </c>
    </row>
    <row r="1933" spans="1:20" ht="15.75" customHeight="1" x14ac:dyDescent="0.25">
      <c r="A1933" s="30" t="str">
        <f ca="1">IFERROR(__xludf.DUMMYFUNCTION("""COMPUTED_VALUE"""),"50901052196236")</f>
        <v>50901052196236</v>
      </c>
      <c r="B1933" s="30" t="str">
        <f ca="1">IFERROR(__xludf.DUMMYFUNCTION("""COMPUTED_VALUE"""),"CIC LOS POCITOS")</f>
        <v>CIC LOS POCITOS</v>
      </c>
      <c r="C1933" s="30" t="str">
        <f ca="1">IFERROR(__xludf.DUMMYFUNCTION("""COMPUTED_VALUE"""),"Tucumán")</f>
        <v>Tucumán</v>
      </c>
      <c r="D1933" s="30" t="str">
        <f ca="1">IFERROR(__xludf.DUMMYFUNCTION("""COMPUTED_VALUE"""),"90")</f>
        <v>90</v>
      </c>
      <c r="E1933" s="30" t="str">
        <f ca="1">IFERROR(__xludf.DUMMYFUNCTION("""COMPUTED_VALUE"""),"")</f>
        <v/>
      </c>
      <c r="F1933" s="29"/>
      <c r="G1933" s="29"/>
      <c r="H1933" s="30" t="str">
        <f ca="1">IFERROR(__xludf.DUMMYFUNCTION("""COMPUTED_VALUE"""),"activo")</f>
        <v>activo</v>
      </c>
      <c r="I1933" s="29"/>
      <c r="J1933" s="29"/>
      <c r="K1933" s="29"/>
      <c r="L1933" s="30" t="str">
        <f ca="1">IFERROR(__xludf.DUMMYFUNCTION("""COMPUTED_VALUE"""),"No")</f>
        <v>No</v>
      </c>
      <c r="M1933" s="30" t="str">
        <f ca="1">IFERROR(__xludf.DUMMYFUNCTION("""COMPUTED_VALUE"""),"90105060000")</f>
        <v>90105060000</v>
      </c>
      <c r="N1933" s="30" t="str">
        <f ca="1">IFERROR(__xludf.DUMMYFUNCTION("""COMPUTED_VALUE"""),"DIAG. NORTE - LUZ Y FUERZA - LOS POCITOS")</f>
        <v>DIAG. NORTE - LUZ Y FUERZA - LOS POCITOS</v>
      </c>
      <c r="O1933" s="30" t="str">
        <f ca="1">IFERROR(__xludf.DUMMYFUNCTION("""COMPUTED_VALUE"""),"90105")</f>
        <v>90105</v>
      </c>
      <c r="P1933" s="30" t="str">
        <f ca="1">IFERROR(__xludf.DUMMYFUNCTION("""COMPUTED_VALUE"""),"TAFÍ VIEJO")</f>
        <v>TAFÍ VIEJO</v>
      </c>
      <c r="Q1933" s="30" t="str">
        <f ca="1">IFERROR(__xludf.DUMMYFUNCTION("""COMPUTED_VALUE"""),"-26.781797")</f>
        <v>-26.781797</v>
      </c>
      <c r="R1933" s="30" t="str">
        <f ca="1">IFERROR(__xludf.DUMMYFUNCTION("""COMPUTED_VALUE"""),"-65.21688")</f>
        <v>-65.21688</v>
      </c>
      <c r="S1933" s="30" t="str">
        <f ca="1">IFERROR(__xludf.DUMMYFUNCTION("""COMPUTED_VALUE"""),"Provincial")</f>
        <v>Provincial</v>
      </c>
      <c r="T1933" s="30" t="str">
        <f ca="1">IFERROR(__xludf.DUMMYFUNCTION("""COMPUTED_VALUE"""),"-")</f>
        <v>-</v>
      </c>
    </row>
    <row r="1934" spans="1:20" ht="15.75" customHeight="1" x14ac:dyDescent="0.25">
      <c r="A1934" s="30" t="str">
        <f ca="1">IFERROR(__xludf.DUMMYFUNCTION("""COMPUTED_VALUE"""),"50901052196302")</f>
        <v>50901052196302</v>
      </c>
      <c r="B1934" s="30" t="str">
        <f ca="1">IFERROR(__xludf.DUMMYFUNCTION("""COMPUTED_VALUE"""),"CAPS DR. OSCAR JIMENEZ")</f>
        <v>CAPS DR. OSCAR JIMENEZ</v>
      </c>
      <c r="C1934" s="30" t="str">
        <f ca="1">IFERROR(__xludf.DUMMYFUNCTION("""COMPUTED_VALUE"""),"Tucumán")</f>
        <v>Tucumán</v>
      </c>
      <c r="D1934" s="30" t="str">
        <f ca="1">IFERROR(__xludf.DUMMYFUNCTION("""COMPUTED_VALUE"""),"90")</f>
        <v>90</v>
      </c>
      <c r="E1934" s="30" t="str">
        <f ca="1">IFERROR(__xludf.DUMMYFUNCTION("""COMPUTED_VALUE"""),"")</f>
        <v/>
      </c>
      <c r="F1934" s="29"/>
      <c r="G1934" s="30" t="str">
        <f ca="1">IFERROR(__xludf.DUMMYFUNCTION("""COMPUTED_VALUE"""),"10901122196014")</f>
        <v>10901122196014</v>
      </c>
      <c r="H1934" s="30" t="str">
        <f ca="1">IFERROR(__xludf.DUMMYFUNCTION("""COMPUTED_VALUE"""),"inactivo")</f>
        <v>inactivo</v>
      </c>
      <c r="I1934" s="29"/>
      <c r="J1934" s="29"/>
      <c r="K1934" s="29"/>
      <c r="L1934" s="30" t="str">
        <f ca="1">IFERROR(__xludf.DUMMYFUNCTION("""COMPUTED_VALUE"""),"No")</f>
        <v>No</v>
      </c>
      <c r="M1934" s="30" t="str">
        <f ca="1">IFERROR(__xludf.DUMMYFUNCTION("""COMPUTED_VALUE"""),"90105080000")</f>
        <v>90105080000</v>
      </c>
      <c r="N1934" s="30" t="str">
        <f ca="1">IFERROR(__xludf.DUMMYFUNCTION("""COMPUTED_VALUE"""),"TAFI VIEJO")</f>
        <v>TAFI VIEJO</v>
      </c>
      <c r="O1934" s="30" t="str">
        <f ca="1">IFERROR(__xludf.DUMMYFUNCTION("""COMPUTED_VALUE"""),"90105")</f>
        <v>90105</v>
      </c>
      <c r="P1934" s="30" t="str">
        <f ca="1">IFERROR(__xludf.DUMMYFUNCTION("""COMPUTED_VALUE"""),"TAFÍ VIEJO")</f>
        <v>TAFÍ VIEJO</v>
      </c>
      <c r="Q1934" s="30" t="str">
        <f ca="1">IFERROR(__xludf.DUMMYFUNCTION("""COMPUTED_VALUE"""),"-26.7420126")</f>
        <v>-26.7420126</v>
      </c>
      <c r="R1934" s="30" t="str">
        <f ca="1">IFERROR(__xludf.DUMMYFUNCTION("""COMPUTED_VALUE"""),"-65.2518985")</f>
        <v>-65.2518985</v>
      </c>
      <c r="S1934" s="30" t="str">
        <f ca="1">IFERROR(__xludf.DUMMYFUNCTION("""COMPUTED_VALUE"""),"Provincial")</f>
        <v>Provincial</v>
      </c>
      <c r="T1934" s="30" t="str">
        <f ca="1">IFERROR(__xludf.DUMMYFUNCTION("""COMPUTED_VALUE"""),"-")</f>
        <v>-</v>
      </c>
    </row>
    <row r="1935" spans="1:20" ht="15.75" customHeight="1" x14ac:dyDescent="0.25">
      <c r="A1935" s="30" t="str">
        <f ca="1">IFERROR(__xludf.DUMMYFUNCTION("""COMPUTED_VALUE"""),"10901122196014")</f>
        <v>10901122196014</v>
      </c>
      <c r="B1935" s="30" t="str">
        <f ca="1">IFERROR(__xludf.DUMMYFUNCTION("""COMPUTED_VALUE"""),"HOSPITAL DE TRANCAS")</f>
        <v>HOSPITAL DE TRANCAS</v>
      </c>
      <c r="C1935" s="30" t="str">
        <f ca="1">IFERROR(__xludf.DUMMYFUNCTION("""COMPUTED_VALUE"""),"Tucumán")</f>
        <v>Tucumán</v>
      </c>
      <c r="D1935" s="30" t="str">
        <f ca="1">IFERROR(__xludf.DUMMYFUNCTION("""COMPUTED_VALUE"""),"90")</f>
        <v>90</v>
      </c>
      <c r="E1935" s="30" t="str">
        <f ca="1">IFERROR(__xludf.DUMMYFUNCTION("""COMPUTED_VALUE"""),"")</f>
        <v/>
      </c>
      <c r="F1935" s="30" t="str">
        <f ca="1">IFERROR(__xludf.DUMMYFUNCTION("""COMPUTED_VALUE"""),"50901052196302")</f>
        <v>50901052196302</v>
      </c>
      <c r="G1935" s="29"/>
      <c r="H1935" s="30" t="str">
        <f ca="1">IFERROR(__xludf.DUMMYFUNCTION("""COMPUTED_VALUE"""),"activo")</f>
        <v>activo</v>
      </c>
      <c r="I1935" s="29"/>
      <c r="J1935" s="29"/>
      <c r="K1935" s="29"/>
      <c r="L1935" s="30" t="str">
        <f ca="1">IFERROR(__xludf.DUMMYFUNCTION("""COMPUTED_VALUE"""),"No")</f>
        <v>No</v>
      </c>
      <c r="M1935" s="30" t="str">
        <f ca="1">IFERROR(__xludf.DUMMYFUNCTION("""COMPUTED_VALUE"""),"90112030000")</f>
        <v>90112030000</v>
      </c>
      <c r="N1935" s="30" t="str">
        <f ca="1">IFERROR(__xludf.DUMMYFUNCTION("""COMPUTED_VALUE"""),"VILLA DE TRANCAS")</f>
        <v>VILLA DE TRANCAS</v>
      </c>
      <c r="O1935" s="30" t="str">
        <f ca="1">IFERROR(__xludf.DUMMYFUNCTION("""COMPUTED_VALUE"""),"90112")</f>
        <v>90112</v>
      </c>
      <c r="P1935" s="30" t="str">
        <f ca="1">IFERROR(__xludf.DUMMYFUNCTION("""COMPUTED_VALUE"""),"TRANCAS")</f>
        <v>TRANCAS</v>
      </c>
      <c r="Q1935" s="30" t="str">
        <f ca="1">IFERROR(__xludf.DUMMYFUNCTION("""COMPUTED_VALUE"""),"-26.231541")</f>
        <v>-26.231541</v>
      </c>
      <c r="R1935" s="30" t="str">
        <f ca="1">IFERROR(__xludf.DUMMYFUNCTION("""COMPUTED_VALUE"""),"-65.276577")</f>
        <v>-65.276577</v>
      </c>
      <c r="S1935" s="30" t="str">
        <f ca="1">IFERROR(__xludf.DUMMYFUNCTION("""COMPUTED_VALUE"""),"Provincial")</f>
        <v>Provincial</v>
      </c>
      <c r="T1935" s="30" t="str">
        <f ca="1">IFERROR(__xludf.DUMMYFUNCTION("""COMPUTED_VALUE"""),"-")</f>
        <v>-</v>
      </c>
    </row>
    <row r="1936" spans="1:20" ht="15.75" customHeight="1" x14ac:dyDescent="0.25">
      <c r="A1936" s="30" t="str">
        <f ca="1">IFERROR(__xludf.DUMMYFUNCTION("""COMPUTED_VALUE"""),"50901052196314")</f>
        <v>50901052196314</v>
      </c>
      <c r="B1936" s="30" t="str">
        <f ca="1">IFERROR(__xludf.DUMMYFUNCTION("""COMPUTED_VALUE"""),"POLICLINICA  SAN JOSE")</f>
        <v>POLICLINICA  SAN JOSE</v>
      </c>
      <c r="C1936" s="30" t="str">
        <f ca="1">IFERROR(__xludf.DUMMYFUNCTION("""COMPUTED_VALUE"""),"Tucumán")</f>
        <v>Tucumán</v>
      </c>
      <c r="D1936" s="30" t="str">
        <f ca="1">IFERROR(__xludf.DUMMYFUNCTION("""COMPUTED_VALUE"""),"90")</f>
        <v>90</v>
      </c>
      <c r="E1936" s="30" t="str">
        <f ca="1">IFERROR(__xludf.DUMMYFUNCTION("""COMPUTED_VALUE"""),"")</f>
        <v/>
      </c>
      <c r="F1936" s="29"/>
      <c r="G1936" s="29"/>
      <c r="H1936" s="30" t="str">
        <f ca="1">IFERROR(__xludf.DUMMYFUNCTION("""COMPUTED_VALUE"""),"activo")</f>
        <v>activo</v>
      </c>
      <c r="I1936" s="29"/>
      <c r="J1936" s="29"/>
      <c r="K1936" s="29"/>
      <c r="L1936" s="30" t="str">
        <f ca="1">IFERROR(__xludf.DUMMYFUNCTION("""COMPUTED_VALUE"""),"No")</f>
        <v>No</v>
      </c>
      <c r="M1936" s="30" t="str">
        <f ca="1">IFERROR(__xludf.DUMMYFUNCTION("""COMPUTED_VALUE"""),"90119000005")</f>
        <v>90119000005</v>
      </c>
      <c r="N1936" s="30" t="str">
        <f ca="1">IFERROR(__xludf.DUMMYFUNCTION("""COMPUTED_VALUE"""),"CEVIL REDONDO")</f>
        <v>CEVIL REDONDO</v>
      </c>
      <c r="O1936" s="30" t="str">
        <f ca="1">IFERROR(__xludf.DUMMYFUNCTION("""COMPUTED_VALUE"""),"90119")</f>
        <v>90119</v>
      </c>
      <c r="P1936" s="30" t="str">
        <f ca="1">IFERROR(__xludf.DUMMYFUNCTION("""COMPUTED_VALUE"""),"YERBA BUENA")</f>
        <v>YERBA BUENA</v>
      </c>
      <c r="Q1936" s="30" t="str">
        <f ca="1">IFERROR(__xludf.DUMMYFUNCTION("""COMPUTED_VALUE"""),"-26.795323")</f>
        <v>-26.795323</v>
      </c>
      <c r="R1936" s="30" t="str">
        <f ca="1">IFERROR(__xludf.DUMMYFUNCTION("""COMPUTED_VALUE"""),"-65.25915")</f>
        <v>-65.25915</v>
      </c>
      <c r="S1936" s="30" t="str">
        <f ca="1">IFERROR(__xludf.DUMMYFUNCTION("""COMPUTED_VALUE"""),"Provincial")</f>
        <v>Provincial</v>
      </c>
      <c r="T1936" s="30" t="str">
        <f ca="1">IFERROR(__xludf.DUMMYFUNCTION("""COMPUTED_VALUE"""),"-")</f>
        <v>-</v>
      </c>
    </row>
    <row r="1937" spans="1:20" ht="15.75" customHeight="1" x14ac:dyDescent="0.25">
      <c r="A1937" s="30" t="str">
        <f ca="1">IFERROR(__xludf.DUMMYFUNCTION("""COMPUTED_VALUE"""),"50901052196466")</f>
        <v>50901052196466</v>
      </c>
      <c r="B1937" s="30" t="str">
        <f ca="1">IFERROR(__xludf.DUMMYFUNCTION("""COMPUTED_VALUE"""),"POLICLINICA DR. PEDRO SOLORZANO")</f>
        <v>POLICLINICA DR. PEDRO SOLORZANO</v>
      </c>
      <c r="C1937" s="30" t="str">
        <f ca="1">IFERROR(__xludf.DUMMYFUNCTION("""COMPUTED_VALUE"""),"Tucumán")</f>
        <v>Tucumán</v>
      </c>
      <c r="D1937" s="30" t="str">
        <f ca="1">IFERROR(__xludf.DUMMYFUNCTION("""COMPUTED_VALUE"""),"90")</f>
        <v>90</v>
      </c>
      <c r="E1937" s="30" t="str">
        <f ca="1">IFERROR(__xludf.DUMMYFUNCTION("""COMPUTED_VALUE"""),"")</f>
        <v/>
      </c>
      <c r="F1937" s="29"/>
      <c r="G1937" s="29"/>
      <c r="H1937" s="30" t="str">
        <f ca="1">IFERROR(__xludf.DUMMYFUNCTION("""COMPUTED_VALUE"""),"activo")</f>
        <v>activo</v>
      </c>
      <c r="I1937" s="29"/>
      <c r="J1937" s="29"/>
      <c r="K1937" s="29"/>
      <c r="L1937" s="30" t="str">
        <f ca="1">IFERROR(__xludf.DUMMYFUNCTION("""COMPUTED_VALUE"""),"No")</f>
        <v>No</v>
      </c>
      <c r="M1937" s="30" t="str">
        <f ca="1">IFERROR(__xludf.DUMMYFUNCTION("""COMPUTED_VALUE"""),"90105080000")</f>
        <v>90105080000</v>
      </c>
      <c r="N1937" s="30" t="str">
        <f ca="1">IFERROR(__xludf.DUMMYFUNCTION("""COMPUTED_VALUE"""),"TAFI VIEJO")</f>
        <v>TAFI VIEJO</v>
      </c>
      <c r="O1937" s="30" t="str">
        <f ca="1">IFERROR(__xludf.DUMMYFUNCTION("""COMPUTED_VALUE"""),"90105")</f>
        <v>90105</v>
      </c>
      <c r="P1937" s="30" t="str">
        <f ca="1">IFERROR(__xludf.DUMMYFUNCTION("""COMPUTED_VALUE"""),"TAFÍ VIEJO")</f>
        <v>TAFÍ VIEJO</v>
      </c>
      <c r="Q1937" s="30" t="str">
        <f ca="1">IFERROR(__xludf.DUMMYFUNCTION("""COMPUTED_VALUE"""),"-26.742727")</f>
        <v>-26.742727</v>
      </c>
      <c r="R1937" s="30" t="str">
        <f ca="1">IFERROR(__xludf.DUMMYFUNCTION("""COMPUTED_VALUE"""),"-65.264546")</f>
        <v>-65.264546</v>
      </c>
      <c r="S1937" s="30" t="str">
        <f ca="1">IFERROR(__xludf.DUMMYFUNCTION("""COMPUTED_VALUE"""),"Provincial")</f>
        <v>Provincial</v>
      </c>
      <c r="T1937" s="30" t="str">
        <f ca="1">IFERROR(__xludf.DUMMYFUNCTION("""COMPUTED_VALUE"""),"-")</f>
        <v>-</v>
      </c>
    </row>
    <row r="1938" spans="1:20" ht="15.75" customHeight="1" x14ac:dyDescent="0.25">
      <c r="A1938" s="30" t="str">
        <f ca="1">IFERROR(__xludf.DUMMYFUNCTION("""COMPUTED_VALUE"""),"50901052196469")</f>
        <v>50901052196469</v>
      </c>
      <c r="B1938" s="30" t="str">
        <f ca="1">IFERROR(__xludf.DUMMYFUNCTION("""COMPUTED_VALUE"""),"POLICLINICA LAS TALITAS")</f>
        <v>POLICLINICA LAS TALITAS</v>
      </c>
      <c r="C1938" s="30" t="str">
        <f ca="1">IFERROR(__xludf.DUMMYFUNCTION("""COMPUTED_VALUE"""),"Tucumán")</f>
        <v>Tucumán</v>
      </c>
      <c r="D1938" s="30" t="str">
        <f ca="1">IFERROR(__xludf.DUMMYFUNCTION("""COMPUTED_VALUE"""),"90")</f>
        <v>90</v>
      </c>
      <c r="E1938" s="30" t="str">
        <f ca="1">IFERROR(__xludf.DUMMYFUNCTION("""COMPUTED_VALUE"""),"")</f>
        <v/>
      </c>
      <c r="F1938" s="29"/>
      <c r="G1938" s="29"/>
      <c r="H1938" s="30" t="str">
        <f ca="1">IFERROR(__xludf.DUMMYFUNCTION("""COMPUTED_VALUE"""),"activo")</f>
        <v>activo</v>
      </c>
      <c r="I1938" s="29"/>
      <c r="J1938" s="29"/>
      <c r="K1938" s="29"/>
      <c r="L1938" s="30" t="str">
        <f ca="1">IFERROR(__xludf.DUMMYFUNCTION("""COMPUTED_VALUE"""),"No")</f>
        <v>No</v>
      </c>
      <c r="M1938" s="30" t="str">
        <f ca="1">IFERROR(__xludf.DUMMYFUNCTION("""COMPUTED_VALUE"""),"90105110")</f>
        <v>90105110</v>
      </c>
      <c r="N1938" s="30" t="str">
        <f ca="1">IFERROR(__xludf.DUMMYFUNCTION("""COMPUTED_VALUE"""),"LAS TALITAS")</f>
        <v>LAS TALITAS</v>
      </c>
      <c r="O1938" s="30" t="str">
        <f ca="1">IFERROR(__xludf.DUMMYFUNCTION("""COMPUTED_VALUE"""),"90105")</f>
        <v>90105</v>
      </c>
      <c r="P1938" s="30" t="str">
        <f ca="1">IFERROR(__xludf.DUMMYFUNCTION("""COMPUTED_VALUE"""),"TAFÍ VIEJO")</f>
        <v>TAFÍ VIEJO</v>
      </c>
      <c r="Q1938" s="30" t="str">
        <f ca="1">IFERROR(__xludf.DUMMYFUNCTION("""COMPUTED_VALUE"""),"-26.78986")</f>
        <v>-26.78986</v>
      </c>
      <c r="R1938" s="30" t="str">
        <f ca="1">IFERROR(__xludf.DUMMYFUNCTION("""COMPUTED_VALUE"""),"-65.1892002")</f>
        <v>-65.1892002</v>
      </c>
      <c r="S1938" s="30" t="str">
        <f ca="1">IFERROR(__xludf.DUMMYFUNCTION("""COMPUTED_VALUE"""),"Provincial")</f>
        <v>Provincial</v>
      </c>
      <c r="T1938" s="30" t="str">
        <f ca="1">IFERROR(__xludf.DUMMYFUNCTION("""COMPUTED_VALUE"""),"-")</f>
        <v>-</v>
      </c>
    </row>
    <row r="1939" spans="1:20" ht="15.75" customHeight="1" x14ac:dyDescent="0.25">
      <c r="A1939" s="30" t="str">
        <f ca="1">IFERROR(__xludf.DUMMYFUNCTION("""COMPUTED_VALUE"""),"50901052296091")</f>
        <v>50901052296091</v>
      </c>
      <c r="B1939" s="30" t="str">
        <f ca="1">IFERROR(__xludf.DUMMYFUNCTION("""COMPUTED_VALUE"""),"POLICLINICA ASISTENCIA PUBLICA  TAFI VIEJO")</f>
        <v>POLICLINICA ASISTENCIA PUBLICA  TAFI VIEJO</v>
      </c>
      <c r="C1939" s="30" t="str">
        <f ca="1">IFERROR(__xludf.DUMMYFUNCTION("""COMPUTED_VALUE"""),"Tucumán")</f>
        <v>Tucumán</v>
      </c>
      <c r="D1939" s="30" t="str">
        <f ca="1">IFERROR(__xludf.DUMMYFUNCTION("""COMPUTED_VALUE"""),"90")</f>
        <v>90</v>
      </c>
      <c r="E1939" s="30" t="str">
        <f ca="1">IFERROR(__xludf.DUMMYFUNCTION("""COMPUTED_VALUE"""),"")</f>
        <v/>
      </c>
      <c r="F1939" s="29"/>
      <c r="G1939" s="29"/>
      <c r="H1939" s="30" t="str">
        <f ca="1">IFERROR(__xludf.DUMMYFUNCTION("""COMPUTED_VALUE"""),"activo")</f>
        <v>activo</v>
      </c>
      <c r="I1939" s="29"/>
      <c r="J1939" s="29"/>
      <c r="K1939" s="29"/>
      <c r="L1939" s="30" t="str">
        <f ca="1">IFERROR(__xludf.DUMMYFUNCTION("""COMPUTED_VALUE"""),"No")</f>
        <v>No</v>
      </c>
      <c r="M1939" s="30" t="str">
        <f ca="1">IFERROR(__xludf.DUMMYFUNCTION("""COMPUTED_VALUE"""),"90105080000")</f>
        <v>90105080000</v>
      </c>
      <c r="N1939" s="30" t="str">
        <f ca="1">IFERROR(__xludf.DUMMYFUNCTION("""COMPUTED_VALUE"""),"TAFI VIEJO")</f>
        <v>TAFI VIEJO</v>
      </c>
      <c r="O1939" s="30" t="str">
        <f ca="1">IFERROR(__xludf.DUMMYFUNCTION("""COMPUTED_VALUE"""),"90105")</f>
        <v>90105</v>
      </c>
      <c r="P1939" s="30" t="str">
        <f ca="1">IFERROR(__xludf.DUMMYFUNCTION("""COMPUTED_VALUE"""),"TAFÍ VIEJO")</f>
        <v>TAFÍ VIEJO</v>
      </c>
      <c r="Q1939" s="30" t="str">
        <f ca="1">IFERROR(__xludf.DUMMYFUNCTION("""COMPUTED_VALUE"""),"-26.730052")</f>
        <v>-26.730052</v>
      </c>
      <c r="R1939" s="30" t="str">
        <f ca="1">IFERROR(__xludf.DUMMYFUNCTION("""COMPUTED_VALUE"""),"-65.260207")</f>
        <v>-65.260207</v>
      </c>
      <c r="S1939" s="30" t="str">
        <f ca="1">IFERROR(__xludf.DUMMYFUNCTION("""COMPUTED_VALUE"""),"Municipal")</f>
        <v>Municipal</v>
      </c>
      <c r="T1939" s="29"/>
    </row>
    <row r="1940" spans="1:20" ht="15.75" customHeight="1" x14ac:dyDescent="0.25">
      <c r="A1940" s="30" t="str">
        <f ca="1">IFERROR(__xludf.DUMMYFUNCTION("""COMPUTED_VALUE"""),"50900632196397")</f>
        <v>50900632196397</v>
      </c>
      <c r="B1940" s="30" t="str">
        <f ca="1">IFERROR(__xludf.DUMMYFUNCTION("""COMPUTED_VALUE"""),"CIC LOS CHAÑARITOS")</f>
        <v>CIC LOS CHAÑARITOS</v>
      </c>
      <c r="C1940" s="30" t="str">
        <f ca="1">IFERROR(__xludf.DUMMYFUNCTION("""COMPUTED_VALUE"""),"Tucumán")</f>
        <v>Tucumán</v>
      </c>
      <c r="D1940" s="30" t="str">
        <f ca="1">IFERROR(__xludf.DUMMYFUNCTION("""COMPUTED_VALUE"""),"90")</f>
        <v>90</v>
      </c>
      <c r="E1940" s="30" t="str">
        <f ca="1">IFERROR(__xludf.DUMMYFUNCTION("""COMPUTED_VALUE"""),"")</f>
        <v/>
      </c>
      <c r="F1940" s="29"/>
      <c r="G1940" s="29"/>
      <c r="H1940" s="30" t="str">
        <f ca="1">IFERROR(__xludf.DUMMYFUNCTION("""COMPUTED_VALUE"""),"activo")</f>
        <v>activo</v>
      </c>
      <c r="I1940" s="29"/>
      <c r="J1940" s="29"/>
      <c r="K1940" s="29"/>
      <c r="L1940" s="30" t="str">
        <f ca="1">IFERROR(__xludf.DUMMYFUNCTION("""COMPUTED_VALUE"""),"No")</f>
        <v>No</v>
      </c>
      <c r="M1940" s="30" t="str">
        <f ca="1">IFERROR(__xludf.DUMMYFUNCTION("""COMPUTED_VALUE"""),"90063050000")</f>
        <v>90063050000</v>
      </c>
      <c r="N1940" s="30" t="str">
        <f ca="1">IFERROR(__xludf.DUMMYFUNCTION("""COMPUTED_VALUE"""),"LULES")</f>
        <v>LULES</v>
      </c>
      <c r="O1940" s="30" t="str">
        <f ca="1">IFERROR(__xludf.DUMMYFUNCTION("""COMPUTED_VALUE"""),"9063")</f>
        <v>9063</v>
      </c>
      <c r="P1940" s="30" t="str">
        <f ca="1">IFERROR(__xludf.DUMMYFUNCTION("""COMPUTED_VALUE"""),"LULES")</f>
        <v>LULES</v>
      </c>
      <c r="Q1940" s="30" t="str">
        <f ca="1">IFERROR(__xludf.DUMMYFUNCTION("""COMPUTED_VALUE"""),"-26.8570074")</f>
        <v>-26.8570074</v>
      </c>
      <c r="R1940" s="30" t="str">
        <f ca="1">IFERROR(__xludf.DUMMYFUNCTION("""COMPUTED_VALUE"""),"-65.2254352")</f>
        <v>-65.2254352</v>
      </c>
      <c r="S1940" s="30" t="str">
        <f ca="1">IFERROR(__xludf.DUMMYFUNCTION("""COMPUTED_VALUE"""),"Provincial")</f>
        <v>Provincial</v>
      </c>
      <c r="T1940" s="30" t="str">
        <f ca="1">IFERROR(__xludf.DUMMYFUNCTION("""COMPUTED_VALUE"""),"-")</f>
        <v>-</v>
      </c>
    </row>
    <row r="1941" spans="1:20" ht="15.75" customHeight="1" x14ac:dyDescent="0.25">
      <c r="A1941" s="30" t="str">
        <f ca="1">IFERROR(__xludf.DUMMYFUNCTION("""COMPUTED_VALUE"""),"50901052298182")</f>
        <v>50901052298182</v>
      </c>
      <c r="B1941" s="30" t="str">
        <f ca="1">IFERROR(__xludf.DUMMYFUNCTION("""COMPUTED_VALUE"""),"CIC 156 VIVIENDAS")</f>
        <v>CIC 156 VIVIENDAS</v>
      </c>
      <c r="C1941" s="30" t="str">
        <f ca="1">IFERROR(__xludf.DUMMYFUNCTION("""COMPUTED_VALUE"""),"Tucumán")</f>
        <v>Tucumán</v>
      </c>
      <c r="D1941" s="30" t="str">
        <f ca="1">IFERROR(__xludf.DUMMYFUNCTION("""COMPUTED_VALUE"""),"90")</f>
        <v>90</v>
      </c>
      <c r="E1941" s="30" t="str">
        <f ca="1">IFERROR(__xludf.DUMMYFUNCTION("""COMPUTED_VALUE"""),"")</f>
        <v/>
      </c>
      <c r="F1941" s="29"/>
      <c r="G1941" s="29"/>
      <c r="H1941" s="30" t="str">
        <f ca="1">IFERROR(__xludf.DUMMYFUNCTION("""COMPUTED_VALUE"""),"activo")</f>
        <v>activo</v>
      </c>
      <c r="I1941" s="29"/>
      <c r="J1941" s="29"/>
      <c r="K1941" s="29"/>
      <c r="L1941" s="30" t="str">
        <f ca="1">IFERROR(__xludf.DUMMYFUNCTION("""COMPUTED_VALUE"""),"No")</f>
        <v>No</v>
      </c>
      <c r="M1941" s="30" t="str">
        <f ca="1">IFERROR(__xludf.DUMMYFUNCTION("""COMPUTED_VALUE"""),"90105110")</f>
        <v>90105110</v>
      </c>
      <c r="N1941" s="30" t="str">
        <f ca="1">IFERROR(__xludf.DUMMYFUNCTION("""COMPUTED_VALUE"""),"LAS TALITAS")</f>
        <v>LAS TALITAS</v>
      </c>
      <c r="O1941" s="30" t="str">
        <f ca="1">IFERROR(__xludf.DUMMYFUNCTION("""COMPUTED_VALUE"""),"90105")</f>
        <v>90105</v>
      </c>
      <c r="P1941" s="30" t="str">
        <f ca="1">IFERROR(__xludf.DUMMYFUNCTION("""COMPUTED_VALUE"""),"TAFÍ VIEJO")</f>
        <v>TAFÍ VIEJO</v>
      </c>
      <c r="Q1941" s="30" t="str">
        <f ca="1">IFERROR(__xludf.DUMMYFUNCTION("""COMPUTED_VALUE"""),"-26.77710833")</f>
        <v>-26.77710833</v>
      </c>
      <c r="R1941" s="30" t="str">
        <f ca="1">IFERROR(__xludf.DUMMYFUNCTION("""COMPUTED_VALUE"""),"-65.19128323")</f>
        <v>-65.19128323</v>
      </c>
      <c r="S1941" s="30" t="str">
        <f ca="1">IFERROR(__xludf.DUMMYFUNCTION("""COMPUTED_VALUE"""),"Municipal")</f>
        <v>Municipal</v>
      </c>
      <c r="T1941" s="29"/>
    </row>
    <row r="1942" spans="1:20" ht="15.75" customHeight="1" x14ac:dyDescent="0.25">
      <c r="A1942" s="30" t="str">
        <f ca="1">IFERROR(__xludf.DUMMYFUNCTION("""COMPUTED_VALUE"""),"50901122196127")</f>
        <v>50901122196127</v>
      </c>
      <c r="B1942" s="30" t="str">
        <f ca="1">IFERROR(__xludf.DUMMYFUNCTION("""COMPUTED_VALUE"""),"CAPS  SAN PEDRO DE COLALAO")</f>
        <v>CAPS  SAN PEDRO DE COLALAO</v>
      </c>
      <c r="C1942" s="30" t="str">
        <f ca="1">IFERROR(__xludf.DUMMYFUNCTION("""COMPUTED_VALUE"""),"Tucumán")</f>
        <v>Tucumán</v>
      </c>
      <c r="D1942" s="30" t="str">
        <f ca="1">IFERROR(__xludf.DUMMYFUNCTION("""COMPUTED_VALUE"""),"90")</f>
        <v>90</v>
      </c>
      <c r="E1942" s="30" t="str">
        <f ca="1">IFERROR(__xludf.DUMMYFUNCTION("""COMPUTED_VALUE"""),"")</f>
        <v/>
      </c>
      <c r="F1942" s="29"/>
      <c r="G1942" s="29"/>
      <c r="H1942" s="30" t="str">
        <f ca="1">IFERROR(__xludf.DUMMYFUNCTION("""COMPUTED_VALUE"""),"activo")</f>
        <v>activo</v>
      </c>
      <c r="I1942" s="29"/>
      <c r="J1942" s="29"/>
      <c r="K1942" s="29"/>
      <c r="L1942" s="30" t="str">
        <f ca="1">IFERROR(__xludf.DUMMYFUNCTION("""COMPUTED_VALUE"""),"No")</f>
        <v>No</v>
      </c>
      <c r="M1942" s="30" t="str">
        <f ca="1">IFERROR(__xludf.DUMMYFUNCTION("""COMPUTED_VALUE"""),"90112020000")</f>
        <v>90112020000</v>
      </c>
      <c r="N1942" s="30" t="str">
        <f ca="1">IFERROR(__xludf.DUMMYFUNCTION("""COMPUTED_VALUE"""),"SAN PEDRO DE COLALAO")</f>
        <v>SAN PEDRO DE COLALAO</v>
      </c>
      <c r="O1942" s="30" t="str">
        <f ca="1">IFERROR(__xludf.DUMMYFUNCTION("""COMPUTED_VALUE"""),"90112")</f>
        <v>90112</v>
      </c>
      <c r="P1942" s="30" t="str">
        <f ca="1">IFERROR(__xludf.DUMMYFUNCTION("""COMPUTED_VALUE"""),"TRANCAS")</f>
        <v>TRANCAS</v>
      </c>
      <c r="Q1942" s="30" t="str">
        <f ca="1">IFERROR(__xludf.DUMMYFUNCTION("""COMPUTED_VALUE"""),"-26.233471")</f>
        <v>-26.233471</v>
      </c>
      <c r="R1942" s="30" t="str">
        <f ca="1">IFERROR(__xludf.DUMMYFUNCTION("""COMPUTED_VALUE"""),"-65.494602")</f>
        <v>-65.494602</v>
      </c>
      <c r="S1942" s="30" t="str">
        <f ca="1">IFERROR(__xludf.DUMMYFUNCTION("""COMPUTED_VALUE"""),"Provincial")</f>
        <v>Provincial</v>
      </c>
      <c r="T1942" s="30" t="str">
        <f ca="1">IFERROR(__xludf.DUMMYFUNCTION("""COMPUTED_VALUE"""),"-")</f>
        <v>-</v>
      </c>
    </row>
    <row r="1943" spans="1:20" ht="15.75" customHeight="1" x14ac:dyDescent="0.25">
      <c r="A1943" s="30" t="str">
        <f ca="1">IFERROR(__xludf.DUMMYFUNCTION("""COMPUTED_VALUE"""),"50901122196147")</f>
        <v>50901122196147</v>
      </c>
      <c r="B1943" s="30" t="str">
        <f ca="1">IFERROR(__xludf.DUMMYFUNCTION("""COMPUTED_VALUE"""),"CAPS BENJAMIN PAZ")</f>
        <v>CAPS BENJAMIN PAZ</v>
      </c>
      <c r="C1943" s="30" t="str">
        <f ca="1">IFERROR(__xludf.DUMMYFUNCTION("""COMPUTED_VALUE"""),"Tucumán")</f>
        <v>Tucumán</v>
      </c>
      <c r="D1943" s="30" t="str">
        <f ca="1">IFERROR(__xludf.DUMMYFUNCTION("""COMPUTED_VALUE"""),"90")</f>
        <v>90</v>
      </c>
      <c r="E1943" s="30" t="str">
        <f ca="1">IFERROR(__xludf.DUMMYFUNCTION("""COMPUTED_VALUE"""),"")</f>
        <v/>
      </c>
      <c r="F1943" s="29"/>
      <c r="G1943" s="29"/>
      <c r="H1943" s="30" t="str">
        <f ca="1">IFERROR(__xludf.DUMMYFUNCTION("""COMPUTED_VALUE"""),"activo")</f>
        <v>activo</v>
      </c>
      <c r="I1943" s="29"/>
      <c r="J1943" s="29"/>
      <c r="K1943" s="29"/>
      <c r="L1943" s="30" t="str">
        <f ca="1">IFERROR(__xludf.DUMMYFUNCTION("""COMPUTED_VALUE"""),"No")</f>
        <v>No</v>
      </c>
      <c r="M1943" s="30" t="str">
        <f ca="1">IFERROR(__xludf.DUMMYFUNCTION("""COMPUTED_VALUE"""),"90112000024")</f>
        <v>90112000024</v>
      </c>
      <c r="N1943" s="30" t="str">
        <f ca="1">IFERROR(__xludf.DUMMYFUNCTION("""COMPUTED_VALUE"""),"BENJAMIN PAZ")</f>
        <v>BENJAMIN PAZ</v>
      </c>
      <c r="O1943" s="30" t="str">
        <f ca="1">IFERROR(__xludf.DUMMYFUNCTION("""COMPUTED_VALUE"""),"90112")</f>
        <v>90112</v>
      </c>
      <c r="P1943" s="30" t="str">
        <f ca="1">IFERROR(__xludf.DUMMYFUNCTION("""COMPUTED_VALUE"""),"TRANCAS")</f>
        <v>TRANCAS</v>
      </c>
      <c r="Q1943" s="30" t="str">
        <f ca="1">IFERROR(__xludf.DUMMYFUNCTION("""COMPUTED_VALUE"""),"-26.371552")</f>
        <v>-26.371552</v>
      </c>
      <c r="R1943" s="30" t="str">
        <f ca="1">IFERROR(__xludf.DUMMYFUNCTION("""COMPUTED_VALUE"""),"-65.289861")</f>
        <v>-65.289861</v>
      </c>
      <c r="S1943" s="30" t="str">
        <f ca="1">IFERROR(__xludf.DUMMYFUNCTION("""COMPUTED_VALUE"""),"Provincial")</f>
        <v>Provincial</v>
      </c>
      <c r="T1943" s="30" t="str">
        <f ca="1">IFERROR(__xludf.DUMMYFUNCTION("""COMPUTED_VALUE"""),"-")</f>
        <v>-</v>
      </c>
    </row>
    <row r="1944" spans="1:20" ht="15.75" customHeight="1" x14ac:dyDescent="0.25">
      <c r="A1944" s="30" t="str">
        <f ca="1">IFERROR(__xludf.DUMMYFUNCTION("""COMPUTED_VALUE"""),"50901192196122")</f>
        <v>50901192196122</v>
      </c>
      <c r="B1944" s="30" t="str">
        <f ca="1">IFERROR(__xludf.DUMMYFUNCTION("""COMPUTED_VALUE"""),"CAPS  HORCO MOLLE")</f>
        <v>CAPS  HORCO MOLLE</v>
      </c>
      <c r="C1944" s="30" t="str">
        <f ca="1">IFERROR(__xludf.DUMMYFUNCTION("""COMPUTED_VALUE"""),"Tucumán")</f>
        <v>Tucumán</v>
      </c>
      <c r="D1944" s="30" t="str">
        <f ca="1">IFERROR(__xludf.DUMMYFUNCTION("""COMPUTED_VALUE"""),"90")</f>
        <v>90</v>
      </c>
      <c r="E1944" s="30" t="str">
        <f ca="1">IFERROR(__xludf.DUMMYFUNCTION("""COMPUTED_VALUE"""),"")</f>
        <v/>
      </c>
      <c r="F1944" s="29"/>
      <c r="G1944" s="30" t="str">
        <f ca="1">IFERROR(__xludf.DUMMYFUNCTION("""COMPUTED_VALUE"""),"50901192196128")</f>
        <v>50901192196128</v>
      </c>
      <c r="H1944" s="30" t="str">
        <f ca="1">IFERROR(__xludf.DUMMYFUNCTION("""COMPUTED_VALUE"""),"inactivo")</f>
        <v>inactivo</v>
      </c>
      <c r="I1944" s="29"/>
      <c r="J1944" s="29"/>
      <c r="K1944" s="29"/>
      <c r="L1944" s="30" t="str">
        <f ca="1">IFERROR(__xludf.DUMMYFUNCTION("""COMPUTED_VALUE"""),"No")</f>
        <v>No</v>
      </c>
      <c r="M1944" s="30" t="str">
        <f ca="1">IFERROR(__xludf.DUMMYFUNCTION("""COMPUTED_VALUE"""),"90119070")</f>
        <v>90119070</v>
      </c>
      <c r="N1944" s="30" t="str">
        <f ca="1">IFERROR(__xludf.DUMMYFUNCTION("""COMPUTED_VALUE"""),"HORCO MOLLE")</f>
        <v>HORCO MOLLE</v>
      </c>
      <c r="O1944" s="30" t="str">
        <f ca="1">IFERROR(__xludf.DUMMYFUNCTION("""COMPUTED_VALUE"""),"90119")</f>
        <v>90119</v>
      </c>
      <c r="P1944" s="30" t="str">
        <f ca="1">IFERROR(__xludf.DUMMYFUNCTION("""COMPUTED_VALUE"""),"YERBA BUENA")</f>
        <v>YERBA BUENA</v>
      </c>
      <c r="Q1944" s="30" t="str">
        <f ca="1">IFERROR(__xludf.DUMMYFUNCTION("""COMPUTED_VALUE"""),"-26.788763")</f>
        <v>-26.788763</v>
      </c>
      <c r="R1944" s="30" t="str">
        <f ca="1">IFERROR(__xludf.DUMMYFUNCTION("""COMPUTED_VALUE"""),"-65.329155")</f>
        <v>-65.329155</v>
      </c>
      <c r="S1944" s="30" t="str">
        <f ca="1">IFERROR(__xludf.DUMMYFUNCTION("""COMPUTED_VALUE"""),"Provincial")</f>
        <v>Provincial</v>
      </c>
      <c r="T1944" s="30" t="str">
        <f ca="1">IFERROR(__xludf.DUMMYFUNCTION("""COMPUTED_VALUE"""),"-")</f>
        <v>-</v>
      </c>
    </row>
    <row r="1945" spans="1:20" ht="15.75" customHeight="1" x14ac:dyDescent="0.25">
      <c r="A1945" s="30" t="str">
        <f ca="1">IFERROR(__xludf.DUMMYFUNCTION("""COMPUTED_VALUE"""),"50901192196128")</f>
        <v>50901192196128</v>
      </c>
      <c r="B1945" s="30" t="str">
        <f ca="1">IFERROR(__xludf.DUMMYFUNCTION("""COMPUTED_VALUE"""),"CAPS SANTA CLARA")</f>
        <v>CAPS SANTA CLARA</v>
      </c>
      <c r="C1945" s="30" t="str">
        <f ca="1">IFERROR(__xludf.DUMMYFUNCTION("""COMPUTED_VALUE"""),"Tucumán")</f>
        <v>Tucumán</v>
      </c>
      <c r="D1945" s="30" t="str">
        <f ca="1">IFERROR(__xludf.DUMMYFUNCTION("""COMPUTED_VALUE"""),"90")</f>
        <v>90</v>
      </c>
      <c r="E1945" s="30" t="str">
        <f ca="1">IFERROR(__xludf.DUMMYFUNCTION("""COMPUTED_VALUE"""),"")</f>
        <v/>
      </c>
      <c r="F1945" s="30" t="str">
        <f ca="1">IFERROR(__xludf.DUMMYFUNCTION("""COMPUTED_VALUE"""),"50901192196122")</f>
        <v>50901192196122</v>
      </c>
      <c r="G1945" s="29"/>
      <c r="H1945" s="30" t="str">
        <f ca="1">IFERROR(__xludf.DUMMYFUNCTION("""COMPUTED_VALUE"""),"activo")</f>
        <v>activo</v>
      </c>
      <c r="I1945" s="29"/>
      <c r="J1945" s="29"/>
      <c r="K1945" s="29"/>
      <c r="L1945" s="30" t="str">
        <f ca="1">IFERROR(__xludf.DUMMYFUNCTION("""COMPUTED_VALUE"""),"No")</f>
        <v>No</v>
      </c>
      <c r="M1945" s="30" t="str">
        <f ca="1">IFERROR(__xludf.DUMMYFUNCTION("""COMPUTED_VALUE"""),"90119030001")</f>
        <v>90119030001</v>
      </c>
      <c r="N1945" s="30" t="str">
        <f ca="1">IFERROR(__xludf.DUMMYFUNCTION("""COMPUTED_VALUE"""),"EX INGENIO SAN JOSE")</f>
        <v>EX INGENIO SAN JOSE</v>
      </c>
      <c r="O1945" s="30" t="str">
        <f ca="1">IFERROR(__xludf.DUMMYFUNCTION("""COMPUTED_VALUE"""),"90119")</f>
        <v>90119</v>
      </c>
      <c r="P1945" s="30" t="str">
        <f ca="1">IFERROR(__xludf.DUMMYFUNCTION("""COMPUTED_VALUE"""),"YERBA BUENA")</f>
        <v>YERBA BUENA</v>
      </c>
      <c r="Q1945" s="30" t="str">
        <f ca="1">IFERROR(__xludf.DUMMYFUNCTION("""COMPUTED_VALUE"""),"-26.79878204")</f>
        <v>-26.79878204</v>
      </c>
      <c r="R1945" s="30" t="str">
        <f ca="1">IFERROR(__xludf.DUMMYFUNCTION("""COMPUTED_VALUE"""),"-65.2688098")</f>
        <v>-65.2688098</v>
      </c>
      <c r="S1945" s="30" t="str">
        <f ca="1">IFERROR(__xludf.DUMMYFUNCTION("""COMPUTED_VALUE"""),"Provincial")</f>
        <v>Provincial</v>
      </c>
      <c r="T1945" s="30" t="str">
        <f ca="1">IFERROR(__xludf.DUMMYFUNCTION("""COMPUTED_VALUE"""),"-")</f>
        <v>-</v>
      </c>
    </row>
    <row r="1946" spans="1:20" ht="15.75" customHeight="1" x14ac:dyDescent="0.25">
      <c r="A1946" s="30" t="str">
        <f ca="1">IFERROR(__xludf.DUMMYFUNCTION("""COMPUTED_VALUE"""),"50901192196222")</f>
        <v>50901192196222</v>
      </c>
      <c r="B1946" s="30" t="str">
        <f ca="1">IFERROR(__xludf.DUMMYFUNCTION("""COMPUTED_VALUE"""),"CAPS VILLA CARMELA")</f>
        <v>CAPS VILLA CARMELA</v>
      </c>
      <c r="C1946" s="30" t="str">
        <f ca="1">IFERROR(__xludf.DUMMYFUNCTION("""COMPUTED_VALUE"""),"Tucumán")</f>
        <v>Tucumán</v>
      </c>
      <c r="D1946" s="30" t="str">
        <f ca="1">IFERROR(__xludf.DUMMYFUNCTION("""COMPUTED_VALUE"""),"90")</f>
        <v>90</v>
      </c>
      <c r="E1946" s="30" t="str">
        <f ca="1">IFERROR(__xludf.DUMMYFUNCTION("""COMPUTED_VALUE"""),"")</f>
        <v/>
      </c>
      <c r="F1946" s="29"/>
      <c r="G1946" s="29"/>
      <c r="H1946" s="30" t="str">
        <f ca="1">IFERROR(__xludf.DUMMYFUNCTION("""COMPUTED_VALUE"""),"activo")</f>
        <v>activo</v>
      </c>
      <c r="I1946" s="29"/>
      <c r="J1946" s="29"/>
      <c r="K1946" s="29"/>
      <c r="L1946" s="30" t="str">
        <f ca="1">IFERROR(__xludf.DUMMYFUNCTION("""COMPUTED_VALUE"""),"No")</f>
        <v>No</v>
      </c>
      <c r="M1946" s="30" t="str">
        <f ca="1">IFERROR(__xludf.DUMMYFUNCTION("""COMPUTED_VALUE"""),"90119020000")</f>
        <v>90119020000</v>
      </c>
      <c r="N1946" s="30" t="str">
        <f ca="1">IFERROR(__xludf.DUMMYFUNCTION("""COMPUTED_VALUE"""),"VILLA CARMELA")</f>
        <v>VILLA CARMELA</v>
      </c>
      <c r="O1946" s="30" t="str">
        <f ca="1">IFERROR(__xludf.DUMMYFUNCTION("""COMPUTED_VALUE"""),"90119")</f>
        <v>90119</v>
      </c>
      <c r="P1946" s="30" t="str">
        <f ca="1">IFERROR(__xludf.DUMMYFUNCTION("""COMPUTED_VALUE"""),"YERBA BUENA")</f>
        <v>YERBA BUENA</v>
      </c>
      <c r="Q1946" s="30" t="str">
        <f ca="1">IFERROR(__xludf.DUMMYFUNCTION("""COMPUTED_VALUE"""),"-26.80764954")</f>
        <v>-26.80764954</v>
      </c>
      <c r="R1946" s="30" t="str">
        <f ca="1">IFERROR(__xludf.DUMMYFUNCTION("""COMPUTED_VALUE"""),"-65.31526566")</f>
        <v>-65.31526566</v>
      </c>
      <c r="S1946" s="30" t="str">
        <f ca="1">IFERROR(__xludf.DUMMYFUNCTION("""COMPUTED_VALUE"""),"Provincial")</f>
        <v>Provincial</v>
      </c>
      <c r="T1946" s="30" t="str">
        <f ca="1">IFERROR(__xludf.DUMMYFUNCTION("""COMPUTED_VALUE"""),"-")</f>
        <v>-</v>
      </c>
    </row>
    <row r="1947" spans="1:20" ht="15.75" customHeight="1" x14ac:dyDescent="0.25">
      <c r="A1947" s="30" t="str">
        <f ca="1">IFERROR(__xludf.DUMMYFUNCTION("""COMPUTED_VALUE"""),"50901192196233")</f>
        <v>50901192196233</v>
      </c>
      <c r="B1947" s="30" t="str">
        <f ca="1">IFERROR(__xludf.DUMMYFUNCTION("""COMPUTED_VALUE"""),"CAPS YERBA BUENA")</f>
        <v>CAPS YERBA BUENA</v>
      </c>
      <c r="C1947" s="30" t="str">
        <f ca="1">IFERROR(__xludf.DUMMYFUNCTION("""COMPUTED_VALUE"""),"Tucumán")</f>
        <v>Tucumán</v>
      </c>
      <c r="D1947" s="30" t="str">
        <f ca="1">IFERROR(__xludf.DUMMYFUNCTION("""COMPUTED_VALUE"""),"90")</f>
        <v>90</v>
      </c>
      <c r="E1947" s="30" t="str">
        <f ca="1">IFERROR(__xludf.DUMMYFUNCTION("""COMPUTED_VALUE"""),"")</f>
        <v/>
      </c>
      <c r="F1947" s="29"/>
      <c r="G1947" s="29"/>
      <c r="H1947" s="30" t="str">
        <f ca="1">IFERROR(__xludf.DUMMYFUNCTION("""COMPUTED_VALUE"""),"activo")</f>
        <v>activo</v>
      </c>
      <c r="I1947" s="29"/>
      <c r="J1947" s="29"/>
      <c r="K1947" s="29"/>
      <c r="L1947" s="30" t="str">
        <f ca="1">IFERROR(__xludf.DUMMYFUNCTION("""COMPUTED_VALUE"""),"No")</f>
        <v>No</v>
      </c>
      <c r="M1947" s="30" t="str">
        <f ca="1">IFERROR(__xludf.DUMMYFUNCTION("""COMPUTED_VALUE"""),"90119030002")</f>
        <v>90119030002</v>
      </c>
      <c r="N1947" s="30" t="str">
        <f ca="1">IFERROR(__xludf.DUMMYFUNCTION("""COMPUTED_VALUE"""),"YERBA BUENA - MARCOS PAZ")</f>
        <v>YERBA BUENA - MARCOS PAZ</v>
      </c>
      <c r="O1947" s="30" t="str">
        <f ca="1">IFERROR(__xludf.DUMMYFUNCTION("""COMPUTED_VALUE"""),"90119")</f>
        <v>90119</v>
      </c>
      <c r="P1947" s="30" t="str">
        <f ca="1">IFERROR(__xludf.DUMMYFUNCTION("""COMPUTED_VALUE"""),"YERBA BUENA")</f>
        <v>YERBA BUENA</v>
      </c>
      <c r="Q1947" s="30" t="str">
        <f ca="1">IFERROR(__xludf.DUMMYFUNCTION("""COMPUTED_VALUE"""),"-26.81454388")</f>
        <v>-26.81454388</v>
      </c>
      <c r="R1947" s="30" t="str">
        <f ca="1">IFERROR(__xludf.DUMMYFUNCTION("""COMPUTED_VALUE"""),"-65.2728653")</f>
        <v>-65.2728653</v>
      </c>
      <c r="S1947" s="30" t="str">
        <f ca="1">IFERROR(__xludf.DUMMYFUNCTION("""COMPUTED_VALUE"""),"Provincial")</f>
        <v>Provincial</v>
      </c>
      <c r="T1947" s="30" t="str">
        <f ca="1">IFERROR(__xludf.DUMMYFUNCTION("""COMPUTED_VALUE"""),"-")</f>
        <v>-</v>
      </c>
    </row>
    <row r="1948" spans="1:20" ht="15.75" customHeight="1" x14ac:dyDescent="0.25">
      <c r="A1948" s="30" t="str">
        <f ca="1">IFERROR(__xludf.DUMMYFUNCTION("""COMPUTED_VALUE"""),"50901192196305")</f>
        <v>50901192196305</v>
      </c>
      <c r="B1948" s="30" t="str">
        <f ca="1">IFERROR(__xludf.DUMMYFUNCTION("""COMPUTED_VALUE"""),"POLICLINICA RAMON CARRILLO")</f>
        <v>POLICLINICA RAMON CARRILLO</v>
      </c>
      <c r="C1948" s="30" t="str">
        <f ca="1">IFERROR(__xludf.DUMMYFUNCTION("""COMPUTED_VALUE"""),"Tucumán")</f>
        <v>Tucumán</v>
      </c>
      <c r="D1948" s="30" t="str">
        <f ca="1">IFERROR(__xludf.DUMMYFUNCTION("""COMPUTED_VALUE"""),"90")</f>
        <v>90</v>
      </c>
      <c r="E1948" s="30" t="str">
        <f ca="1">IFERROR(__xludf.DUMMYFUNCTION("""COMPUTED_VALUE"""),"")</f>
        <v/>
      </c>
      <c r="F1948" s="29"/>
      <c r="G1948" s="30" t="str">
        <f ca="1">IFERROR(__xludf.DUMMYFUNCTION("""COMPUTED_VALUE"""),"50900772196275")</f>
        <v>50900772196275</v>
      </c>
      <c r="H1948" s="30" t="str">
        <f ca="1">IFERROR(__xludf.DUMMYFUNCTION("""COMPUTED_VALUE"""),"inactivo")</f>
        <v>inactivo</v>
      </c>
      <c r="I1948" s="29"/>
      <c r="J1948" s="29"/>
      <c r="K1948" s="29"/>
      <c r="L1948" s="30" t="str">
        <f ca="1">IFERROR(__xludf.DUMMYFUNCTION("""COMPUTED_VALUE"""),"No")</f>
        <v>No</v>
      </c>
      <c r="M1948" s="30" t="str">
        <f ca="1">IFERROR(__xludf.DUMMYFUNCTION("""COMPUTED_VALUE"""),"90119030002")</f>
        <v>90119030002</v>
      </c>
      <c r="N1948" s="30" t="str">
        <f ca="1">IFERROR(__xludf.DUMMYFUNCTION("""COMPUTED_VALUE"""),"YERBA BUENA - MARCOS PAZ")</f>
        <v>YERBA BUENA - MARCOS PAZ</v>
      </c>
      <c r="O1948" s="30" t="str">
        <f ca="1">IFERROR(__xludf.DUMMYFUNCTION("""COMPUTED_VALUE"""),"90119")</f>
        <v>90119</v>
      </c>
      <c r="P1948" s="30" t="str">
        <f ca="1">IFERROR(__xludf.DUMMYFUNCTION("""COMPUTED_VALUE"""),"YERBA BUENA")</f>
        <v>YERBA BUENA</v>
      </c>
      <c r="Q1948" s="30" t="str">
        <f ca="1">IFERROR(__xludf.DUMMYFUNCTION("""COMPUTED_VALUE"""),"-26.815458")</f>
        <v>-26.815458</v>
      </c>
      <c r="R1948" s="30" t="str">
        <f ca="1">IFERROR(__xludf.DUMMYFUNCTION("""COMPUTED_VALUE"""),"-65.301214")</f>
        <v>-65.301214</v>
      </c>
      <c r="S1948" s="30" t="str">
        <f ca="1">IFERROR(__xludf.DUMMYFUNCTION("""COMPUTED_VALUE"""),"Provincial")</f>
        <v>Provincial</v>
      </c>
      <c r="T1948" s="30" t="str">
        <f ca="1">IFERROR(__xludf.DUMMYFUNCTION("""COMPUTED_VALUE"""),"-")</f>
        <v>-</v>
      </c>
    </row>
    <row r="1949" spans="1:20" ht="15.75" customHeight="1" x14ac:dyDescent="0.25">
      <c r="A1949" s="30" t="str">
        <f ca="1">IFERROR(__xludf.DUMMYFUNCTION("""COMPUTED_VALUE"""),"50900772196275")</f>
        <v>50900772196275</v>
      </c>
      <c r="B1949" s="30" t="str">
        <f ca="1">IFERROR(__xludf.DUMMYFUNCTION("""COMPUTED_VALUE"""),"CAPS JESUS GUERRERO")</f>
        <v>CAPS JESUS GUERRERO</v>
      </c>
      <c r="C1949" s="30" t="str">
        <f ca="1">IFERROR(__xludf.DUMMYFUNCTION("""COMPUTED_VALUE"""),"Tucumán")</f>
        <v>Tucumán</v>
      </c>
      <c r="D1949" s="30" t="str">
        <f ca="1">IFERROR(__xludf.DUMMYFUNCTION("""COMPUTED_VALUE"""),"90")</f>
        <v>90</v>
      </c>
      <c r="E1949" s="30" t="str">
        <f ca="1">IFERROR(__xludf.DUMMYFUNCTION("""COMPUTED_VALUE"""),"")</f>
        <v/>
      </c>
      <c r="F1949" s="30" t="str">
        <f ca="1">IFERROR(__xludf.DUMMYFUNCTION("""COMPUTED_VALUE"""),"50901192196305")</f>
        <v>50901192196305</v>
      </c>
      <c r="G1949" s="29"/>
      <c r="H1949" s="30" t="str">
        <f ca="1">IFERROR(__xludf.DUMMYFUNCTION("""COMPUTED_VALUE"""),"activo")</f>
        <v>activo</v>
      </c>
      <c r="I1949" s="29"/>
      <c r="J1949" s="29"/>
      <c r="K1949" s="29"/>
      <c r="L1949" s="30" t="str">
        <f ca="1">IFERROR(__xludf.DUMMYFUNCTION("""COMPUTED_VALUE"""),"No")</f>
        <v>No</v>
      </c>
      <c r="M1949" s="30" t="str">
        <f ca="1">IFERROR(__xludf.DUMMYFUNCTION("""COMPUTED_VALUE"""),"90077000050")</f>
        <v>90077000050</v>
      </c>
      <c r="N1949" s="30" t="str">
        <f ca="1">IFERROR(__xludf.DUMMYFUNCTION("""COMPUTED_VALUE"""),"LA TIPA")</f>
        <v>LA TIPA</v>
      </c>
      <c r="O1949" s="30" t="str">
        <f ca="1">IFERROR(__xludf.DUMMYFUNCTION("""COMPUTED_VALUE"""),"9077")</f>
        <v>9077</v>
      </c>
      <c r="P1949" s="30" t="str">
        <f ca="1">IFERROR(__xludf.DUMMYFUNCTION("""COMPUTED_VALUE"""),"RÍO CHICO")</f>
        <v>RÍO CHICO</v>
      </c>
      <c r="Q1949" s="30" t="str">
        <f ca="1">IFERROR(__xludf.DUMMYFUNCTION("""COMPUTED_VALUE"""),"-27.38762019")</f>
        <v>-27.38762019</v>
      </c>
      <c r="R1949" s="30" t="str">
        <f ca="1">IFERROR(__xludf.DUMMYFUNCTION("""COMPUTED_VALUE"""),"-65.75180054")</f>
        <v>-65.75180054</v>
      </c>
      <c r="S1949" s="30" t="str">
        <f ca="1">IFERROR(__xludf.DUMMYFUNCTION("""COMPUTED_VALUE"""),"Provincial")</f>
        <v>Provincial</v>
      </c>
      <c r="T1949" s="30" t="str">
        <f ca="1">IFERROR(__xludf.DUMMYFUNCTION("""COMPUTED_VALUE"""),"-")</f>
        <v>-</v>
      </c>
    </row>
    <row r="1950" spans="1:20" ht="15.75" customHeight="1" x14ac:dyDescent="0.25">
      <c r="A1950" s="30" t="str">
        <f ca="1">IFERROR(__xludf.DUMMYFUNCTION("""COMPUTED_VALUE"""),"10900492196026")</f>
        <v>10900492196026</v>
      </c>
      <c r="B1950" s="30" t="str">
        <f ca="1">IFERROR(__xludf.DUMMYFUNCTION("""COMPUTED_VALUE"""),"HOSPITAL MARIO V. STIVALA - LA COCHA")</f>
        <v>HOSPITAL MARIO V. STIVALA - LA COCHA</v>
      </c>
      <c r="C1950" s="30" t="str">
        <f ca="1">IFERROR(__xludf.DUMMYFUNCTION("""COMPUTED_VALUE"""),"Tucumán")</f>
        <v>Tucumán</v>
      </c>
      <c r="D1950" s="30" t="str">
        <f ca="1">IFERROR(__xludf.DUMMYFUNCTION("""COMPUTED_VALUE"""),"90")</f>
        <v>90</v>
      </c>
      <c r="E1950" s="30" t="str">
        <f ca="1">IFERROR(__xludf.DUMMYFUNCTION("""COMPUTED_VALUE"""),"")</f>
        <v/>
      </c>
      <c r="F1950" s="29"/>
      <c r="G1950" s="29"/>
      <c r="H1950" s="30" t="str">
        <f ca="1">IFERROR(__xludf.DUMMYFUNCTION("""COMPUTED_VALUE"""),"activo")</f>
        <v>activo</v>
      </c>
      <c r="I1950" s="29"/>
      <c r="J1950" s="29"/>
      <c r="K1950" s="29"/>
      <c r="L1950" s="30" t="str">
        <f ca="1">IFERROR(__xludf.DUMMYFUNCTION("""COMPUTED_VALUE"""),"No")</f>
        <v>No</v>
      </c>
      <c r="M1950" s="30" t="str">
        <f ca="1">IFERROR(__xludf.DUMMYFUNCTION("""COMPUTED_VALUE"""),"90049010000")</f>
        <v>90049010000</v>
      </c>
      <c r="N1950" s="30" t="str">
        <f ca="1">IFERROR(__xludf.DUMMYFUNCTION("""COMPUTED_VALUE"""),"LA COCHA")</f>
        <v>LA COCHA</v>
      </c>
      <c r="O1950" s="30" t="str">
        <f ca="1">IFERROR(__xludf.DUMMYFUNCTION("""COMPUTED_VALUE"""),"9049")</f>
        <v>9049</v>
      </c>
      <c r="P1950" s="30" t="str">
        <f ca="1">IFERROR(__xludf.DUMMYFUNCTION("""COMPUTED_VALUE"""),"LA COCHA")</f>
        <v>LA COCHA</v>
      </c>
      <c r="Q1950" s="30" t="str">
        <f ca="1">IFERROR(__xludf.DUMMYFUNCTION("""COMPUTED_VALUE"""),"-27.760847")</f>
        <v>-27.760847</v>
      </c>
      <c r="R1950" s="30" t="str">
        <f ca="1">IFERROR(__xludf.DUMMYFUNCTION("""COMPUTED_VALUE"""),"-65.585405")</f>
        <v>-65.585405</v>
      </c>
      <c r="S1950" s="30" t="str">
        <f ca="1">IFERROR(__xludf.DUMMYFUNCTION("""COMPUTED_VALUE"""),"Provincial")</f>
        <v>Provincial</v>
      </c>
      <c r="T1950" s="30" t="str">
        <f ca="1">IFERROR(__xludf.DUMMYFUNCTION("""COMPUTED_VALUE"""),"-")</f>
        <v>-</v>
      </c>
    </row>
    <row r="1951" spans="1:20" ht="15.75" customHeight="1" x14ac:dyDescent="0.25">
      <c r="A1951" s="30" t="str">
        <f ca="1">IFERROR(__xludf.DUMMYFUNCTION("""COMPUTED_VALUE"""),"10900142196006")</f>
        <v>10900142196006</v>
      </c>
      <c r="B1951" s="30" t="str">
        <f ca="1">IFERROR(__xludf.DUMMYFUNCTION("""COMPUTED_VALUE"""),"HOSPITAL LOS RALOS")</f>
        <v>HOSPITAL LOS RALOS</v>
      </c>
      <c r="C1951" s="30" t="str">
        <f ca="1">IFERROR(__xludf.DUMMYFUNCTION("""COMPUTED_VALUE"""),"Tucumán")</f>
        <v>Tucumán</v>
      </c>
      <c r="D1951" s="30" t="str">
        <f ca="1">IFERROR(__xludf.DUMMYFUNCTION("""COMPUTED_VALUE"""),"90")</f>
        <v>90</v>
      </c>
      <c r="E1951" s="30" t="str">
        <f ca="1">IFERROR(__xludf.DUMMYFUNCTION("""COMPUTED_VALUE"""),"")</f>
        <v/>
      </c>
      <c r="F1951" s="29"/>
      <c r="G1951" s="29"/>
      <c r="H1951" s="30" t="str">
        <f ca="1">IFERROR(__xludf.DUMMYFUNCTION("""COMPUTED_VALUE"""),"activo")</f>
        <v>activo</v>
      </c>
      <c r="I1951" s="29"/>
      <c r="J1951" s="29"/>
      <c r="K1951" s="29"/>
      <c r="L1951" s="30" t="str">
        <f ca="1">IFERROR(__xludf.DUMMYFUNCTION("""COMPUTED_VALUE"""),"No")</f>
        <v>No</v>
      </c>
      <c r="M1951" s="30" t="str">
        <f ca="1">IFERROR(__xludf.DUMMYFUNCTION("""COMPUTED_VALUE"""),"90014100001")</f>
        <v>90014100001</v>
      </c>
      <c r="N1951" s="30" t="str">
        <f ca="1">IFERROR(__xludf.DUMMYFUNCTION("""COMPUTED_VALUE"""),"EX INGENIO LOS RALOS")</f>
        <v>EX INGENIO LOS RALOS</v>
      </c>
      <c r="O1951" s="30" t="str">
        <f ca="1">IFERROR(__xludf.DUMMYFUNCTION("""COMPUTED_VALUE"""),"9014")</f>
        <v>9014</v>
      </c>
      <c r="P1951" s="30" t="str">
        <f ca="1">IFERROR(__xludf.DUMMYFUNCTION("""COMPUTED_VALUE"""),"CRUZ ALTA")</f>
        <v>CRUZ ALTA</v>
      </c>
      <c r="Q1951" s="30" t="str">
        <f ca="1">IFERROR(__xludf.DUMMYFUNCTION("""COMPUTED_VALUE"""),"-26.886134")</f>
        <v>-26.886134</v>
      </c>
      <c r="R1951" s="30" t="str">
        <f ca="1">IFERROR(__xludf.DUMMYFUNCTION("""COMPUTED_VALUE"""),"-65.004293")</f>
        <v>-65.004293</v>
      </c>
      <c r="S1951" s="30" t="str">
        <f ca="1">IFERROR(__xludf.DUMMYFUNCTION("""COMPUTED_VALUE"""),"Provincial")</f>
        <v>Provincial</v>
      </c>
      <c r="T1951" s="30" t="str">
        <f ca="1">IFERROR(__xludf.DUMMYFUNCTION("""COMPUTED_VALUE"""),"-")</f>
        <v>-</v>
      </c>
    </row>
    <row r="1952" spans="1:20" ht="15.75" customHeight="1" x14ac:dyDescent="0.25">
      <c r="A1952" s="30" t="str">
        <f ca="1">IFERROR(__xludf.DUMMYFUNCTION("""COMPUTED_VALUE"""),"50940072195023")</f>
        <v>50940072195023</v>
      </c>
      <c r="B1952" s="30" t="str">
        <f ca="1">IFERROR(__xludf.DUMMYFUNCTION("""COMPUTED_VALUE"""),"CENTRO ASISTENCIAL TOLHUIN")</f>
        <v>CENTRO ASISTENCIAL TOLHUIN</v>
      </c>
      <c r="C1952" s="30" t="str">
        <f ca="1">IFERROR(__xludf.DUMMYFUNCTION("""COMPUTED_VALUE"""),"Tierra del Fuego")</f>
        <v>Tierra del Fuego</v>
      </c>
      <c r="D1952" s="30" t="str">
        <f ca="1">IFERROR(__xludf.DUMMYFUNCTION("""COMPUTED_VALUE"""),"94")</f>
        <v>94</v>
      </c>
      <c r="E1952" s="30" t="str">
        <f ca="1">IFERROR(__xludf.DUMMYFUNCTION("""COMPUTED_VALUE"""),"si")</f>
        <v>si</v>
      </c>
      <c r="F1952" s="29"/>
      <c r="G1952" s="29"/>
      <c r="H1952" s="30" t="str">
        <f ca="1">IFERROR(__xludf.DUMMYFUNCTION("""COMPUTED_VALUE"""),"activo")</f>
        <v>activo</v>
      </c>
      <c r="I1952" s="29"/>
      <c r="J1952" s="29"/>
      <c r="K1952" s="29"/>
      <c r="L1952" s="30" t="str">
        <f ca="1">IFERROR(__xludf.DUMMYFUNCTION("""COMPUTED_VALUE"""),"No")</f>
        <v>No</v>
      </c>
      <c r="M1952" s="30" t="str">
        <f ca="1">IFERROR(__xludf.DUMMYFUNCTION("""COMPUTED_VALUE"""),"94007020000")</f>
        <v>94007020000</v>
      </c>
      <c r="N1952" s="30" t="str">
        <f ca="1">IFERROR(__xludf.DUMMYFUNCTION("""COMPUTED_VALUE"""),"TOLHUIN")</f>
        <v>TOLHUIN</v>
      </c>
      <c r="O1952" s="30" t="str">
        <f ca="1">IFERROR(__xludf.DUMMYFUNCTION("""COMPUTED_VALUE"""),"947")</f>
        <v>947</v>
      </c>
      <c r="P1952" s="30" t="str">
        <f ca="1">IFERROR(__xludf.DUMMYFUNCTION("""COMPUTED_VALUE"""),"RÍO GRANDE")</f>
        <v>RÍO GRANDE</v>
      </c>
      <c r="Q1952" s="30" t="str">
        <f ca="1">IFERROR(__xludf.DUMMYFUNCTION("""COMPUTED_VALUE"""),"-53.8015886")</f>
        <v>-53.8015886</v>
      </c>
      <c r="R1952" s="30" t="str">
        <f ca="1">IFERROR(__xludf.DUMMYFUNCTION("""COMPUTED_VALUE"""),"-67.66286373")</f>
        <v>-67.66286373</v>
      </c>
      <c r="S1952" s="30" t="str">
        <f ca="1">IFERROR(__xludf.DUMMYFUNCTION("""COMPUTED_VALUE"""),"Provincial")</f>
        <v>Provincial</v>
      </c>
      <c r="T1952" s="30" t="str">
        <f ca="1">IFERROR(__xludf.DUMMYFUNCTION("""COMPUTED_VALUE"""),"-")</f>
        <v>-</v>
      </c>
    </row>
    <row r="1953" spans="1:20" ht="15.75" customHeight="1" x14ac:dyDescent="0.25">
      <c r="A1953" s="30" t="str">
        <f ca="1">IFERROR(__xludf.DUMMYFUNCTION("""COMPUTED_VALUE"""),"50940142195010")</f>
        <v>50940142195010</v>
      </c>
      <c r="B1953" s="30" t="str">
        <f ca="1">IFERROR(__xludf.DUMMYFUNCTION("""COMPUTED_VALUE"""),"CAPS NRO 1")</f>
        <v>CAPS NRO 1</v>
      </c>
      <c r="C1953" s="30" t="str">
        <f ca="1">IFERROR(__xludf.DUMMYFUNCTION("""COMPUTED_VALUE"""),"Tierra del Fuego")</f>
        <v>Tierra del Fuego</v>
      </c>
      <c r="D1953" s="30" t="str">
        <f ca="1">IFERROR(__xludf.DUMMYFUNCTION("""COMPUTED_VALUE"""),"94")</f>
        <v>94</v>
      </c>
      <c r="E1953" s="30" t="str">
        <f ca="1">IFERROR(__xludf.DUMMYFUNCTION("""COMPUTED_VALUE"""),"si")</f>
        <v>si</v>
      </c>
      <c r="F1953" s="29"/>
      <c r="G1953" s="29"/>
      <c r="H1953" s="30" t="str">
        <f ca="1">IFERROR(__xludf.DUMMYFUNCTION("""COMPUTED_VALUE"""),"inactivo")</f>
        <v>inactivo</v>
      </c>
      <c r="I1953" s="29"/>
      <c r="J1953" s="29"/>
      <c r="K1953" s="29"/>
      <c r="L1953" s="30" t="str">
        <f ca="1">IFERROR(__xludf.DUMMYFUNCTION("""COMPUTED_VALUE"""),"No")</f>
        <v>No</v>
      </c>
      <c r="M1953" s="30" t="str">
        <f ca="1">IFERROR(__xludf.DUMMYFUNCTION("""COMPUTED_VALUE"""),"94014020000")</f>
        <v>94014020000</v>
      </c>
      <c r="N1953" s="30" t="str">
        <f ca="1">IFERROR(__xludf.DUMMYFUNCTION("""COMPUTED_VALUE"""),"USHUAIA")</f>
        <v>USHUAIA</v>
      </c>
      <c r="O1953" s="30" t="str">
        <f ca="1">IFERROR(__xludf.DUMMYFUNCTION("""COMPUTED_VALUE"""),"9414")</f>
        <v>9414</v>
      </c>
      <c r="P1953" s="30" t="str">
        <f ca="1">IFERROR(__xludf.DUMMYFUNCTION("""COMPUTED_VALUE"""),"USHUAIA")</f>
        <v>USHUAIA</v>
      </c>
      <c r="Q1953" s="30" t="str">
        <f ca="1">IFERROR(__xludf.DUMMYFUNCTION("""COMPUTED_VALUE"""),"-54.7915337")</f>
        <v>-54.7915337</v>
      </c>
      <c r="R1953" s="30" t="str">
        <f ca="1">IFERROR(__xludf.DUMMYFUNCTION("""COMPUTED_VALUE"""),"-68.264996")</f>
        <v>-68.264996</v>
      </c>
      <c r="S1953" s="30" t="str">
        <f ca="1">IFERROR(__xludf.DUMMYFUNCTION("""COMPUTED_VALUE"""),"Provincial")</f>
        <v>Provincial</v>
      </c>
      <c r="T1953" s="30" t="str">
        <f ca="1">IFERROR(__xludf.DUMMYFUNCTION("""COMPUTED_VALUE"""),"-")</f>
        <v>-</v>
      </c>
    </row>
    <row r="1954" spans="1:20" ht="15.75" customHeight="1" x14ac:dyDescent="0.25">
      <c r="A1954" s="30" t="str">
        <f ca="1">IFERROR(__xludf.DUMMYFUNCTION("""COMPUTED_VALUE"""),"50940072195013")</f>
        <v>50940072195013</v>
      </c>
      <c r="B1954" s="30" t="str">
        <f ca="1">IFERROR(__xludf.DUMMYFUNCTION("""COMPUTED_VALUE"""),"CAPS NRO 2 DR. ERNESTO LOFFLER")</f>
        <v>CAPS NRO 2 DR. ERNESTO LOFFLER</v>
      </c>
      <c r="C1954" s="30" t="str">
        <f ca="1">IFERROR(__xludf.DUMMYFUNCTION("""COMPUTED_VALUE"""),"Tierra del Fuego")</f>
        <v>Tierra del Fuego</v>
      </c>
      <c r="D1954" s="30" t="str">
        <f ca="1">IFERROR(__xludf.DUMMYFUNCTION("""COMPUTED_VALUE"""),"94")</f>
        <v>94</v>
      </c>
      <c r="E1954" s="30" t="str">
        <f ca="1">IFERROR(__xludf.DUMMYFUNCTION("""COMPUTED_VALUE"""),"")</f>
        <v/>
      </c>
      <c r="F1954" s="29"/>
      <c r="G1954" s="29"/>
      <c r="H1954" s="30" t="str">
        <f ca="1">IFERROR(__xludf.DUMMYFUNCTION("""COMPUTED_VALUE"""),"inactivo")</f>
        <v>inactivo</v>
      </c>
      <c r="I1954" s="29"/>
      <c r="J1954" s="29"/>
      <c r="K1954" s="29"/>
      <c r="L1954" s="30" t="str">
        <f ca="1">IFERROR(__xludf.DUMMYFUNCTION("""COMPUTED_VALUE"""),"No")</f>
        <v>No</v>
      </c>
      <c r="M1954" s="30" t="str">
        <f ca="1">IFERROR(__xludf.DUMMYFUNCTION("""COMPUTED_VALUE"""),"94007010000")</f>
        <v>94007010000</v>
      </c>
      <c r="N1954" s="30" t="str">
        <f ca="1">IFERROR(__xludf.DUMMYFUNCTION("""COMPUTED_VALUE"""),"RIO GRANDE")</f>
        <v>RIO GRANDE</v>
      </c>
      <c r="O1954" s="30" t="str">
        <f ca="1">IFERROR(__xludf.DUMMYFUNCTION("""COMPUTED_VALUE"""),"947")</f>
        <v>947</v>
      </c>
      <c r="P1954" s="30" t="str">
        <f ca="1">IFERROR(__xludf.DUMMYFUNCTION("""COMPUTED_VALUE"""),"RÍO GRANDE")</f>
        <v>RÍO GRANDE</v>
      </c>
      <c r="Q1954" s="30" t="str">
        <f ca="1">IFERROR(__xludf.DUMMYFUNCTION("""COMPUTED_VALUE"""),"-53.79352809")</f>
        <v>-53.79352809</v>
      </c>
      <c r="R1954" s="30" t="str">
        <f ca="1">IFERROR(__xludf.DUMMYFUNCTION("""COMPUTED_VALUE"""),"-67.70230293")</f>
        <v>-67.70230293</v>
      </c>
      <c r="S1954" s="30" t="str">
        <f ca="1">IFERROR(__xludf.DUMMYFUNCTION("""COMPUTED_VALUE"""),"Provincial")</f>
        <v>Provincial</v>
      </c>
      <c r="T1954" s="30" t="str">
        <f ca="1">IFERROR(__xludf.DUMMYFUNCTION("""COMPUTED_VALUE"""),"-")</f>
        <v>-</v>
      </c>
    </row>
    <row r="1955" spans="1:20" ht="15.75" customHeight="1" x14ac:dyDescent="0.25">
      <c r="A1955" s="30" t="str">
        <f ca="1">IFERROR(__xludf.DUMMYFUNCTION("""COMPUTED_VALUE"""),"50940072195018")</f>
        <v>50940072195018</v>
      </c>
      <c r="B1955" s="30" t="str">
        <f ca="1">IFERROR(__xludf.DUMMYFUNCTION("""COMPUTED_VALUE"""),"CAPS NRO. 5 DR. RAMON CARRILLO")</f>
        <v>CAPS NRO. 5 DR. RAMON CARRILLO</v>
      </c>
      <c r="C1955" s="30" t="str">
        <f ca="1">IFERROR(__xludf.DUMMYFUNCTION("""COMPUTED_VALUE"""),"Tierra del Fuego")</f>
        <v>Tierra del Fuego</v>
      </c>
      <c r="D1955" s="30" t="str">
        <f ca="1">IFERROR(__xludf.DUMMYFUNCTION("""COMPUTED_VALUE"""),"94")</f>
        <v>94</v>
      </c>
      <c r="E1955" s="30" t="str">
        <f ca="1">IFERROR(__xludf.DUMMYFUNCTION("""COMPUTED_VALUE"""),"")</f>
        <v/>
      </c>
      <c r="F1955" s="29"/>
      <c r="G1955" s="29"/>
      <c r="H1955" s="30" t="str">
        <f ca="1">IFERROR(__xludf.DUMMYFUNCTION("""COMPUTED_VALUE"""),"inactivo")</f>
        <v>inactivo</v>
      </c>
      <c r="I1955" s="29"/>
      <c r="J1955" s="29"/>
      <c r="K1955" s="29"/>
      <c r="L1955" s="30" t="str">
        <f ca="1">IFERROR(__xludf.DUMMYFUNCTION("""COMPUTED_VALUE"""),"No")</f>
        <v>No</v>
      </c>
      <c r="M1955" s="30" t="str">
        <f ca="1">IFERROR(__xludf.DUMMYFUNCTION("""COMPUTED_VALUE"""),"94007010000")</f>
        <v>94007010000</v>
      </c>
      <c r="N1955" s="30" t="str">
        <f ca="1">IFERROR(__xludf.DUMMYFUNCTION("""COMPUTED_VALUE"""),"RIO GRANDE")</f>
        <v>RIO GRANDE</v>
      </c>
      <c r="O1955" s="30" t="str">
        <f ca="1">IFERROR(__xludf.DUMMYFUNCTION("""COMPUTED_VALUE"""),"947")</f>
        <v>947</v>
      </c>
      <c r="P1955" s="30" t="str">
        <f ca="1">IFERROR(__xludf.DUMMYFUNCTION("""COMPUTED_VALUE"""),"RÍO GRANDE")</f>
        <v>RÍO GRANDE</v>
      </c>
      <c r="Q1955" s="30" t="str">
        <f ca="1">IFERROR(__xludf.DUMMYFUNCTION("""COMPUTED_VALUE"""),"-53.7731721")</f>
        <v>-53.7731721</v>
      </c>
      <c r="R1955" s="30" t="str">
        <f ca="1">IFERROR(__xludf.DUMMYFUNCTION("""COMPUTED_VALUE"""),"-67.7270059")</f>
        <v>-67.7270059</v>
      </c>
      <c r="S1955" s="30" t="str">
        <f ca="1">IFERROR(__xludf.DUMMYFUNCTION("""COMPUTED_VALUE"""),"Provincial")</f>
        <v>Provincial</v>
      </c>
      <c r="T1955" s="30" t="str">
        <f ca="1">IFERROR(__xludf.DUMMYFUNCTION("""COMPUTED_VALUE"""),"-")</f>
        <v>-</v>
      </c>
    </row>
    <row r="1956" spans="1:20" ht="15.75" customHeight="1" x14ac:dyDescent="0.25">
      <c r="A1956" s="30" t="str">
        <f ca="1">IFERROR(__xludf.DUMMYFUNCTION("""COMPUTED_VALUE"""),"50940142195098")</f>
        <v>50940142195098</v>
      </c>
      <c r="B1956" s="30" t="str">
        <f ca="1">IFERROR(__xludf.DUMMYFUNCTION("""COMPUTED_VALUE"""),"CAPS Nº 7")</f>
        <v>CAPS Nº 7</v>
      </c>
      <c r="C1956" s="30" t="str">
        <f ca="1">IFERROR(__xludf.DUMMYFUNCTION("""COMPUTED_VALUE"""),"Tierra del Fuego")</f>
        <v>Tierra del Fuego</v>
      </c>
      <c r="D1956" s="30" t="str">
        <f ca="1">IFERROR(__xludf.DUMMYFUNCTION("""COMPUTED_VALUE"""),"94")</f>
        <v>94</v>
      </c>
      <c r="E1956" s="30" t="str">
        <f ca="1">IFERROR(__xludf.DUMMYFUNCTION("""COMPUTED_VALUE"""),"si")</f>
        <v>si</v>
      </c>
      <c r="F1956" s="29"/>
      <c r="G1956" s="29"/>
      <c r="H1956" s="30" t="str">
        <f ca="1">IFERROR(__xludf.DUMMYFUNCTION("""COMPUTED_VALUE"""),"inactivo")</f>
        <v>inactivo</v>
      </c>
      <c r="I1956" s="29"/>
      <c r="J1956" s="29"/>
      <c r="K1956" s="29"/>
      <c r="L1956" s="30" t="str">
        <f ca="1">IFERROR(__xludf.DUMMYFUNCTION("""COMPUTED_VALUE"""),"No")</f>
        <v>No</v>
      </c>
      <c r="M1956" s="30" t="str">
        <f ca="1">IFERROR(__xludf.DUMMYFUNCTION("""COMPUTED_VALUE"""),"94014020000")</f>
        <v>94014020000</v>
      </c>
      <c r="N1956" s="30" t="str">
        <f ca="1">IFERROR(__xludf.DUMMYFUNCTION("""COMPUTED_VALUE"""),"USHUAIA")</f>
        <v>USHUAIA</v>
      </c>
      <c r="O1956" s="30" t="str">
        <f ca="1">IFERROR(__xludf.DUMMYFUNCTION("""COMPUTED_VALUE"""),"9414")</f>
        <v>9414</v>
      </c>
      <c r="P1956" s="30" t="str">
        <f ca="1">IFERROR(__xludf.DUMMYFUNCTION("""COMPUTED_VALUE"""),"USHUAIA")</f>
        <v>USHUAIA</v>
      </c>
      <c r="Q1956" s="30" t="str">
        <f ca="1">IFERROR(__xludf.DUMMYFUNCTION("""COMPUTED_VALUE"""),"-54.80641116")</f>
        <v>-54.80641116</v>
      </c>
      <c r="R1956" s="30" t="str">
        <f ca="1">IFERROR(__xludf.DUMMYFUNCTION("""COMPUTED_VALUE"""),"-68.33205342")</f>
        <v>-68.33205342</v>
      </c>
      <c r="S1956" s="30" t="str">
        <f ca="1">IFERROR(__xludf.DUMMYFUNCTION("""COMPUTED_VALUE"""),"Provincial")</f>
        <v>Provincial</v>
      </c>
      <c r="T1956" s="30" t="str">
        <f ca="1">IFERROR(__xludf.DUMMYFUNCTION("""COMPUTED_VALUE"""),"-")</f>
        <v>-</v>
      </c>
    </row>
    <row r="1957" spans="1:20" ht="15.75" customHeight="1" x14ac:dyDescent="0.25">
      <c r="A1957" s="30" t="str">
        <f ca="1">IFERROR(__xludf.DUMMYFUNCTION("""COMPUTED_VALUE"""),"50940142195019")</f>
        <v>50940142195019</v>
      </c>
      <c r="B1957" s="30" t="str">
        <f ca="1">IFERROR(__xludf.DUMMYFUNCTION("""COMPUTED_VALUE"""),"CAPS NRO 5")</f>
        <v>CAPS NRO 5</v>
      </c>
      <c r="C1957" s="30" t="str">
        <f ca="1">IFERROR(__xludf.DUMMYFUNCTION("""COMPUTED_VALUE"""),"Tierra del Fuego")</f>
        <v>Tierra del Fuego</v>
      </c>
      <c r="D1957" s="30" t="str">
        <f ca="1">IFERROR(__xludf.DUMMYFUNCTION("""COMPUTED_VALUE"""),"94")</f>
        <v>94</v>
      </c>
      <c r="E1957" s="30" t="str">
        <f ca="1">IFERROR(__xludf.DUMMYFUNCTION("""COMPUTED_VALUE"""),"")</f>
        <v/>
      </c>
      <c r="F1957" s="29"/>
      <c r="G1957" s="29"/>
      <c r="H1957" s="30" t="str">
        <f ca="1">IFERROR(__xludf.DUMMYFUNCTION("""COMPUTED_VALUE"""),"inactivo")</f>
        <v>inactivo</v>
      </c>
      <c r="I1957" s="29"/>
      <c r="J1957" s="29"/>
      <c r="K1957" s="29"/>
      <c r="L1957" s="30" t="str">
        <f ca="1">IFERROR(__xludf.DUMMYFUNCTION("""COMPUTED_VALUE"""),"No")</f>
        <v>No</v>
      </c>
      <c r="M1957" s="30" t="str">
        <f ca="1">IFERROR(__xludf.DUMMYFUNCTION("""COMPUTED_VALUE"""),"94014020000")</f>
        <v>94014020000</v>
      </c>
      <c r="N1957" s="30" t="str">
        <f ca="1">IFERROR(__xludf.DUMMYFUNCTION("""COMPUTED_VALUE"""),"USHUAIA")</f>
        <v>USHUAIA</v>
      </c>
      <c r="O1957" s="30" t="str">
        <f ca="1">IFERROR(__xludf.DUMMYFUNCTION("""COMPUTED_VALUE"""),"9414")</f>
        <v>9414</v>
      </c>
      <c r="P1957" s="30" t="str">
        <f ca="1">IFERROR(__xludf.DUMMYFUNCTION("""COMPUTED_VALUE"""),"USHUAIA")</f>
        <v>USHUAIA</v>
      </c>
      <c r="Q1957" s="30" t="str">
        <f ca="1">IFERROR(__xludf.DUMMYFUNCTION("""COMPUTED_VALUE"""),"-54.827788")</f>
        <v>-54.827788</v>
      </c>
      <c r="R1957" s="30" t="str">
        <f ca="1">IFERROR(__xludf.DUMMYFUNCTION("""COMPUTED_VALUE"""),"-68.337094")</f>
        <v>-68.337094</v>
      </c>
      <c r="S1957" s="30" t="str">
        <f ca="1">IFERROR(__xludf.DUMMYFUNCTION("""COMPUTED_VALUE"""),"Provincial")</f>
        <v>Provincial</v>
      </c>
      <c r="T1957" s="30" t="str">
        <f ca="1">IFERROR(__xludf.DUMMYFUNCTION("""COMPUTED_VALUE"""),"-")</f>
        <v>-</v>
      </c>
    </row>
    <row r="1958" spans="1:20" ht="15.75" customHeight="1" x14ac:dyDescent="0.25">
      <c r="A1958" s="30" t="str">
        <f ca="1">IFERROR(__xludf.DUMMYFUNCTION("""COMPUTED_VALUE"""),"50940072195101")</f>
        <v>50940072195101</v>
      </c>
      <c r="B1958" s="30" t="str">
        <f ca="1">IFERROR(__xludf.DUMMYFUNCTION("""COMPUTED_VALUE"""),"CAPS NRO 7 SOLER DE LA LAGUNA")</f>
        <v>CAPS NRO 7 SOLER DE LA LAGUNA</v>
      </c>
      <c r="C1958" s="30" t="str">
        <f ca="1">IFERROR(__xludf.DUMMYFUNCTION("""COMPUTED_VALUE"""),"Tierra del Fuego")</f>
        <v>Tierra del Fuego</v>
      </c>
      <c r="D1958" s="30" t="str">
        <f ca="1">IFERROR(__xludf.DUMMYFUNCTION("""COMPUTED_VALUE"""),"94")</f>
        <v>94</v>
      </c>
      <c r="E1958" s="30" t="str">
        <f ca="1">IFERROR(__xludf.DUMMYFUNCTION("""COMPUTED_VALUE"""),"")</f>
        <v/>
      </c>
      <c r="F1958" s="29"/>
      <c r="G1958" s="29"/>
      <c r="H1958" s="30" t="str">
        <f ca="1">IFERROR(__xludf.DUMMYFUNCTION("""COMPUTED_VALUE"""),"activo")</f>
        <v>activo</v>
      </c>
      <c r="I1958" s="29"/>
      <c r="J1958" s="29"/>
      <c r="K1958" s="29"/>
      <c r="L1958" s="30" t="str">
        <f ca="1">IFERROR(__xludf.DUMMYFUNCTION("""COMPUTED_VALUE"""),"No")</f>
        <v>No</v>
      </c>
      <c r="M1958" s="30" t="str">
        <f ca="1">IFERROR(__xludf.DUMMYFUNCTION("""COMPUTED_VALUE"""),"94007010000")</f>
        <v>94007010000</v>
      </c>
      <c r="N1958" s="30" t="str">
        <f ca="1">IFERROR(__xludf.DUMMYFUNCTION("""COMPUTED_VALUE"""),"RIO GRANDE")</f>
        <v>RIO GRANDE</v>
      </c>
      <c r="O1958" s="30" t="str">
        <f ca="1">IFERROR(__xludf.DUMMYFUNCTION("""COMPUTED_VALUE"""),"947")</f>
        <v>947</v>
      </c>
      <c r="P1958" s="30" t="str">
        <f ca="1">IFERROR(__xludf.DUMMYFUNCTION("""COMPUTED_VALUE"""),"RÍO GRANDE")</f>
        <v>RÍO GRANDE</v>
      </c>
      <c r="Q1958" s="30" t="str">
        <f ca="1">IFERROR(__xludf.DUMMYFUNCTION("""COMPUTED_VALUE"""),"-53.79025782")</f>
        <v>-53.79025782</v>
      </c>
      <c r="R1958" s="30" t="str">
        <f ca="1">IFERROR(__xludf.DUMMYFUNCTION("""COMPUTED_VALUE"""),"-67.73277283")</f>
        <v>-67.73277283</v>
      </c>
      <c r="S1958" s="30" t="str">
        <f ca="1">IFERROR(__xludf.DUMMYFUNCTION("""COMPUTED_VALUE"""),"Provincial")</f>
        <v>Provincial</v>
      </c>
      <c r="T1958" s="30" t="str">
        <f ca="1">IFERROR(__xludf.DUMMYFUNCTION("""COMPUTED_VALUE"""),"-")</f>
        <v>-</v>
      </c>
    </row>
    <row r="1959" spans="1:20" ht="15.75" customHeight="1" x14ac:dyDescent="0.25">
      <c r="A1959" s="30" t="str">
        <f ca="1">IFERROR(__xludf.DUMMYFUNCTION("""COMPUTED_VALUE"""),"50940142195016")</f>
        <v>50940142195016</v>
      </c>
      <c r="B1959" s="30" t="str">
        <f ca="1">IFERROR(__xludf.DUMMYFUNCTION("""COMPUTED_VALUE"""),"CAPS NRO 4")</f>
        <v>CAPS NRO 4</v>
      </c>
      <c r="C1959" s="30" t="str">
        <f ca="1">IFERROR(__xludf.DUMMYFUNCTION("""COMPUTED_VALUE"""),"Tierra del Fuego")</f>
        <v>Tierra del Fuego</v>
      </c>
      <c r="D1959" s="30" t="str">
        <f ca="1">IFERROR(__xludf.DUMMYFUNCTION("""COMPUTED_VALUE"""),"94")</f>
        <v>94</v>
      </c>
      <c r="E1959" s="30" t="str">
        <f ca="1">IFERROR(__xludf.DUMMYFUNCTION("""COMPUTED_VALUE"""),"")</f>
        <v/>
      </c>
      <c r="F1959" s="29"/>
      <c r="G1959" s="29"/>
      <c r="H1959" s="30" t="str">
        <f ca="1">IFERROR(__xludf.DUMMYFUNCTION("""COMPUTED_VALUE"""),"activo")</f>
        <v>activo</v>
      </c>
      <c r="I1959" s="29"/>
      <c r="J1959" s="29"/>
      <c r="K1959" s="29"/>
      <c r="L1959" s="30" t="str">
        <f ca="1">IFERROR(__xludf.DUMMYFUNCTION("""COMPUTED_VALUE"""),"No")</f>
        <v>No</v>
      </c>
      <c r="M1959" s="30" t="str">
        <f ca="1">IFERROR(__xludf.DUMMYFUNCTION("""COMPUTED_VALUE"""),"94014020000")</f>
        <v>94014020000</v>
      </c>
      <c r="N1959" s="30" t="str">
        <f ca="1">IFERROR(__xludf.DUMMYFUNCTION("""COMPUTED_VALUE"""),"USHUAIA")</f>
        <v>USHUAIA</v>
      </c>
      <c r="O1959" s="30" t="str">
        <f ca="1">IFERROR(__xludf.DUMMYFUNCTION("""COMPUTED_VALUE"""),"9414")</f>
        <v>9414</v>
      </c>
      <c r="P1959" s="30" t="str">
        <f ca="1">IFERROR(__xludf.DUMMYFUNCTION("""COMPUTED_VALUE"""),"USHUAIA")</f>
        <v>USHUAIA</v>
      </c>
      <c r="Q1959" s="30" t="str">
        <f ca="1">IFERROR(__xludf.DUMMYFUNCTION("""COMPUTED_VALUE"""),"-54.82116222")</f>
        <v>-54.82116222</v>
      </c>
      <c r="R1959" s="30" t="str">
        <f ca="1">IFERROR(__xludf.DUMMYFUNCTION("""COMPUTED_VALUE"""),"-68.3519125")</f>
        <v>-68.3519125</v>
      </c>
      <c r="S1959" s="30" t="str">
        <f ca="1">IFERROR(__xludf.DUMMYFUNCTION("""COMPUTED_VALUE"""),"Provincial")</f>
        <v>Provincial</v>
      </c>
      <c r="T1959" s="30" t="str">
        <f ca="1">IFERROR(__xludf.DUMMYFUNCTION("""COMPUTED_VALUE"""),"-")</f>
        <v>-</v>
      </c>
    </row>
    <row r="1960" spans="1:20" ht="15.75" customHeight="1" x14ac:dyDescent="0.25">
      <c r="A1960" s="30" t="str">
        <f ca="1">IFERROR(__xludf.DUMMYFUNCTION("""COMPUTED_VALUE"""),"50940072195011")</f>
        <v>50940072195011</v>
      </c>
      <c r="B1960" s="30" t="str">
        <f ca="1">IFERROR(__xludf.DUMMYFUNCTION("""COMPUTED_VALUE"""),"CAPS NRO 1 JOAQUIN GOYTISOLO")</f>
        <v>CAPS NRO 1 JOAQUIN GOYTISOLO</v>
      </c>
      <c r="C1960" s="30" t="str">
        <f ca="1">IFERROR(__xludf.DUMMYFUNCTION("""COMPUTED_VALUE"""),"Tierra del Fuego")</f>
        <v>Tierra del Fuego</v>
      </c>
      <c r="D1960" s="30" t="str">
        <f ca="1">IFERROR(__xludf.DUMMYFUNCTION("""COMPUTED_VALUE"""),"94")</f>
        <v>94</v>
      </c>
      <c r="E1960" s="30" t="str">
        <f ca="1">IFERROR(__xludf.DUMMYFUNCTION("""COMPUTED_VALUE"""),"")</f>
        <v/>
      </c>
      <c r="F1960" s="29"/>
      <c r="G1960" s="29"/>
      <c r="H1960" s="30" t="str">
        <f ca="1">IFERROR(__xludf.DUMMYFUNCTION("""COMPUTED_VALUE"""),"activo")</f>
        <v>activo</v>
      </c>
      <c r="I1960" s="30" t="str">
        <f ca="1">IFERROR(__xludf.DUMMYFUNCTION("""COMPUTED_VALUE"""),"Se encontro en el CAI 2019-no figuraba en universo")</f>
        <v>Se encontro en el CAI 2019-no figuraba en universo</v>
      </c>
      <c r="J1960" s="29"/>
      <c r="K1960" s="29"/>
      <c r="L1960" s="30" t="str">
        <f ca="1">IFERROR(__xludf.DUMMYFUNCTION("""COMPUTED_VALUE"""),"No")</f>
        <v>No</v>
      </c>
      <c r="M1960" s="30" t="str">
        <f ca="1">IFERROR(__xludf.DUMMYFUNCTION("""COMPUTED_VALUE"""),"94007010000")</f>
        <v>94007010000</v>
      </c>
      <c r="N1960" s="30" t="str">
        <f ca="1">IFERROR(__xludf.DUMMYFUNCTION("""COMPUTED_VALUE"""),"RIO GRANDE")</f>
        <v>RIO GRANDE</v>
      </c>
      <c r="O1960" s="30" t="str">
        <f ca="1">IFERROR(__xludf.DUMMYFUNCTION("""COMPUTED_VALUE"""),"947")</f>
        <v>947</v>
      </c>
      <c r="P1960" s="30" t="str">
        <f ca="1">IFERROR(__xludf.DUMMYFUNCTION("""COMPUTED_VALUE"""),"RÍO GRANDE")</f>
        <v>RÍO GRANDE</v>
      </c>
      <c r="Q1960" s="30" t="str">
        <f ca="1">IFERROR(__xludf.DUMMYFUNCTION("""COMPUTED_VALUE"""),"-53.7935211")</f>
        <v>-53.7935211</v>
      </c>
      <c r="R1960" s="30" t="str">
        <f ca="1">IFERROR(__xludf.DUMMYFUNCTION("""COMPUTED_VALUE"""),"-67.720547")</f>
        <v>-67.720547</v>
      </c>
      <c r="S1960" s="30" t="str">
        <f ca="1">IFERROR(__xludf.DUMMYFUNCTION("""COMPUTED_VALUE"""),"Provincial")</f>
        <v>Provincial</v>
      </c>
      <c r="T1960" s="30" t="str">
        <f ca="1">IFERROR(__xludf.DUMMYFUNCTION("""COMPUTED_VALUE"""),"-")</f>
        <v>-</v>
      </c>
    </row>
    <row r="1961" spans="1:20" ht="15.75" customHeight="1" x14ac:dyDescent="0.25">
      <c r="A1961" s="30" t="str">
        <f ca="1">IFERROR(__xludf.DUMMYFUNCTION("""COMPUTED_VALUE"""),"50940072195015")</f>
        <v>50940072195015</v>
      </c>
      <c r="B1961" s="30" t="str">
        <f ca="1">IFERROR(__xludf.DUMMYFUNCTION("""COMPUTED_VALUE"""),"CAPS NRO 3  DR. TOMAS GONZALEZ")</f>
        <v>CAPS NRO 3  DR. TOMAS GONZALEZ</v>
      </c>
      <c r="C1961" s="30" t="str">
        <f ca="1">IFERROR(__xludf.DUMMYFUNCTION("""COMPUTED_VALUE"""),"Tierra del Fuego")</f>
        <v>Tierra del Fuego</v>
      </c>
      <c r="D1961" s="30" t="str">
        <f ca="1">IFERROR(__xludf.DUMMYFUNCTION("""COMPUTED_VALUE"""),"94")</f>
        <v>94</v>
      </c>
      <c r="E1961" s="30" t="str">
        <f ca="1">IFERROR(__xludf.DUMMYFUNCTION("""COMPUTED_VALUE"""),"")</f>
        <v/>
      </c>
      <c r="F1961" s="29"/>
      <c r="G1961" s="29"/>
      <c r="H1961" s="30" t="str">
        <f ca="1">IFERROR(__xludf.DUMMYFUNCTION("""COMPUTED_VALUE"""),"activo")</f>
        <v>activo</v>
      </c>
      <c r="I1961" s="30" t="str">
        <f ca="1">IFERROR(__xludf.DUMMYFUNCTION("""COMPUTED_VALUE"""),"Se encontro en el CAI 2019-no figuraba en universo")</f>
        <v>Se encontro en el CAI 2019-no figuraba en universo</v>
      </c>
      <c r="J1961" s="29"/>
      <c r="K1961" s="29"/>
      <c r="L1961" s="30" t="str">
        <f ca="1">IFERROR(__xludf.DUMMYFUNCTION("""COMPUTED_VALUE"""),"No")</f>
        <v>No</v>
      </c>
      <c r="M1961" s="30" t="str">
        <f ca="1">IFERROR(__xludf.DUMMYFUNCTION("""COMPUTED_VALUE"""),"94007010000")</f>
        <v>94007010000</v>
      </c>
      <c r="N1961" s="30" t="str">
        <f ca="1">IFERROR(__xludf.DUMMYFUNCTION("""COMPUTED_VALUE"""),"RIO GRANDE")</f>
        <v>RIO GRANDE</v>
      </c>
      <c r="O1961" s="30" t="str">
        <f ca="1">IFERROR(__xludf.DUMMYFUNCTION("""COMPUTED_VALUE"""),"947")</f>
        <v>947</v>
      </c>
      <c r="P1961" s="30" t="str">
        <f ca="1">IFERROR(__xludf.DUMMYFUNCTION("""COMPUTED_VALUE"""),"RÍO GRANDE")</f>
        <v>RÍO GRANDE</v>
      </c>
      <c r="Q1961" s="30" t="str">
        <f ca="1">IFERROR(__xludf.DUMMYFUNCTION("""COMPUTED_VALUE"""),"-53.802614")</f>
        <v>-53.802614</v>
      </c>
      <c r="R1961" s="30" t="str">
        <f ca="1">IFERROR(__xludf.DUMMYFUNCTION("""COMPUTED_VALUE"""),"-67.659925")</f>
        <v>-67.659925</v>
      </c>
      <c r="S1961" s="30" t="str">
        <f ca="1">IFERROR(__xludf.DUMMYFUNCTION("""COMPUTED_VALUE"""),"Provincial")</f>
        <v>Provincial</v>
      </c>
      <c r="T1961" s="30" t="str">
        <f ca="1">IFERROR(__xludf.DUMMYFUNCTION("""COMPUTED_VALUE"""),"-")</f>
        <v>-</v>
      </c>
    </row>
    <row r="1962" spans="1:20" ht="15.75" customHeight="1" x14ac:dyDescent="0.25">
      <c r="A1962" s="30" t="str">
        <f ca="1">IFERROR(__xludf.DUMMYFUNCTION("""COMPUTED_VALUE"""),"50940142195020")</f>
        <v>50940142195020</v>
      </c>
      <c r="B1962" s="30" t="str">
        <f ca="1">IFERROR(__xludf.DUMMYFUNCTION("""COMPUTED_VALUE"""),"CAPS NRO 6")</f>
        <v>CAPS NRO 6</v>
      </c>
      <c r="C1962" s="30" t="str">
        <f ca="1">IFERROR(__xludf.DUMMYFUNCTION("""COMPUTED_VALUE"""),"Tierra del Fuego")</f>
        <v>Tierra del Fuego</v>
      </c>
      <c r="D1962" s="30" t="str">
        <f ca="1">IFERROR(__xludf.DUMMYFUNCTION("""COMPUTED_VALUE"""),"94")</f>
        <v>94</v>
      </c>
      <c r="E1962" s="30" t="str">
        <f ca="1">IFERROR(__xludf.DUMMYFUNCTION("""COMPUTED_VALUE"""),"")</f>
        <v/>
      </c>
      <c r="F1962" s="29"/>
      <c r="G1962" s="29"/>
      <c r="H1962" s="30" t="str">
        <f ca="1">IFERROR(__xludf.DUMMYFUNCTION("""COMPUTED_VALUE"""),"activo")</f>
        <v>activo</v>
      </c>
      <c r="I1962" s="30" t="str">
        <f ca="1">IFERROR(__xludf.DUMMYFUNCTION("""COMPUTED_VALUE"""),"Se encontro en el CAI 2019-no figuraba en universo")</f>
        <v>Se encontro en el CAI 2019-no figuraba en universo</v>
      </c>
      <c r="J1962" s="29"/>
      <c r="K1962" s="29"/>
      <c r="L1962" s="30" t="str">
        <f ca="1">IFERROR(__xludf.DUMMYFUNCTION("""COMPUTED_VALUE"""),"No")</f>
        <v>No</v>
      </c>
      <c r="M1962" s="30" t="str">
        <f ca="1">IFERROR(__xludf.DUMMYFUNCTION("""COMPUTED_VALUE"""),"94014020000")</f>
        <v>94014020000</v>
      </c>
      <c r="N1962" s="30" t="str">
        <f ca="1">IFERROR(__xludf.DUMMYFUNCTION("""COMPUTED_VALUE"""),"USHUAIA")</f>
        <v>USHUAIA</v>
      </c>
      <c r="O1962" s="30" t="str">
        <f ca="1">IFERROR(__xludf.DUMMYFUNCTION("""COMPUTED_VALUE"""),"9414")</f>
        <v>9414</v>
      </c>
      <c r="P1962" s="30" t="str">
        <f ca="1">IFERROR(__xludf.DUMMYFUNCTION("""COMPUTED_VALUE"""),"USHUAIA")</f>
        <v>USHUAIA</v>
      </c>
      <c r="Q1962" s="30" t="str">
        <f ca="1">IFERROR(__xludf.DUMMYFUNCTION("""COMPUTED_VALUE"""),"-54.793555")</f>
        <v>-54.793555</v>
      </c>
      <c r="R1962" s="30" t="str">
        <f ca="1">IFERROR(__xludf.DUMMYFUNCTION("""COMPUTED_VALUE"""),"-68.232611")</f>
        <v>-68.232611</v>
      </c>
      <c r="S1962" s="30" t="str">
        <f ca="1">IFERROR(__xludf.DUMMYFUNCTION("""COMPUTED_VALUE"""),"Provincial")</f>
        <v>Provincial</v>
      </c>
      <c r="T1962" s="30" t="str">
        <f ca="1">IFERROR(__xludf.DUMMYFUNCTION("""COMPUTED_VALUE"""),"-")</f>
        <v>-</v>
      </c>
    </row>
    <row r="1963" spans="1:20" ht="15.75" customHeight="1" x14ac:dyDescent="0.25">
      <c r="A1963" s="30" t="str">
        <f ca="1">IFERROR(__xludf.DUMMYFUNCTION("""COMPUTED_VALUE"""),"50940072195017")</f>
        <v>50940072195017</v>
      </c>
      <c r="B1963" s="30" t="str">
        <f ca="1">IFERROR(__xludf.DUMMYFUNCTION("""COMPUTED_VALUE"""),"CAPS NRO 4 ZULLY BALBERDI")</f>
        <v>CAPS NRO 4 ZULLY BALBERDI</v>
      </c>
      <c r="C1963" s="30" t="str">
        <f ca="1">IFERROR(__xludf.DUMMYFUNCTION("""COMPUTED_VALUE"""),"Tierra del Fuego")</f>
        <v>Tierra del Fuego</v>
      </c>
      <c r="D1963" s="30" t="str">
        <f ca="1">IFERROR(__xludf.DUMMYFUNCTION("""COMPUTED_VALUE"""),"94")</f>
        <v>94</v>
      </c>
      <c r="E1963" s="30" t="str">
        <f ca="1">IFERROR(__xludf.DUMMYFUNCTION("""COMPUTED_VALUE"""),"")</f>
        <v/>
      </c>
      <c r="F1963" s="29"/>
      <c r="G1963" s="29"/>
      <c r="H1963" s="30" t="str">
        <f ca="1">IFERROR(__xludf.DUMMYFUNCTION("""COMPUTED_VALUE"""),"activo")</f>
        <v>activo</v>
      </c>
      <c r="I1963" s="29"/>
      <c r="J1963" s="29"/>
      <c r="K1963" s="29"/>
      <c r="L1963" s="30" t="str">
        <f ca="1">IFERROR(__xludf.DUMMYFUNCTION("""COMPUTED_VALUE"""),"No")</f>
        <v>No</v>
      </c>
      <c r="M1963" s="30" t="str">
        <f ca="1">IFERROR(__xludf.DUMMYFUNCTION("""COMPUTED_VALUE"""),"94007010000")</f>
        <v>94007010000</v>
      </c>
      <c r="N1963" s="30" t="str">
        <f ca="1">IFERROR(__xludf.DUMMYFUNCTION("""COMPUTED_VALUE"""),"RIO GRANDE")</f>
        <v>RIO GRANDE</v>
      </c>
      <c r="O1963" s="30" t="str">
        <f ca="1">IFERROR(__xludf.DUMMYFUNCTION("""COMPUTED_VALUE"""),"947")</f>
        <v>947</v>
      </c>
      <c r="P1963" s="30" t="str">
        <f ca="1">IFERROR(__xludf.DUMMYFUNCTION("""COMPUTED_VALUE"""),"RÍO GRANDE")</f>
        <v>RÍO GRANDE</v>
      </c>
      <c r="Q1963" s="30" t="str">
        <f ca="1">IFERROR(__xludf.DUMMYFUNCTION("""COMPUTED_VALUE"""),"-53.7710643")</f>
        <v>-53.7710643</v>
      </c>
      <c r="R1963" s="30" t="str">
        <f ca="1">IFERROR(__xludf.DUMMYFUNCTION("""COMPUTED_VALUE"""),"-67.7381437")</f>
        <v>-67.7381437</v>
      </c>
      <c r="S1963" s="30" t="str">
        <f ca="1">IFERROR(__xludf.DUMMYFUNCTION("""COMPUTED_VALUE"""),"Provincial")</f>
        <v>Provincial</v>
      </c>
      <c r="T1963" s="30" t="str">
        <f ca="1">IFERROR(__xludf.DUMMYFUNCTION("""COMPUTED_VALUE"""),"-")</f>
        <v>-</v>
      </c>
    </row>
    <row r="1964" spans="1:20" ht="15.75" customHeight="1" x14ac:dyDescent="0.25">
      <c r="A1964" s="30" t="str">
        <f ca="1">IFERROR(__xludf.DUMMYFUNCTION("""COMPUTED_VALUE"""),"50940142195427")</f>
        <v>50940142195427</v>
      </c>
      <c r="B1964" s="30" t="str">
        <f ca="1">IFERROR(__xludf.DUMMYFUNCTION("""COMPUTED_VALUE"""),"CAPS 9 DR. ELIAS TANUS")</f>
        <v>CAPS 9 DR. ELIAS TANUS</v>
      </c>
      <c r="C1964" s="30" t="str">
        <f ca="1">IFERROR(__xludf.DUMMYFUNCTION("""COMPUTED_VALUE"""),"Tierra del Fuego")</f>
        <v>Tierra del Fuego</v>
      </c>
      <c r="D1964" s="30" t="str">
        <f ca="1">IFERROR(__xludf.DUMMYFUNCTION("""COMPUTED_VALUE"""),"94")</f>
        <v>94</v>
      </c>
      <c r="E1964" s="30" t="str">
        <f ca="1">IFERROR(__xludf.DUMMYFUNCTION("""COMPUTED_VALUE"""),"")</f>
        <v/>
      </c>
      <c r="F1964" s="29"/>
      <c r="G1964" s="29"/>
      <c r="H1964" s="30" t="str">
        <f ca="1">IFERROR(__xludf.DUMMYFUNCTION("""COMPUTED_VALUE"""),"activo")</f>
        <v>activo</v>
      </c>
      <c r="I1964" s="29"/>
      <c r="J1964" s="29"/>
      <c r="K1964" s="29"/>
      <c r="L1964" s="30" t="str">
        <f ca="1">IFERROR(__xludf.DUMMYFUNCTION("""COMPUTED_VALUE"""),"No")</f>
        <v>No</v>
      </c>
      <c r="M1964" s="30" t="str">
        <f ca="1">IFERROR(__xludf.DUMMYFUNCTION("""COMPUTED_VALUE"""),"94014020000")</f>
        <v>94014020000</v>
      </c>
      <c r="N1964" s="30" t="str">
        <f ca="1">IFERROR(__xludf.DUMMYFUNCTION("""COMPUTED_VALUE"""),"USHUAIA")</f>
        <v>USHUAIA</v>
      </c>
      <c r="O1964" s="30" t="str">
        <f ca="1">IFERROR(__xludf.DUMMYFUNCTION("""COMPUTED_VALUE"""),"9414")</f>
        <v>9414</v>
      </c>
      <c r="P1964" s="30" t="str">
        <f ca="1">IFERROR(__xludf.DUMMYFUNCTION("""COMPUTED_VALUE"""),"USHUAIA")</f>
        <v>USHUAIA</v>
      </c>
      <c r="Q1964" s="30"/>
      <c r="R1964" s="30"/>
      <c r="S1964" s="30" t="str">
        <f ca="1">IFERROR(__xludf.DUMMYFUNCTION("""COMPUTED_VALUE"""),"Provincial")</f>
        <v>Provincial</v>
      </c>
      <c r="T1964" s="30" t="str">
        <f ca="1">IFERROR(__xludf.DUMMYFUNCTION("""COMPUTED_VALUE"""),"-")</f>
        <v>-</v>
      </c>
    </row>
    <row r="1965" spans="1:20" ht="15.75" customHeight="1" x14ac:dyDescent="0.25">
      <c r="A1965" s="30" t="str">
        <f ca="1">IFERROR(__xludf.DUMMYFUNCTION("""COMPUTED_VALUE"""),"50500492157274")</f>
        <v>50500492157274</v>
      </c>
      <c r="B1965" s="30" t="str">
        <f ca="1">IFERROR(__xludf.DUMMYFUNCTION("""COMPUTED_VALUE"""),"C.A.P.S. 022 NAZARENO DOMIZZI.-")</f>
        <v>C.A.P.S. 022 NAZARENO DOMIZZI.-</v>
      </c>
      <c r="C1965" s="30" t="str">
        <f ca="1">IFERROR(__xludf.DUMMYFUNCTION("""COMPUTED_VALUE"""),"Mendoza")</f>
        <v>Mendoza</v>
      </c>
      <c r="D1965" s="30" t="str">
        <f ca="1">IFERROR(__xludf.DUMMYFUNCTION("""COMPUTED_VALUE"""),"50")</f>
        <v>50</v>
      </c>
      <c r="E1965" s="30" t="str">
        <f ca="1">IFERROR(__xludf.DUMMYFUNCTION("""COMPUTED_VALUE"""),"")</f>
        <v/>
      </c>
      <c r="F1965" s="29"/>
      <c r="G1965" s="29"/>
      <c r="H1965" s="30" t="str">
        <f ca="1">IFERROR(__xludf.DUMMYFUNCTION("""COMPUTED_VALUE"""),"activo")</f>
        <v>activo</v>
      </c>
      <c r="I1965" s="30" t="str">
        <f ca="1">IFERROR(__xludf.DUMMYFUNCTION("""COMPUTED_VALUE"""),"2020")</f>
        <v>2020</v>
      </c>
      <c r="J1965" s="29"/>
      <c r="K1965" s="29"/>
      <c r="L1965" s="30" t="str">
        <f ca="1">IFERROR(__xludf.DUMMYFUNCTION("""COMPUTED_VALUE"""),"No")</f>
        <v>No</v>
      </c>
      <c r="M1965" s="30" t="str">
        <f ca="1">IFERROR(__xludf.DUMMYFUNCTION("""COMPUTED_VALUE"""),"50049050")</f>
        <v>50049050</v>
      </c>
      <c r="N1965" s="30" t="str">
        <f ca="1">IFERROR(__xludf.DUMMYFUNCTION("""COMPUTED_VALUE"""),"LAS HERAS (EL PASTAL)")</f>
        <v>LAS HERAS (EL PASTAL)</v>
      </c>
      <c r="O1965" s="30" t="str">
        <f ca="1">IFERROR(__xludf.DUMMYFUNCTION("""COMPUTED_VALUE"""),"5049")</f>
        <v>5049</v>
      </c>
      <c r="P1965" s="30" t="str">
        <f ca="1">IFERROR(__xludf.DUMMYFUNCTION("""COMPUTED_VALUE"""),"LAS HERAS")</f>
        <v>LAS HERAS</v>
      </c>
      <c r="Q1965" s="30" t="str">
        <f ca="1">IFERROR(__xludf.DUMMYFUNCTION("""COMPUTED_VALUE"""),"-32.76603296")</f>
        <v>-32.76603296</v>
      </c>
      <c r="R1965" s="30" t="str">
        <f ca="1">IFERROR(__xludf.DUMMYFUNCTION("""COMPUTED_VALUE"""),"-68.70435476")</f>
        <v>-68.70435476</v>
      </c>
      <c r="S1965" s="30" t="str">
        <f ca="1">IFERROR(__xludf.DUMMYFUNCTION("""COMPUTED_VALUE"""),"Provincial")</f>
        <v>Provincial</v>
      </c>
      <c r="T1965" s="30" t="str">
        <f ca="1">IFERROR(__xludf.DUMMYFUNCTION("""COMPUTED_VALUE"""),"-")</f>
        <v>-</v>
      </c>
    </row>
    <row r="1966" spans="1:20" ht="15.75" customHeight="1" x14ac:dyDescent="0.25">
      <c r="A1966" s="30" t="str">
        <f ca="1">IFERROR(__xludf.DUMMYFUNCTION("""COMPUTED_VALUE"""),"50500562157210")</f>
        <v>50500562157210</v>
      </c>
      <c r="B1966" s="30" t="str">
        <f ca="1">IFERROR(__xludf.DUMMYFUNCTION("""COMPUTED_VALUE"""),"C.A.P.S. 201 LUIS STRALLA.-")</f>
        <v>C.A.P.S. 201 LUIS STRALLA.-</v>
      </c>
      <c r="C1966" s="30" t="str">
        <f ca="1">IFERROR(__xludf.DUMMYFUNCTION("""COMPUTED_VALUE"""),"Mendoza")</f>
        <v>Mendoza</v>
      </c>
      <c r="D1966" s="30" t="str">
        <f ca="1">IFERROR(__xludf.DUMMYFUNCTION("""COMPUTED_VALUE"""),"50")</f>
        <v>50</v>
      </c>
      <c r="E1966" s="30" t="str">
        <f ca="1">IFERROR(__xludf.DUMMYFUNCTION("""COMPUTED_VALUE"""),"")</f>
        <v/>
      </c>
      <c r="F1966" s="29"/>
      <c r="G1966" s="29"/>
      <c r="H1966" s="30" t="str">
        <f ca="1">IFERROR(__xludf.DUMMYFUNCTION("""COMPUTED_VALUE"""),"activo")</f>
        <v>activo</v>
      </c>
      <c r="I1966" s="30" t="str">
        <f ca="1">IFERROR(__xludf.DUMMYFUNCTION("""COMPUTED_VALUE"""),"2020")</f>
        <v>2020</v>
      </c>
      <c r="J1966" s="29"/>
      <c r="K1966" s="29"/>
      <c r="L1966" s="30" t="str">
        <f ca="1">IFERROR(__xludf.DUMMYFUNCTION("""COMPUTED_VALUE"""),"No")</f>
        <v>No</v>
      </c>
      <c r="M1966" s="30" t="str">
        <f ca="1">IFERROR(__xludf.DUMMYFUNCTION("""COMPUTED_VALUE"""),"50056220")</f>
        <v>50056220</v>
      </c>
      <c r="N1966" s="30" t="str">
        <f ca="1">IFERROR(__xludf.DUMMYFUNCTION("""COMPUTED_VALUE"""),"COLONIA ITALIANA")</f>
        <v>COLONIA ITALIANA</v>
      </c>
      <c r="O1966" s="30" t="str">
        <f ca="1">IFERROR(__xludf.DUMMYFUNCTION("""COMPUTED_VALUE"""),"5056")</f>
        <v>5056</v>
      </c>
      <c r="P1966" s="30" t="str">
        <f ca="1">IFERROR(__xludf.DUMMYFUNCTION("""COMPUTED_VALUE"""),"LAVALLE")</f>
        <v>LAVALLE</v>
      </c>
      <c r="Q1966" s="30" t="str">
        <f ca="1">IFERROR(__xludf.DUMMYFUNCTION("""COMPUTED_VALUE"""),"-32.67017049")</f>
        <v>-32.67017049</v>
      </c>
      <c r="R1966" s="30" t="str">
        <f ca="1">IFERROR(__xludf.DUMMYFUNCTION("""COMPUTED_VALUE"""),"-68.53383064")</f>
        <v>-68.53383064</v>
      </c>
      <c r="S1966" s="30" t="str">
        <f ca="1">IFERROR(__xludf.DUMMYFUNCTION("""COMPUTED_VALUE"""),"Provincial")</f>
        <v>Provincial</v>
      </c>
      <c r="T1966" s="30" t="str">
        <f ca="1">IFERROR(__xludf.DUMMYFUNCTION("""COMPUTED_VALUE"""),"-")</f>
        <v>-</v>
      </c>
    </row>
    <row r="1967" spans="1:20" ht="15.75" customHeight="1" x14ac:dyDescent="0.25">
      <c r="A1967" s="30" t="str">
        <f ca="1">IFERROR(__xludf.DUMMYFUNCTION("""COMPUTED_VALUE"""),"50500562157156")</f>
        <v>50500562157156</v>
      </c>
      <c r="B1967" s="30" t="str">
        <f ca="1">IFERROR(__xludf.DUMMYFUNCTION("""COMPUTED_VALUE"""),"C.A.P.S. 040 EL VERGEL.-")</f>
        <v>C.A.P.S. 040 EL VERGEL.-</v>
      </c>
      <c r="C1967" s="30" t="str">
        <f ca="1">IFERROR(__xludf.DUMMYFUNCTION("""COMPUTED_VALUE"""),"Mendoza")</f>
        <v>Mendoza</v>
      </c>
      <c r="D1967" s="30" t="str">
        <f ca="1">IFERROR(__xludf.DUMMYFUNCTION("""COMPUTED_VALUE"""),"50")</f>
        <v>50</v>
      </c>
      <c r="E1967" s="30" t="str">
        <f ca="1">IFERROR(__xludf.DUMMYFUNCTION("""COMPUTED_VALUE"""),"")</f>
        <v/>
      </c>
      <c r="F1967" s="29"/>
      <c r="G1967" s="29"/>
      <c r="H1967" s="30" t="str">
        <f ca="1">IFERROR(__xludf.DUMMYFUNCTION("""COMPUTED_VALUE"""),"activo")</f>
        <v>activo</v>
      </c>
      <c r="I1967" s="30" t="str">
        <f ca="1">IFERROR(__xludf.DUMMYFUNCTION("""COMPUTED_VALUE"""),"2020")</f>
        <v>2020</v>
      </c>
      <c r="J1967" s="29"/>
      <c r="K1967" s="29"/>
      <c r="L1967" s="30" t="str">
        <f ca="1">IFERROR(__xludf.DUMMYFUNCTION("""COMPUTED_VALUE"""),"No")</f>
        <v>No</v>
      </c>
      <c r="M1967" s="30" t="str">
        <f ca="1">IFERROR(__xludf.DUMMYFUNCTION("""COMPUTED_VALUE"""),"50056100000")</f>
        <v>50056100000</v>
      </c>
      <c r="N1967" s="30" t="str">
        <f ca="1">IFERROR(__xludf.DUMMYFUNCTION("""COMPUTED_VALUE"""),"EL VERGEL")</f>
        <v>EL VERGEL</v>
      </c>
      <c r="O1967" s="30" t="str">
        <f ca="1">IFERROR(__xludf.DUMMYFUNCTION("""COMPUTED_VALUE"""),"5056")</f>
        <v>5056</v>
      </c>
      <c r="P1967" s="30" t="str">
        <f ca="1">IFERROR(__xludf.DUMMYFUNCTION("""COMPUTED_VALUE"""),"LAVALLE")</f>
        <v>LAVALLE</v>
      </c>
      <c r="Q1967" s="30" t="str">
        <f ca="1">IFERROR(__xludf.DUMMYFUNCTION("""COMPUTED_VALUE"""),"-32.79968462")</f>
        <v>-32.79968462</v>
      </c>
      <c r="R1967" s="30" t="str">
        <f ca="1">IFERROR(__xludf.DUMMYFUNCTION("""COMPUTED_VALUE"""),"-68.63296509")</f>
        <v>-68.63296509</v>
      </c>
      <c r="S1967" s="30" t="str">
        <f ca="1">IFERROR(__xludf.DUMMYFUNCTION("""COMPUTED_VALUE"""),"Provincial")</f>
        <v>Provincial</v>
      </c>
      <c r="T1967" s="30" t="str">
        <f ca="1">IFERROR(__xludf.DUMMYFUNCTION("""COMPUTED_VALUE"""),"-")</f>
        <v>-</v>
      </c>
    </row>
    <row r="1968" spans="1:20" ht="15.75" customHeight="1" x14ac:dyDescent="0.25">
      <c r="A1968" s="30" t="str">
        <f ca="1">IFERROR(__xludf.DUMMYFUNCTION("""COMPUTED_VALUE"""),"50060352202546")</f>
        <v>50060352202546</v>
      </c>
      <c r="B1968" s="30" t="str">
        <f ca="1">IFERROR(__xludf.DUMMYFUNCTION("""COMPUTED_VALUE"""),"CENTRO DE SALUD N° 2 DE AVELLANEDA")</f>
        <v>CENTRO DE SALUD N° 2 DE AVELLANEDA</v>
      </c>
      <c r="C1968" s="30" t="str">
        <f ca="1">IFERROR(__xludf.DUMMYFUNCTION("""COMPUTED_VALUE"""),"Buenos Aires")</f>
        <v>Buenos Aires</v>
      </c>
      <c r="D1968" s="30" t="str">
        <f ca="1">IFERROR(__xludf.DUMMYFUNCTION("""COMPUTED_VALUE"""),"6")</f>
        <v>6</v>
      </c>
      <c r="E1968" s="30" t="str">
        <f ca="1">IFERROR(__xludf.DUMMYFUNCTION("""COMPUTED_VALUE"""),"")</f>
        <v/>
      </c>
      <c r="F1968" s="29"/>
      <c r="G1968" s="29"/>
      <c r="H1968" s="30" t="str">
        <f ca="1">IFERROR(__xludf.DUMMYFUNCTION("""COMPUTED_VALUE"""),"activo")</f>
        <v>activo</v>
      </c>
      <c r="I1968" s="29"/>
      <c r="J1968" s="29"/>
      <c r="K1968" s="29"/>
      <c r="L1968" s="30" t="str">
        <f ca="1">IFERROR(__xludf.DUMMYFUNCTION("""COMPUTED_VALUE"""),"No")</f>
        <v>No</v>
      </c>
      <c r="M1968" s="30" t="str">
        <f ca="1">IFERROR(__xludf.DUMMYFUNCTION("""COMPUTED_VALUE"""),"6035010004")</f>
        <v>6035010004</v>
      </c>
      <c r="N1968" s="30" t="str">
        <f ca="1">IFERROR(__xludf.DUMMYFUNCTION("""COMPUTED_VALUE"""),"DOCK SUD")</f>
        <v>DOCK SUD</v>
      </c>
      <c r="O1968" s="30" t="str">
        <f ca="1">IFERROR(__xludf.DUMMYFUNCTION("""COMPUTED_VALUE"""),"635")</f>
        <v>635</v>
      </c>
      <c r="P1968" s="30" t="str">
        <f ca="1">IFERROR(__xludf.DUMMYFUNCTION("""COMPUTED_VALUE"""),"AVELLANEDA")</f>
        <v>AVELLANEDA</v>
      </c>
      <c r="Q1968" s="30" t="str">
        <f ca="1">IFERROR(__xludf.DUMMYFUNCTION("""COMPUTED_VALUE"""),"-34.64944764")</f>
        <v>-34.64944764</v>
      </c>
      <c r="R1968" s="30" t="str">
        <f ca="1">IFERROR(__xludf.DUMMYFUNCTION("""COMPUTED_VALUE"""),"-58.34583092")</f>
        <v>-58.34583092</v>
      </c>
      <c r="S1968" s="30" t="str">
        <f ca="1">IFERROR(__xludf.DUMMYFUNCTION("""COMPUTED_VALUE"""),"Municipal")</f>
        <v>Municipal</v>
      </c>
      <c r="T1968" s="30" t="str">
        <f ca="1">IFERROR(__xludf.DUMMYFUNCTION("""COMPUTED_VALUE"""),"AVELLANEDA")</f>
        <v>AVELLANEDA</v>
      </c>
    </row>
    <row r="1969" spans="1:20" ht="15.75" customHeight="1" x14ac:dyDescent="0.25">
      <c r="A1969" s="30" t="str">
        <f ca="1">IFERROR(__xludf.DUMMYFUNCTION("""COMPUTED_VALUE"""),"CI50068402202998")</f>
        <v>CI50068402202998</v>
      </c>
      <c r="B1969" s="30" t="str">
        <f ca="1">IFERROR(__xludf.DUMMYFUNCTION("""COMPUTED_VALUE"""),"UNIDAD SANITARIA VILLA AZUL")</f>
        <v>UNIDAD SANITARIA VILLA AZUL</v>
      </c>
      <c r="C1969" s="30" t="str">
        <f ca="1">IFERROR(__xludf.DUMMYFUNCTION("""COMPUTED_VALUE"""),"Buenos Aires")</f>
        <v>Buenos Aires</v>
      </c>
      <c r="D1969" s="30" t="str">
        <f ca="1">IFERROR(__xludf.DUMMYFUNCTION("""COMPUTED_VALUE"""),"6")</f>
        <v>6</v>
      </c>
      <c r="E1969" s="30" t="str">
        <f ca="1">IFERROR(__xludf.DUMMYFUNCTION("""COMPUTED_VALUE"""),"")</f>
        <v/>
      </c>
      <c r="F1969" s="29"/>
      <c r="G1969" s="29"/>
      <c r="H1969" s="30" t="str">
        <f ca="1">IFERROR(__xludf.DUMMYFUNCTION("""COMPUTED_VALUE"""),"inactivo")</f>
        <v>inactivo</v>
      </c>
      <c r="I1969" s="30" t="str">
        <f ca="1">IFERROR(__xludf.DUMMYFUNCTION("""COMPUTED_VALUE"""),"este efector tiene REFES nuevo: 50060352219815")</f>
        <v>este efector tiene REFES nuevo: 50060352219815</v>
      </c>
      <c r="J1969" s="29"/>
      <c r="K1969" s="29"/>
      <c r="L1969" s="30" t="str">
        <f ca="1">IFERROR(__xludf.DUMMYFUNCTION("""COMPUTED_VALUE"""),"No")</f>
        <v>No</v>
      </c>
      <c r="M1969" s="30" t="str">
        <f ca="1">IFERROR(__xludf.DUMMYFUNCTION("""COMPUTED_VALUE"""),"#N/A")</f>
        <v>#N/A</v>
      </c>
      <c r="N1969" s="30" t="str">
        <f ca="1">IFERROR(__xludf.DUMMYFUNCTION("""COMPUTED_VALUE"""),"#N/A")</f>
        <v>#N/A</v>
      </c>
      <c r="O1969" s="30" t="str">
        <f ca="1">IFERROR(__xludf.DUMMYFUNCTION("""COMPUTED_VALUE"""),"#N/A")</f>
        <v>#N/A</v>
      </c>
      <c r="P1969" s="30" t="str">
        <f ca="1">IFERROR(__xludf.DUMMYFUNCTION("""COMPUTED_VALUE"""),"AVELLANEDA")</f>
        <v>AVELLANEDA</v>
      </c>
      <c r="Q1969" s="30" t="str">
        <f ca="1">IFERROR(__xludf.DUMMYFUNCTION("""COMPUTED_VALUE"""),"#N/A")</f>
        <v>#N/A</v>
      </c>
      <c r="R1969" s="30" t="str">
        <f ca="1">IFERROR(__xludf.DUMMYFUNCTION("""COMPUTED_VALUE"""),"#N/A")</f>
        <v>#N/A</v>
      </c>
      <c r="S1969" s="30" t="str">
        <f ca="1">IFERROR(__xludf.DUMMYFUNCTION("""COMPUTED_VALUE"""),"#N/A")</f>
        <v>#N/A</v>
      </c>
      <c r="T1969" s="30" t="str">
        <f ca="1">IFERROR(__xludf.DUMMYFUNCTION("""COMPUTED_VALUE"""),"AVELLANEDA")</f>
        <v>AVELLANEDA</v>
      </c>
    </row>
    <row r="1970" spans="1:20" ht="15.75" customHeight="1" x14ac:dyDescent="0.25">
      <c r="A1970" s="30" t="str">
        <f ca="1">IFERROR(__xludf.DUMMYFUNCTION("""COMPUTED_VALUE"""),"50064132202183")</f>
        <v>50064132202183</v>
      </c>
      <c r="B1970" s="30" t="str">
        <f ca="1">IFERROR(__xludf.DUMMYFUNCTION("""COMPUTED_VALUE"""),"UNIDAD SANITARIA COMUNITARIA EMILIO MITRE N° 4 DE JUNIN")</f>
        <v>UNIDAD SANITARIA COMUNITARIA EMILIO MITRE N° 4 DE JUNIN</v>
      </c>
      <c r="C1970" s="30" t="str">
        <f ca="1">IFERROR(__xludf.DUMMYFUNCTION("""COMPUTED_VALUE"""),"Buenos Aires")</f>
        <v>Buenos Aires</v>
      </c>
      <c r="D1970" s="30" t="str">
        <f ca="1">IFERROR(__xludf.DUMMYFUNCTION("""COMPUTED_VALUE"""),"6")</f>
        <v>6</v>
      </c>
      <c r="E1970" s="30" t="str">
        <f ca="1">IFERROR(__xludf.DUMMYFUNCTION("""COMPUTED_VALUE"""),"")</f>
        <v/>
      </c>
      <c r="F1970" s="29"/>
      <c r="G1970" s="29"/>
      <c r="H1970" s="30" t="str">
        <f ca="1">IFERROR(__xludf.DUMMYFUNCTION("""COMPUTED_VALUE"""),"activo")</f>
        <v>activo</v>
      </c>
      <c r="I1970" s="29"/>
      <c r="J1970" s="29"/>
      <c r="K1970" s="29"/>
      <c r="L1970" s="30" t="str">
        <f ca="1">IFERROR(__xludf.DUMMYFUNCTION("""COMPUTED_VALUE"""),"No")</f>
        <v>No</v>
      </c>
      <c r="M1970" s="30" t="str">
        <f ca="1">IFERROR(__xludf.DUMMYFUNCTION("""COMPUTED_VALUE"""),"6413050000")</f>
        <v>6413050000</v>
      </c>
      <c r="N1970" s="30" t="str">
        <f ca="1">IFERROR(__xludf.DUMMYFUNCTION("""COMPUTED_VALUE"""),"JUNIN")</f>
        <v>JUNIN</v>
      </c>
      <c r="O1970" s="30" t="str">
        <f ca="1">IFERROR(__xludf.DUMMYFUNCTION("""COMPUTED_VALUE"""),"6413")</f>
        <v>6413</v>
      </c>
      <c r="P1970" s="30" t="str">
        <f ca="1">IFERROR(__xludf.DUMMYFUNCTION("""COMPUTED_VALUE"""),"JUNÍN")</f>
        <v>JUNÍN</v>
      </c>
      <c r="Q1970" s="30" t="str">
        <f ca="1">IFERROR(__xludf.DUMMYFUNCTION("""COMPUTED_VALUE"""),"-34.578705")</f>
        <v>-34.578705</v>
      </c>
      <c r="R1970" s="30" t="str">
        <f ca="1">IFERROR(__xludf.DUMMYFUNCTION("""COMPUTED_VALUE"""),"-60.924665")</f>
        <v>-60.924665</v>
      </c>
      <c r="S1970" s="30" t="str">
        <f ca="1">IFERROR(__xludf.DUMMYFUNCTION("""COMPUTED_VALUE"""),"Municipal")</f>
        <v>Municipal</v>
      </c>
      <c r="T1970" s="30" t="str">
        <f ca="1">IFERROR(__xludf.DUMMYFUNCTION("""COMPUTED_VALUE"""),"JUNÍN")</f>
        <v>JUNÍN</v>
      </c>
    </row>
    <row r="1971" spans="1:20" ht="15.75" customHeight="1" x14ac:dyDescent="0.25">
      <c r="A1971" s="30" t="str">
        <f ca="1">IFERROR(__xludf.DUMMYFUNCTION("""COMPUTED_VALUE"""),"50064132202876")</f>
        <v>50064132202876</v>
      </c>
      <c r="B1971" s="30" t="str">
        <f ca="1">IFERROR(__xludf.DUMMYFUNCTION("""COMPUTED_VALUE"""),"UNIDAD SANITARIA VILLA DEL PARQUE")</f>
        <v>UNIDAD SANITARIA VILLA DEL PARQUE</v>
      </c>
      <c r="C1971" s="30" t="str">
        <f ca="1">IFERROR(__xludf.DUMMYFUNCTION("""COMPUTED_VALUE"""),"Buenos Aires")</f>
        <v>Buenos Aires</v>
      </c>
      <c r="D1971" s="30" t="str">
        <f ca="1">IFERROR(__xludf.DUMMYFUNCTION("""COMPUTED_VALUE"""),"6")</f>
        <v>6</v>
      </c>
      <c r="E1971" s="30" t="str">
        <f ca="1">IFERROR(__xludf.DUMMYFUNCTION("""COMPUTED_VALUE"""),"")</f>
        <v/>
      </c>
      <c r="F1971" s="29"/>
      <c r="G1971" s="29"/>
      <c r="H1971" s="30" t="str">
        <f ca="1">IFERROR(__xludf.DUMMYFUNCTION("""COMPUTED_VALUE"""),"activo")</f>
        <v>activo</v>
      </c>
      <c r="I1971" s="29"/>
      <c r="J1971" s="29"/>
      <c r="K1971" s="29"/>
      <c r="L1971" s="30" t="str">
        <f ca="1">IFERROR(__xludf.DUMMYFUNCTION("""COMPUTED_VALUE"""),"No")</f>
        <v>No</v>
      </c>
      <c r="M1971" s="30" t="str">
        <f ca="1">IFERROR(__xludf.DUMMYFUNCTION("""COMPUTED_VALUE"""),"6413050000")</f>
        <v>6413050000</v>
      </c>
      <c r="N1971" s="30" t="str">
        <f ca="1">IFERROR(__xludf.DUMMYFUNCTION("""COMPUTED_VALUE"""),"JUNIN")</f>
        <v>JUNIN</v>
      </c>
      <c r="O1971" s="30" t="str">
        <f ca="1">IFERROR(__xludf.DUMMYFUNCTION("""COMPUTED_VALUE"""),"6413")</f>
        <v>6413</v>
      </c>
      <c r="P1971" s="30" t="str">
        <f ca="1">IFERROR(__xludf.DUMMYFUNCTION("""COMPUTED_VALUE"""),"JUNÍN")</f>
        <v>JUNÍN</v>
      </c>
      <c r="Q1971" s="30" t="str">
        <f ca="1">IFERROR(__xludf.DUMMYFUNCTION("""COMPUTED_VALUE"""),"-34.58162363")</f>
        <v>-34.58162363</v>
      </c>
      <c r="R1971" s="30" t="str">
        <f ca="1">IFERROR(__xludf.DUMMYFUNCTION("""COMPUTED_VALUE"""),"-60.94919586")</f>
        <v>-60.94919586</v>
      </c>
      <c r="S1971" s="30" t="str">
        <f ca="1">IFERROR(__xludf.DUMMYFUNCTION("""COMPUTED_VALUE"""),"Municipal")</f>
        <v>Municipal</v>
      </c>
      <c r="T1971" s="30" t="str">
        <f ca="1">IFERROR(__xludf.DUMMYFUNCTION("""COMPUTED_VALUE"""),"JUNÍN")</f>
        <v>JUNÍN</v>
      </c>
    </row>
    <row r="1972" spans="1:20" ht="15.75" customHeight="1" x14ac:dyDescent="0.25">
      <c r="A1972" s="30" t="str">
        <f ca="1">IFERROR(__xludf.DUMMYFUNCTION("""COMPUTED_VALUE"""),"50064132202182")</f>
        <v>50064132202182</v>
      </c>
      <c r="B1972" s="30" t="str">
        <f ca="1">IFERROR(__xludf.DUMMYFUNCTION("""COMPUTED_VALUE"""),"UNIDAD SANITARIA COMUNITARIA AGUSTIN ROCA")</f>
        <v>UNIDAD SANITARIA COMUNITARIA AGUSTIN ROCA</v>
      </c>
      <c r="C1972" s="30" t="str">
        <f ca="1">IFERROR(__xludf.DUMMYFUNCTION("""COMPUTED_VALUE"""),"Buenos Aires")</f>
        <v>Buenos Aires</v>
      </c>
      <c r="D1972" s="30" t="str">
        <f ca="1">IFERROR(__xludf.DUMMYFUNCTION("""COMPUTED_VALUE"""),"6")</f>
        <v>6</v>
      </c>
      <c r="E1972" s="30" t="str">
        <f ca="1">IFERROR(__xludf.DUMMYFUNCTION("""COMPUTED_VALUE"""),"")</f>
        <v/>
      </c>
      <c r="F1972" s="29"/>
      <c r="G1972" s="29"/>
      <c r="H1972" s="30" t="str">
        <f ca="1">IFERROR(__xludf.DUMMYFUNCTION("""COMPUTED_VALUE"""),"activo")</f>
        <v>activo</v>
      </c>
      <c r="I1972" s="29"/>
      <c r="J1972" s="29"/>
      <c r="K1972" s="29"/>
      <c r="L1972" s="30" t="str">
        <f ca="1">IFERROR(__xludf.DUMMYFUNCTION("""COMPUTED_VALUE"""),"No")</f>
        <v>No</v>
      </c>
      <c r="M1972" s="30" t="str">
        <f ca="1">IFERROR(__xludf.DUMMYFUNCTION("""COMPUTED_VALUE"""),"6413010000")</f>
        <v>6413010000</v>
      </c>
      <c r="N1972" s="30" t="str">
        <f ca="1">IFERROR(__xludf.DUMMYFUNCTION("""COMPUTED_VALUE"""),"AGUSTIN ROCA")</f>
        <v>AGUSTIN ROCA</v>
      </c>
      <c r="O1972" s="30" t="str">
        <f ca="1">IFERROR(__xludf.DUMMYFUNCTION("""COMPUTED_VALUE"""),"6413")</f>
        <v>6413</v>
      </c>
      <c r="P1972" s="30" t="str">
        <f ca="1">IFERROR(__xludf.DUMMYFUNCTION("""COMPUTED_VALUE"""),"JUNÍN")</f>
        <v>JUNÍN</v>
      </c>
      <c r="Q1972" s="30" t="str">
        <f ca="1">IFERROR(__xludf.DUMMYFUNCTION("""COMPUTED_VALUE"""),"-34.597505")</f>
        <v>-34.597505</v>
      </c>
      <c r="R1972" s="30" t="str">
        <f ca="1">IFERROR(__xludf.DUMMYFUNCTION("""COMPUTED_VALUE"""),"-60.9436802")</f>
        <v>-60.9436802</v>
      </c>
      <c r="S1972" s="30" t="str">
        <f ca="1">IFERROR(__xludf.DUMMYFUNCTION("""COMPUTED_VALUE"""),"Municipal")</f>
        <v>Municipal</v>
      </c>
      <c r="T1972" s="30" t="str">
        <f ca="1">IFERROR(__xludf.DUMMYFUNCTION("""COMPUTED_VALUE"""),"JUNÍN")</f>
        <v>JUNÍN</v>
      </c>
    </row>
    <row r="1973" spans="1:20" ht="15.75" customHeight="1" x14ac:dyDescent="0.25">
      <c r="A1973" s="30" t="str">
        <f ca="1">IFERROR(__xludf.DUMMYFUNCTION("""COMPUTED_VALUE"""),"CI50068402202999")</f>
        <v>CI50068402202999</v>
      </c>
      <c r="B1973" s="30" t="str">
        <f ca="1">IFERROR(__xludf.DUMMYFUNCTION("""COMPUTED_VALUE"""),"CIC La Matera")</f>
        <v>CIC La Matera</v>
      </c>
      <c r="C1973" s="30" t="str">
        <f ca="1">IFERROR(__xludf.DUMMYFUNCTION("""COMPUTED_VALUE"""),"Buenos Aires")</f>
        <v>Buenos Aires</v>
      </c>
      <c r="D1973" s="30" t="str">
        <f ca="1">IFERROR(__xludf.DUMMYFUNCTION("""COMPUTED_VALUE"""),"6")</f>
        <v>6</v>
      </c>
      <c r="E1973" s="30" t="str">
        <f ca="1">IFERROR(__xludf.DUMMYFUNCTION("""COMPUTED_VALUE"""),"")</f>
        <v/>
      </c>
      <c r="F1973" s="29"/>
      <c r="G1973" s="29"/>
      <c r="H1973" s="30" t="str">
        <f ca="1">IFERROR(__xludf.DUMMYFUNCTION("""COMPUTED_VALUE"""),"activo")</f>
        <v>activo</v>
      </c>
      <c r="I1973" s="29"/>
      <c r="J1973" s="29"/>
      <c r="K1973" s="29"/>
      <c r="L1973" s="30" t="str">
        <f ca="1">IFERROR(__xludf.DUMMYFUNCTION("""COMPUTED_VALUE"""),"No")</f>
        <v>No</v>
      </c>
      <c r="M1973" s="30" t="str">
        <f ca="1">IFERROR(__xludf.DUMMYFUNCTION("""COMPUTED_VALUE"""),"#N/A")</f>
        <v>#N/A</v>
      </c>
      <c r="N1973" s="30" t="str">
        <f ca="1">IFERROR(__xludf.DUMMYFUNCTION("""COMPUTED_VALUE"""),"Quilmes Oeste")</f>
        <v>Quilmes Oeste</v>
      </c>
      <c r="O1973" s="30" t="str">
        <f ca="1">IFERROR(__xludf.DUMMYFUNCTION("""COMPUTED_VALUE"""),"#N/A")</f>
        <v>#N/A</v>
      </c>
      <c r="P1973" s="30" t="str">
        <f ca="1">IFERROR(__xludf.DUMMYFUNCTION("""COMPUTED_VALUE"""),"QUILMES")</f>
        <v>QUILMES</v>
      </c>
      <c r="Q1973" s="30" t="str">
        <f ca="1">IFERROR(__xludf.DUMMYFUNCTION("""COMPUTED_VALUE"""),"#N/A")</f>
        <v>#N/A</v>
      </c>
      <c r="R1973" s="30" t="str">
        <f ca="1">IFERROR(__xludf.DUMMYFUNCTION("""COMPUTED_VALUE"""),"#N/A")</f>
        <v>#N/A</v>
      </c>
      <c r="S1973" s="30" t="str">
        <f ca="1">IFERROR(__xludf.DUMMYFUNCTION("""COMPUTED_VALUE"""),"#N/A")</f>
        <v>#N/A</v>
      </c>
      <c r="T1973" s="30" t="str">
        <f ca="1">IFERROR(__xludf.DUMMYFUNCTION("""COMPUTED_VALUE"""),"QUILMES")</f>
        <v>QUILMES</v>
      </c>
    </row>
    <row r="1974" spans="1:20" ht="15.75" customHeight="1" x14ac:dyDescent="0.25">
      <c r="A1974" s="30" t="str">
        <f ca="1">IFERROR(__xludf.DUMMYFUNCTION("""COMPUTED_VALUE"""),"50060982215024")</f>
        <v>50060982215024</v>
      </c>
      <c r="B1974" s="30" t="str">
        <f ca="1">IFERROR(__xludf.DUMMYFUNCTION("""COMPUTED_VALUE"""),"UNIDAD SANITARIA N° 42")</f>
        <v>UNIDAD SANITARIA N° 42</v>
      </c>
      <c r="C1974" s="30" t="str">
        <f ca="1">IFERROR(__xludf.DUMMYFUNCTION("""COMPUTED_VALUE"""),"Buenos Aires")</f>
        <v>Buenos Aires</v>
      </c>
      <c r="D1974" s="30" t="str">
        <f ca="1">IFERROR(__xludf.DUMMYFUNCTION("""COMPUTED_VALUE"""),"6")</f>
        <v>6</v>
      </c>
      <c r="E1974" s="30" t="str">
        <f ca="1">IFERROR(__xludf.DUMMYFUNCTION("""COMPUTED_VALUE"""),"si")</f>
        <v>si</v>
      </c>
      <c r="F1974" s="29"/>
      <c r="G1974" s="29"/>
      <c r="H1974" s="30" t="str">
        <f ca="1">IFERROR(__xludf.DUMMYFUNCTION("""COMPUTED_VALUE"""),"activo")</f>
        <v>activo</v>
      </c>
      <c r="I1974" s="29"/>
      <c r="J1974" s="29"/>
      <c r="K1974" s="29"/>
      <c r="L1974" s="30" t="str">
        <f ca="1">IFERROR(__xludf.DUMMYFUNCTION("""COMPUTED_VALUE"""),"No")</f>
        <v>No</v>
      </c>
      <c r="M1974" s="30" t="str">
        <f ca="1">IFERROR(__xludf.DUMMYFUNCTION("""COMPUTED_VALUE"""),"6098010004")</f>
        <v>6098010004</v>
      </c>
      <c r="N1974" s="30" t="str">
        <f ca="1">IFERROR(__xludf.DUMMYFUNCTION("""COMPUTED_VALUE"""),"BERISSO")</f>
        <v>BERISSO</v>
      </c>
      <c r="O1974" s="30" t="str">
        <f ca="1">IFERROR(__xludf.DUMMYFUNCTION("""COMPUTED_VALUE"""),"698")</f>
        <v>698</v>
      </c>
      <c r="P1974" s="30" t="str">
        <f ca="1">IFERROR(__xludf.DUMMYFUNCTION("""COMPUTED_VALUE"""),"BERISSO")</f>
        <v>BERISSO</v>
      </c>
      <c r="Q1974" s="30" t="str">
        <f ca="1">IFERROR(__xludf.DUMMYFUNCTION("""COMPUTED_VALUE"""),"-34.88215532")</f>
        <v>-34.88215532</v>
      </c>
      <c r="R1974" s="30" t="str">
        <f ca="1">IFERROR(__xludf.DUMMYFUNCTION("""COMPUTED_VALUE"""),"-57.86915302")</f>
        <v>-57.86915302</v>
      </c>
      <c r="S1974" s="30" t="str">
        <f ca="1">IFERROR(__xludf.DUMMYFUNCTION("""COMPUTED_VALUE"""),"Municipal")</f>
        <v>Municipal</v>
      </c>
      <c r="T1974" s="30" t="str">
        <f ca="1">IFERROR(__xludf.DUMMYFUNCTION("""COMPUTED_VALUE"""),"BERISSO")</f>
        <v>BERISSO</v>
      </c>
    </row>
    <row r="1975" spans="1:20" ht="15.75" customHeight="1" x14ac:dyDescent="0.25">
      <c r="A1975" s="30" t="str">
        <f ca="1">IFERROR(__xludf.DUMMYFUNCTION("""COMPUTED_VALUE"""),"50062702202636")</f>
        <v>50062702202636</v>
      </c>
      <c r="B1975" s="30" t="str">
        <f ca="1">IFERROR(__xludf.DUMMYFUNCTION("""COMPUTED_VALUE"""),"Caps 5 / Pediatria")</f>
        <v>Caps 5 / Pediatria</v>
      </c>
      <c r="C1975" s="30" t="str">
        <f ca="1">IFERROR(__xludf.DUMMYFUNCTION("""COMPUTED_VALUE"""),"Buenos Aires")</f>
        <v>Buenos Aires</v>
      </c>
      <c r="D1975" s="30" t="str">
        <f ca="1">IFERROR(__xludf.DUMMYFUNCTION("""COMPUTED_VALUE"""),"6")</f>
        <v>6</v>
      </c>
      <c r="E1975" s="30" t="str">
        <f ca="1">IFERROR(__xludf.DUMMYFUNCTION("""COMPUTED_VALUE"""),"")</f>
        <v/>
      </c>
      <c r="F1975" s="29"/>
      <c r="G1975" s="29"/>
      <c r="H1975" s="30" t="str">
        <f ca="1">IFERROR(__xludf.DUMMYFUNCTION("""COMPUTED_VALUE"""),"inactivo")</f>
        <v>inactivo</v>
      </c>
      <c r="I1975" s="30" t="str">
        <f ca="1">IFERROR(__xludf.DUMMYFUNCTION("""COMPUTED_VALUE"""),"este efector es el mismo que el CENTRO DE SALUD Nº 5 - REFES: 50062702201326")</f>
        <v>este efector es el mismo que el CENTRO DE SALUD Nº 5 - REFES: 50062702201326</v>
      </c>
      <c r="J1975" s="29"/>
      <c r="K1975" s="29"/>
      <c r="L1975" s="30" t="str">
        <f ca="1">IFERROR(__xludf.DUMMYFUNCTION("""COMPUTED_VALUE"""),"No")</f>
        <v>No</v>
      </c>
      <c r="M1975" s="30" t="str">
        <f ca="1">IFERROR(__xludf.DUMMYFUNCTION("""COMPUTED_VALUE"""),"#N/A")</f>
        <v>#N/A</v>
      </c>
      <c r="N1975" s="30" t="str">
        <f ca="1">IFERROR(__xludf.DUMMYFUNCTION("""COMPUTED_VALUE"""),"#N/A")</f>
        <v>#N/A</v>
      </c>
      <c r="O1975" s="30" t="str">
        <f ca="1">IFERROR(__xludf.DUMMYFUNCTION("""COMPUTED_VALUE"""),"#N/A")</f>
        <v>#N/A</v>
      </c>
      <c r="P1975" s="30" t="str">
        <f ca="1">IFERROR(__xludf.DUMMYFUNCTION("""COMPUTED_VALUE"""),"EZEIZA")</f>
        <v>EZEIZA</v>
      </c>
      <c r="Q1975" s="30" t="str">
        <f ca="1">IFERROR(__xludf.DUMMYFUNCTION("""COMPUTED_VALUE"""),"#N/A")</f>
        <v>#N/A</v>
      </c>
      <c r="R1975" s="30" t="str">
        <f ca="1">IFERROR(__xludf.DUMMYFUNCTION("""COMPUTED_VALUE"""),"#N/A")</f>
        <v>#N/A</v>
      </c>
      <c r="S1975" s="30" t="str">
        <f ca="1">IFERROR(__xludf.DUMMYFUNCTION("""COMPUTED_VALUE"""),"#N/A")</f>
        <v>#N/A</v>
      </c>
      <c r="T1975" s="30" t="str">
        <f ca="1">IFERROR(__xludf.DUMMYFUNCTION("""COMPUTED_VALUE"""),"EZEIZA")</f>
        <v>EZEIZA</v>
      </c>
    </row>
    <row r="1976" spans="1:20" ht="15.75" customHeight="1" x14ac:dyDescent="0.25">
      <c r="A1976" s="30" t="str">
        <f ca="1">IFERROR(__xludf.DUMMYFUNCTION("""COMPUTED_VALUE"""),"50068612202922")</f>
        <v>50068612202922</v>
      </c>
      <c r="B1976" s="30" t="str">
        <f ca="1">IFERROR(__xludf.DUMMYFUNCTION("""COMPUTED_VALUE"""),"UNIDAD SANITARIA 12 DE OCTUBRE DE VICENTE LOPEZ")</f>
        <v>UNIDAD SANITARIA 12 DE OCTUBRE DE VICENTE LOPEZ</v>
      </c>
      <c r="C1976" s="30" t="str">
        <f ca="1">IFERROR(__xludf.DUMMYFUNCTION("""COMPUTED_VALUE"""),"Buenos Aires")</f>
        <v>Buenos Aires</v>
      </c>
      <c r="D1976" s="30" t="str">
        <f ca="1">IFERROR(__xludf.DUMMYFUNCTION("""COMPUTED_VALUE"""),"6")</f>
        <v>6</v>
      </c>
      <c r="E1976" s="30" t="str">
        <f ca="1">IFERROR(__xludf.DUMMYFUNCTION("""COMPUTED_VALUE"""),"")</f>
        <v/>
      </c>
      <c r="F1976" s="29"/>
      <c r="G1976" s="29"/>
      <c r="H1976" s="30" t="str">
        <f ca="1">IFERROR(__xludf.DUMMYFUNCTION("""COMPUTED_VALUE"""),"activo")</f>
        <v>activo</v>
      </c>
      <c r="I1976" s="29"/>
      <c r="J1976" s="29"/>
      <c r="K1976" s="29"/>
      <c r="L1976" s="30" t="str">
        <f ca="1">IFERROR(__xludf.DUMMYFUNCTION("""COMPUTED_VALUE"""),"No")</f>
        <v>No</v>
      </c>
      <c r="M1976" s="30" t="str">
        <f ca="1">IFERROR(__xludf.DUMMYFUNCTION("""COMPUTED_VALUE"""),"6861010006")</f>
        <v>6861010006</v>
      </c>
      <c r="N1976" s="30" t="str">
        <f ca="1">IFERROR(__xludf.DUMMYFUNCTION("""COMPUTED_VALUE"""),"OLIVOS")</f>
        <v>OLIVOS</v>
      </c>
      <c r="O1976" s="30" t="str">
        <f ca="1">IFERROR(__xludf.DUMMYFUNCTION("""COMPUTED_VALUE"""),"6861")</f>
        <v>6861</v>
      </c>
      <c r="P1976" s="30" t="str">
        <f ca="1">IFERROR(__xludf.DUMMYFUNCTION("""COMPUTED_VALUE"""),"VICENTE LÓPEZ")</f>
        <v>VICENTE LÓPEZ</v>
      </c>
      <c r="Q1976" s="30" t="str">
        <f ca="1">IFERROR(__xludf.DUMMYFUNCTION("""COMPUTED_VALUE"""),"-34.507648")</f>
        <v>-34.507648</v>
      </c>
      <c r="R1976" s="30" t="str">
        <f ca="1">IFERROR(__xludf.DUMMYFUNCTION("""COMPUTED_VALUE"""),"-58.50469")</f>
        <v>-58.50469</v>
      </c>
      <c r="S1976" s="30" t="str">
        <f ca="1">IFERROR(__xludf.DUMMYFUNCTION("""COMPUTED_VALUE"""),"Municipal")</f>
        <v>Municipal</v>
      </c>
      <c r="T1976" s="30" t="str">
        <f ca="1">IFERROR(__xludf.DUMMYFUNCTION("""COMPUTED_VALUE"""),"VICENTE LÓPEZ")</f>
        <v>VICENTE LÓPEZ</v>
      </c>
    </row>
    <row r="1977" spans="1:20" ht="15.75" customHeight="1" x14ac:dyDescent="0.25">
      <c r="A1977" s="30" t="str">
        <f ca="1">IFERROR(__xludf.DUMMYFUNCTION("""COMPUTED_VALUE"""),"50340632147279")</f>
        <v>50340632147279</v>
      </c>
      <c r="B1977" s="30" t="str">
        <f ca="1">IFERROR(__xludf.DUMMYFUNCTION("""COMPUTED_VALUE"""),"CENTRO DE SALUD MARIA CRISTINA")</f>
        <v>CENTRO DE SALUD MARIA CRISTINA</v>
      </c>
      <c r="C1977" s="30" t="str">
        <f ca="1">IFERROR(__xludf.DUMMYFUNCTION("""COMPUTED_VALUE"""),"Formosa")</f>
        <v>Formosa</v>
      </c>
      <c r="D1977" s="30" t="str">
        <f ca="1">IFERROR(__xludf.DUMMYFUNCTION("""COMPUTED_VALUE"""),"34")</f>
        <v>34</v>
      </c>
      <c r="E1977" s="30" t="str">
        <f ca="1">IFERROR(__xludf.DUMMYFUNCTION("""COMPUTED_VALUE"""),"si")</f>
        <v>si</v>
      </c>
      <c r="F1977" s="29"/>
      <c r="G1977" s="29"/>
      <c r="H1977" s="30" t="str">
        <f ca="1">IFERROR(__xludf.DUMMYFUNCTION("""COMPUTED_VALUE"""),"activo")</f>
        <v>activo</v>
      </c>
      <c r="I1977" s="30" t="str">
        <f ca="1">IFERROR(__xludf.DUMMYFUNCTION("""COMPUTED_VALUE"""),"universo 07-2020")</f>
        <v>universo 07-2020</v>
      </c>
      <c r="J1977" s="29"/>
      <c r="K1977" s="29"/>
      <c r="L1977" s="30" t="str">
        <f ca="1">IFERROR(__xludf.DUMMYFUNCTION("""COMPUTED_VALUE"""),"No")</f>
        <v>No</v>
      </c>
      <c r="M1977" s="30" t="str">
        <f ca="1">IFERROR(__xludf.DUMMYFUNCTION("""COMPUTED_VALUE"""),"34063010000")</f>
        <v>34063010000</v>
      </c>
      <c r="N1977" s="30" t="str">
        <f ca="1">IFERROR(__xludf.DUMMYFUNCTION("""COMPUTED_VALUE"""),"EL POTRILLO")</f>
        <v>EL POTRILLO</v>
      </c>
      <c r="O1977" s="30" t="str">
        <f ca="1">IFERROR(__xludf.DUMMYFUNCTION("""COMPUTED_VALUE"""),"3463")</f>
        <v>3463</v>
      </c>
      <c r="P1977" s="30" t="str">
        <f ca="1">IFERROR(__xludf.DUMMYFUNCTION("""COMPUTED_VALUE"""),"RAMÓN LISTA")</f>
        <v>RAMÓN LISTA</v>
      </c>
      <c r="Q1977" s="30" t="str">
        <f ca="1">IFERROR(__xludf.DUMMYFUNCTION("""COMPUTED_VALUE"""),"-23.19")</f>
        <v>-23.19</v>
      </c>
      <c r="R1977" s="30" t="str">
        <f ca="1">IFERROR(__xludf.DUMMYFUNCTION("""COMPUTED_VALUE"""),"-62.043611")</f>
        <v>-62.043611</v>
      </c>
      <c r="S1977" s="30" t="str">
        <f ca="1">IFERROR(__xludf.DUMMYFUNCTION("""COMPUTED_VALUE"""),"Provincial")</f>
        <v>Provincial</v>
      </c>
      <c r="T1977" s="30" t="str">
        <f ca="1">IFERROR(__xludf.DUMMYFUNCTION("""COMPUTED_VALUE"""),"-")</f>
        <v>-</v>
      </c>
    </row>
    <row r="1978" spans="1:20" ht="15.75" customHeight="1" x14ac:dyDescent="0.25">
      <c r="A1978" s="30" t="str">
        <f ca="1">IFERROR(__xludf.DUMMYFUNCTION("""COMPUTED_VALUE"""),"50340072147348")</f>
        <v>50340072147348</v>
      </c>
      <c r="B1978" s="30" t="str">
        <f ca="1">IFERROR(__xludf.DUMMYFUNCTION("""COMPUTED_VALUE"""),"CENTRO DE SALUD POZO DE MAZA")</f>
        <v>CENTRO DE SALUD POZO DE MAZA</v>
      </c>
      <c r="C1978" s="30" t="str">
        <f ca="1">IFERROR(__xludf.DUMMYFUNCTION("""COMPUTED_VALUE"""),"Formosa")</f>
        <v>Formosa</v>
      </c>
      <c r="D1978" s="30" t="str">
        <f ca="1">IFERROR(__xludf.DUMMYFUNCTION("""COMPUTED_VALUE"""),"34")</f>
        <v>34</v>
      </c>
      <c r="E1978" s="30" t="str">
        <f ca="1">IFERROR(__xludf.DUMMYFUNCTION("""COMPUTED_VALUE"""),"si")</f>
        <v>si</v>
      </c>
      <c r="F1978" s="29"/>
      <c r="G1978" s="29"/>
      <c r="H1978" s="30" t="str">
        <f ca="1">IFERROR(__xludf.DUMMYFUNCTION("""COMPUTED_VALUE"""),"activo")</f>
        <v>activo</v>
      </c>
      <c r="I1978" s="30" t="str">
        <f ca="1">IFERROR(__xludf.DUMMYFUNCTION("""COMPUTED_VALUE"""),"universo 07-2020")</f>
        <v>universo 07-2020</v>
      </c>
      <c r="J1978" s="29"/>
      <c r="K1978" s="29"/>
      <c r="L1978" s="30" t="str">
        <f ca="1">IFERROR(__xludf.DUMMYFUNCTION("""COMPUTED_VALUE"""),"No")</f>
        <v>No</v>
      </c>
      <c r="M1978" s="30" t="str">
        <f ca="1">IFERROR(__xludf.DUMMYFUNCTION("""COMPUTED_VALUE"""),"34007030000")</f>
        <v>34007030000</v>
      </c>
      <c r="N1978" s="30" t="str">
        <f ca="1">IFERROR(__xludf.DUMMYFUNCTION("""COMPUTED_VALUE"""),"POZO DE MAZA")</f>
        <v>POZO DE MAZA</v>
      </c>
      <c r="O1978" s="30" t="str">
        <f ca="1">IFERROR(__xludf.DUMMYFUNCTION("""COMPUTED_VALUE"""),"347")</f>
        <v>347</v>
      </c>
      <c r="P1978" s="30" t="str">
        <f ca="1">IFERROR(__xludf.DUMMYFUNCTION("""COMPUTED_VALUE"""),"BERMEJO")</f>
        <v>BERMEJO</v>
      </c>
      <c r="Q1978" s="30" t="str">
        <f ca="1">IFERROR(__xludf.DUMMYFUNCTION("""COMPUTED_VALUE"""),"-23.5725")</f>
        <v>-23.5725</v>
      </c>
      <c r="R1978" s="30" t="str">
        <f ca="1">IFERROR(__xludf.DUMMYFUNCTION("""COMPUTED_VALUE"""),"-61.705833")</f>
        <v>-61.705833</v>
      </c>
      <c r="S1978" s="30" t="str">
        <f ca="1">IFERROR(__xludf.DUMMYFUNCTION("""COMPUTED_VALUE"""),"Provincial")</f>
        <v>Provincial</v>
      </c>
      <c r="T1978" s="30" t="str">
        <f ca="1">IFERROR(__xludf.DUMMYFUNCTION("""COMPUTED_VALUE"""),"-")</f>
        <v>-</v>
      </c>
    </row>
    <row r="1979" spans="1:20" ht="15.75" customHeight="1" x14ac:dyDescent="0.25">
      <c r="A1979" s="30" t="str">
        <f ca="1">IFERROR(__xludf.DUMMYFUNCTION("""COMPUTED_VALUE"""),"10340072147046")</f>
        <v>10340072147046</v>
      </c>
      <c r="B1979" s="30" t="str">
        <f ca="1">IFERROR(__xludf.DUMMYFUNCTION("""COMPUTED_VALUE"""),"HOSPITAL PROVINCIAL LAGUNA YEMA")</f>
        <v>HOSPITAL PROVINCIAL LAGUNA YEMA</v>
      </c>
      <c r="C1979" s="30" t="str">
        <f ca="1">IFERROR(__xludf.DUMMYFUNCTION("""COMPUTED_VALUE"""),"Formosa")</f>
        <v>Formosa</v>
      </c>
      <c r="D1979" s="30" t="str">
        <f ca="1">IFERROR(__xludf.DUMMYFUNCTION("""COMPUTED_VALUE"""),"34")</f>
        <v>34</v>
      </c>
      <c r="E1979" s="30" t="str">
        <f ca="1">IFERROR(__xludf.DUMMYFUNCTION("""COMPUTED_VALUE"""),"si")</f>
        <v>si</v>
      </c>
      <c r="F1979" s="29"/>
      <c r="G1979" s="29"/>
      <c r="H1979" s="30" t="str">
        <f ca="1">IFERROR(__xludf.DUMMYFUNCTION("""COMPUTED_VALUE"""),"activo")</f>
        <v>activo</v>
      </c>
      <c r="I1979" s="30" t="str">
        <f ca="1">IFERROR(__xludf.DUMMYFUNCTION("""COMPUTED_VALUE"""),"universo 07-2020")</f>
        <v>universo 07-2020</v>
      </c>
      <c r="J1979" s="29"/>
      <c r="K1979" s="29"/>
      <c r="L1979" s="30" t="str">
        <f ca="1">IFERROR(__xludf.DUMMYFUNCTION("""COMPUTED_VALUE"""),"No")</f>
        <v>No</v>
      </c>
      <c r="M1979" s="30" t="str">
        <f ca="1">IFERROR(__xludf.DUMMYFUNCTION("""COMPUTED_VALUE"""),"34007010000")</f>
        <v>34007010000</v>
      </c>
      <c r="N1979" s="30" t="str">
        <f ca="1">IFERROR(__xludf.DUMMYFUNCTION("""COMPUTED_VALUE"""),"LAGUNA YEMA")</f>
        <v>LAGUNA YEMA</v>
      </c>
      <c r="O1979" s="30" t="str">
        <f ca="1">IFERROR(__xludf.DUMMYFUNCTION("""COMPUTED_VALUE"""),"347")</f>
        <v>347</v>
      </c>
      <c r="P1979" s="30" t="str">
        <f ca="1">IFERROR(__xludf.DUMMYFUNCTION("""COMPUTED_VALUE"""),"BERMEJO")</f>
        <v>BERMEJO</v>
      </c>
      <c r="Q1979" s="30" t="str">
        <f ca="1">IFERROR(__xludf.DUMMYFUNCTION("""COMPUTED_VALUE"""),"-24.26011139")</f>
        <v>-24.26011139</v>
      </c>
      <c r="R1979" s="30" t="str">
        <f ca="1">IFERROR(__xludf.DUMMYFUNCTION("""COMPUTED_VALUE"""),"-61.24259949")</f>
        <v>-61.24259949</v>
      </c>
      <c r="S1979" s="30" t="str">
        <f ca="1">IFERROR(__xludf.DUMMYFUNCTION("""COMPUTED_VALUE"""),"Provincial")</f>
        <v>Provincial</v>
      </c>
      <c r="T1979" s="30" t="str">
        <f ca="1">IFERROR(__xludf.DUMMYFUNCTION("""COMPUTED_VALUE"""),"-")</f>
        <v>-</v>
      </c>
    </row>
    <row r="1980" spans="1:20" ht="15.75" customHeight="1" x14ac:dyDescent="0.25">
      <c r="A1980" s="30" t="str">
        <f ca="1">IFERROR(__xludf.DUMMYFUNCTION("""COMPUTED_VALUE"""),"50340352147553")</f>
        <v>50340352147553</v>
      </c>
      <c r="B1980" s="30" t="str">
        <f ca="1">IFERROR(__xludf.DUMMYFUNCTION("""COMPUTED_VALUE"""),"CENTRO DE SALUD LA PANTALLA")</f>
        <v>CENTRO DE SALUD LA PANTALLA</v>
      </c>
      <c r="C1980" s="30" t="str">
        <f ca="1">IFERROR(__xludf.DUMMYFUNCTION("""COMPUTED_VALUE"""),"Formosa")</f>
        <v>Formosa</v>
      </c>
      <c r="D1980" s="30" t="str">
        <f ca="1">IFERROR(__xludf.DUMMYFUNCTION("""COMPUTED_VALUE"""),"34")</f>
        <v>34</v>
      </c>
      <c r="E1980" s="30" t="str">
        <f ca="1">IFERROR(__xludf.DUMMYFUNCTION("""COMPUTED_VALUE"""),"si")</f>
        <v>si</v>
      </c>
      <c r="F1980" s="29"/>
      <c r="G1980" s="29"/>
      <c r="H1980" s="30" t="str">
        <f ca="1">IFERROR(__xludf.DUMMYFUNCTION("""COMPUTED_VALUE"""),"inactivo")</f>
        <v>inactivo</v>
      </c>
      <c r="I1980" s="30" t="str">
        <f ca="1">IFERROR(__xludf.DUMMYFUNCTION("""COMPUTED_VALUE"""),"Se dio de baja por mail 26/01/2020. Se remplaza por 50340352147553")</f>
        <v>Se dio de baja por mail 26/01/2020. Se remplaza por 50340352147553</v>
      </c>
      <c r="J1980" s="29"/>
      <c r="K1980" s="29"/>
      <c r="L1980" s="30" t="str">
        <f ca="1">IFERROR(__xludf.DUMMYFUNCTION("""COMPUTED_VALUE"""),"No")</f>
        <v>No</v>
      </c>
      <c r="M1980" s="30" t="str">
        <f ca="1">IFERROR(__xludf.DUMMYFUNCTION("""COMPUTED_VALUE"""),"34035100000")</f>
        <v>34035100000</v>
      </c>
      <c r="N1980" s="30" t="str">
        <f ca="1">IFERROR(__xludf.DUMMYFUNCTION("""COMPUTED_VALUE"""),"LAS LOMITAS")</f>
        <v>LAS LOMITAS</v>
      </c>
      <c r="O1980" s="30" t="str">
        <f ca="1">IFERROR(__xludf.DUMMYFUNCTION("""COMPUTED_VALUE"""),"3435")</f>
        <v>3435</v>
      </c>
      <c r="P1980" s="30" t="str">
        <f ca="1">IFERROR(__xludf.DUMMYFUNCTION("""COMPUTED_VALUE"""),"PATIÑO")</f>
        <v>PATIÑO</v>
      </c>
      <c r="Q1980" s="30" t="str">
        <f ca="1">IFERROR(__xludf.DUMMYFUNCTION("""COMPUTED_VALUE"""),"-24.70434209")</f>
        <v>-24.70434209</v>
      </c>
      <c r="R1980" s="30" t="str">
        <f ca="1">IFERROR(__xludf.DUMMYFUNCTION("""COMPUTED_VALUE"""),"-60.60071468")</f>
        <v>-60.60071468</v>
      </c>
      <c r="S1980" s="30" t="str">
        <f ca="1">IFERROR(__xludf.DUMMYFUNCTION("""COMPUTED_VALUE"""),"Provincial")</f>
        <v>Provincial</v>
      </c>
      <c r="T1980" s="30" t="str">
        <f ca="1">IFERROR(__xludf.DUMMYFUNCTION("""COMPUTED_VALUE"""),"-")</f>
        <v>-</v>
      </c>
    </row>
    <row r="1981" spans="1:20" ht="15.75" customHeight="1" x14ac:dyDescent="0.25">
      <c r="A1981" s="30" t="str">
        <f ca="1">IFERROR(__xludf.DUMMYFUNCTION("""COMPUTED_VALUE"""),"10340352147037")</f>
        <v>10340352147037</v>
      </c>
      <c r="B1981" s="30" t="str">
        <f ca="1">IFERROR(__xludf.DUMMYFUNCTION("""COMPUTED_VALUE"""),"HOSPITAL PROVINCIAL ESTANISLAO DEL CAMPO")</f>
        <v>HOSPITAL PROVINCIAL ESTANISLAO DEL CAMPO</v>
      </c>
      <c r="C1981" s="30" t="str">
        <f ca="1">IFERROR(__xludf.DUMMYFUNCTION("""COMPUTED_VALUE"""),"Formosa")</f>
        <v>Formosa</v>
      </c>
      <c r="D1981" s="30" t="str">
        <f ca="1">IFERROR(__xludf.DUMMYFUNCTION("""COMPUTED_VALUE"""),"34")</f>
        <v>34</v>
      </c>
      <c r="E1981" s="29"/>
      <c r="F1981" s="29"/>
      <c r="G1981" s="29"/>
      <c r="H1981" s="30" t="str">
        <f ca="1">IFERROR(__xludf.DUMMYFUNCTION("""COMPUTED_VALUE"""),"activo")</f>
        <v>activo</v>
      </c>
      <c r="I1981" s="30" t="str">
        <f ca="1">IFERROR(__xludf.DUMMYFUNCTION("""COMPUTED_VALUE"""),"universo 07-2020")</f>
        <v>universo 07-2020</v>
      </c>
      <c r="J1981" s="29"/>
      <c r="K1981" s="29"/>
      <c r="L1981" s="30" t="str">
        <f ca="1">IFERROR(__xludf.DUMMYFUNCTION("""COMPUTED_VALUE"""),"No")</f>
        <v>No</v>
      </c>
      <c r="M1981" s="30" t="str">
        <f ca="1">IFERROR(__xludf.DUMMYFUNCTION("""COMPUTED_VALUE"""),"34035050000")</f>
        <v>34035050000</v>
      </c>
      <c r="N1981" s="30" t="str">
        <f ca="1">IFERROR(__xludf.DUMMYFUNCTION("""COMPUTED_VALUE"""),"ESTANISLAO DEL CAMPO")</f>
        <v>ESTANISLAO DEL CAMPO</v>
      </c>
      <c r="O1981" s="30" t="str">
        <f ca="1">IFERROR(__xludf.DUMMYFUNCTION("""COMPUTED_VALUE"""),"3435")</f>
        <v>3435</v>
      </c>
      <c r="P1981" s="30" t="str">
        <f ca="1">IFERROR(__xludf.DUMMYFUNCTION("""COMPUTED_VALUE"""),"PATIÑO")</f>
        <v>PATIÑO</v>
      </c>
      <c r="Q1981" s="30" t="str">
        <f ca="1">IFERROR(__xludf.DUMMYFUNCTION("""COMPUTED_VALUE"""),"-25.04952466")</f>
        <v>-25.04952466</v>
      </c>
      <c r="R1981" s="30" t="str">
        <f ca="1">IFERROR(__xludf.DUMMYFUNCTION("""COMPUTED_VALUE"""),"-60.08972168")</f>
        <v>-60.08972168</v>
      </c>
      <c r="S1981" s="30" t="str">
        <f ca="1">IFERROR(__xludf.DUMMYFUNCTION("""COMPUTED_VALUE"""),"Provincial")</f>
        <v>Provincial</v>
      </c>
      <c r="T1981" s="30" t="str">
        <f ca="1">IFERROR(__xludf.DUMMYFUNCTION("""COMPUTED_VALUE"""),"-")</f>
        <v>-</v>
      </c>
    </row>
    <row r="1982" spans="1:20" ht="15.75" customHeight="1" x14ac:dyDescent="0.25">
      <c r="A1982" s="30" t="str">
        <f ca="1">IFERROR(__xludf.DUMMYFUNCTION("""COMPUTED_VALUE"""),"10340352147057")</f>
        <v>10340352147057</v>
      </c>
      <c r="B1982" s="30" t="str">
        <f ca="1">IFERROR(__xludf.DUMMYFUNCTION("""COMPUTED_VALUE"""),"HOSPITAL PROVINCIAL SUBTENIENTE PERIN")</f>
        <v>HOSPITAL PROVINCIAL SUBTENIENTE PERIN</v>
      </c>
      <c r="C1982" s="30" t="str">
        <f ca="1">IFERROR(__xludf.DUMMYFUNCTION("""COMPUTED_VALUE"""),"Formosa")</f>
        <v>Formosa</v>
      </c>
      <c r="D1982" s="30" t="str">
        <f ca="1">IFERROR(__xludf.DUMMYFUNCTION("""COMPUTED_VALUE"""),"34")</f>
        <v>34</v>
      </c>
      <c r="E1982" s="29"/>
      <c r="F1982" s="29"/>
      <c r="G1982" s="29"/>
      <c r="H1982" s="30" t="str">
        <f ca="1">IFERROR(__xludf.DUMMYFUNCTION("""COMPUTED_VALUE"""),"activo")</f>
        <v>activo</v>
      </c>
      <c r="I1982" s="30" t="str">
        <f ca="1">IFERROR(__xludf.DUMMYFUNCTION("""COMPUTED_VALUE"""),"universo 07-2020")</f>
        <v>universo 07-2020</v>
      </c>
      <c r="J1982" s="29"/>
      <c r="K1982" s="29"/>
      <c r="L1982" s="30" t="str">
        <f ca="1">IFERROR(__xludf.DUMMYFUNCTION("""COMPUTED_VALUE"""),"No")</f>
        <v>No</v>
      </c>
      <c r="M1982" s="30" t="str">
        <f ca="1">IFERROR(__xludf.DUMMYFUNCTION("""COMPUTED_VALUE"""),"34035150000")</f>
        <v>34035150000</v>
      </c>
      <c r="N1982" s="30" t="str">
        <f ca="1">IFERROR(__xludf.DUMMYFUNCTION("""COMPUTED_VALUE"""),"SUBTENIENTE PERIN")</f>
        <v>SUBTENIENTE PERIN</v>
      </c>
      <c r="O1982" s="30" t="str">
        <f ca="1">IFERROR(__xludf.DUMMYFUNCTION("""COMPUTED_VALUE"""),"3435")</f>
        <v>3435</v>
      </c>
      <c r="P1982" s="30" t="str">
        <f ca="1">IFERROR(__xludf.DUMMYFUNCTION("""COMPUTED_VALUE"""),"PATIÑO")</f>
        <v>PATIÑO</v>
      </c>
      <c r="Q1982" s="30" t="str">
        <f ca="1">IFERROR(__xludf.DUMMYFUNCTION("""COMPUTED_VALUE"""),"-25.52633243")</f>
        <v>-25.52633243</v>
      </c>
      <c r="R1982" s="30" t="str">
        <f ca="1">IFERROR(__xludf.DUMMYFUNCTION("""COMPUTED_VALUE"""),"-60.01419067")</f>
        <v>-60.01419067</v>
      </c>
      <c r="S1982" s="30" t="str">
        <f ca="1">IFERROR(__xludf.DUMMYFUNCTION("""COMPUTED_VALUE"""),"Provincial")</f>
        <v>Provincial</v>
      </c>
      <c r="T1982" s="30" t="str">
        <f ca="1">IFERROR(__xludf.DUMMYFUNCTION("""COMPUTED_VALUE"""),"-")</f>
        <v>-</v>
      </c>
    </row>
    <row r="1983" spans="1:20" ht="15.75" customHeight="1" x14ac:dyDescent="0.25">
      <c r="A1983" s="30" t="str">
        <f ca="1">IFERROR(__xludf.DUMMYFUNCTION("""COMPUTED_VALUE"""),"50340492147511")</f>
        <v>50340492147511</v>
      </c>
      <c r="B1983" s="30" t="str">
        <f ca="1">IFERROR(__xludf.DUMMYFUNCTION("""COMPUTED_VALUE"""),"CENTRO INTEGRADOR COMUNITARIO LA PRIMAVERA")</f>
        <v>CENTRO INTEGRADOR COMUNITARIO LA PRIMAVERA</v>
      </c>
      <c r="C1983" s="30" t="str">
        <f ca="1">IFERROR(__xludf.DUMMYFUNCTION("""COMPUTED_VALUE"""),"Formosa")</f>
        <v>Formosa</v>
      </c>
      <c r="D1983" s="30" t="str">
        <f ca="1">IFERROR(__xludf.DUMMYFUNCTION("""COMPUTED_VALUE"""),"34")</f>
        <v>34</v>
      </c>
      <c r="E1983" s="30" t="str">
        <f ca="1">IFERROR(__xludf.DUMMYFUNCTION("""COMPUTED_VALUE"""),"si")</f>
        <v>si</v>
      </c>
      <c r="F1983" s="29"/>
      <c r="G1983" s="29"/>
      <c r="H1983" s="30" t="str">
        <f ca="1">IFERROR(__xludf.DUMMYFUNCTION("""COMPUTED_VALUE"""),"activo")</f>
        <v>activo</v>
      </c>
      <c r="I1983" s="30" t="str">
        <f ca="1">IFERROR(__xludf.DUMMYFUNCTION("""COMPUTED_VALUE"""),"universo 07-2020")</f>
        <v>universo 07-2020</v>
      </c>
      <c r="J1983" s="29"/>
      <c r="K1983" s="29"/>
      <c r="L1983" s="30" t="str">
        <f ca="1">IFERROR(__xludf.DUMMYFUNCTION("""COMPUTED_VALUE"""),"No")</f>
        <v>No</v>
      </c>
      <c r="M1983" s="30" t="str">
        <f ca="1">IFERROR(__xludf.DUMMYFUNCTION("""COMPUTED_VALUE"""),"34049020000")</f>
        <v>34049020000</v>
      </c>
      <c r="N1983" s="30" t="str">
        <f ca="1">IFERROR(__xludf.DUMMYFUNCTION("""COMPUTED_VALUE"""),"LAGUNA BLANCA")</f>
        <v>LAGUNA BLANCA</v>
      </c>
      <c r="O1983" s="30" t="str">
        <f ca="1">IFERROR(__xludf.DUMMYFUNCTION("""COMPUTED_VALUE"""),"3449")</f>
        <v>3449</v>
      </c>
      <c r="P1983" s="30" t="str">
        <f ca="1">IFERROR(__xludf.DUMMYFUNCTION("""COMPUTED_VALUE"""),"PILCOMAYO")</f>
        <v>PILCOMAYO</v>
      </c>
      <c r="Q1983" s="30" t="str">
        <f ca="1">IFERROR(__xludf.DUMMYFUNCTION("""COMPUTED_VALUE"""),"-25.19220445")</f>
        <v>-25.19220445</v>
      </c>
      <c r="R1983" s="30" t="str">
        <f ca="1">IFERROR(__xludf.DUMMYFUNCTION("""COMPUTED_VALUE"""),"-58.19835663")</f>
        <v>-58.19835663</v>
      </c>
      <c r="S1983" s="30" t="str">
        <f ca="1">IFERROR(__xludf.DUMMYFUNCTION("""COMPUTED_VALUE"""),"Provincial")</f>
        <v>Provincial</v>
      </c>
      <c r="T1983" s="30" t="str">
        <f ca="1">IFERROR(__xludf.DUMMYFUNCTION("""COMPUTED_VALUE"""),"-")</f>
        <v>-</v>
      </c>
    </row>
    <row r="1984" spans="1:20" ht="15.75" customHeight="1" x14ac:dyDescent="0.25">
      <c r="A1984" s="30" t="str">
        <f ca="1">IFERROR(__xludf.DUMMYFUNCTION("""COMPUTED_VALUE"""),"10340212147049")</f>
        <v>10340212147049</v>
      </c>
      <c r="B1984" s="30" t="str">
        <f ca="1">IFERROR(__xludf.DUMMYFUNCTION("""COMPUTED_VALUE"""),"HOSPITAL PROVINCIAL MISION SAN FRANCISCO DE LAISHI")</f>
        <v>HOSPITAL PROVINCIAL MISION SAN FRANCISCO DE LAISHI</v>
      </c>
      <c r="C1984" s="30" t="str">
        <f ca="1">IFERROR(__xludf.DUMMYFUNCTION("""COMPUTED_VALUE"""),"Formosa")</f>
        <v>Formosa</v>
      </c>
      <c r="D1984" s="30" t="str">
        <f ca="1">IFERROR(__xludf.DUMMYFUNCTION("""COMPUTED_VALUE"""),"34")</f>
        <v>34</v>
      </c>
      <c r="E1984" s="30" t="str">
        <f ca="1">IFERROR(__xludf.DUMMYFUNCTION("""COMPUTED_VALUE"""),"")</f>
        <v/>
      </c>
      <c r="F1984" s="29"/>
      <c r="G1984" s="29"/>
      <c r="H1984" s="30" t="str">
        <f ca="1">IFERROR(__xludf.DUMMYFUNCTION("""COMPUTED_VALUE"""),"activo")</f>
        <v>activo</v>
      </c>
      <c r="I1984" s="30" t="str">
        <f ca="1">IFERROR(__xludf.DUMMYFUNCTION("""COMPUTED_VALUE"""),"universo 07-2020")</f>
        <v>universo 07-2020</v>
      </c>
      <c r="J1984" s="29"/>
      <c r="K1984" s="29"/>
      <c r="L1984" s="30" t="str">
        <f ca="1">IFERROR(__xludf.DUMMYFUNCTION("""COMPUTED_VALUE"""),"No")</f>
        <v>No</v>
      </c>
      <c r="M1984" s="30" t="str">
        <f ca="1">IFERROR(__xludf.DUMMYFUNCTION("""COMPUTED_VALUE"""),"34021040000")</f>
        <v>34021040000</v>
      </c>
      <c r="N1984" s="30" t="str">
        <f ca="1">IFERROR(__xludf.DUMMYFUNCTION("""COMPUTED_VALUE"""),"SAN FRANCISCO DE LAISHI")</f>
        <v>SAN FRANCISCO DE LAISHI</v>
      </c>
      <c r="O1984" s="30" t="str">
        <f ca="1">IFERROR(__xludf.DUMMYFUNCTION("""COMPUTED_VALUE"""),"3421")</f>
        <v>3421</v>
      </c>
      <c r="P1984" s="30" t="str">
        <f ca="1">IFERROR(__xludf.DUMMYFUNCTION("""COMPUTED_VALUE"""),"LAISHI")</f>
        <v>LAISHI</v>
      </c>
      <c r="Q1984" s="30" t="str">
        <f ca="1">IFERROR(__xludf.DUMMYFUNCTION("""COMPUTED_VALUE"""),"-26.2416928")</f>
        <v>-26.2416928</v>
      </c>
      <c r="R1984" s="30" t="str">
        <f ca="1">IFERROR(__xludf.DUMMYFUNCTION("""COMPUTED_VALUE"""),"-58.62991333")</f>
        <v>-58.62991333</v>
      </c>
      <c r="S1984" s="30" t="str">
        <f ca="1">IFERROR(__xludf.DUMMYFUNCTION("""COMPUTED_VALUE"""),"Provincial")</f>
        <v>Provincial</v>
      </c>
      <c r="T1984" s="30" t="str">
        <f ca="1">IFERROR(__xludf.DUMMYFUNCTION("""COMPUTED_VALUE"""),"-")</f>
        <v>-</v>
      </c>
    </row>
    <row r="1985" spans="1:20" ht="15.75" customHeight="1" x14ac:dyDescent="0.25">
      <c r="A1985" s="30" t="str">
        <f ca="1">IFERROR(__xludf.DUMMYFUNCTION("""COMPUTED_VALUE"""),"50340142147657")</f>
        <v>50340142147657</v>
      </c>
      <c r="B1985" s="30" t="str">
        <f ca="1">IFERROR(__xludf.DUMMYFUNCTION("""COMPUTED_VALUE"""),"CENTRO REFERENCIAL CENTRO DE SALUD MOJON DE FIERRO")</f>
        <v>CENTRO REFERENCIAL CENTRO DE SALUD MOJON DE FIERRO</v>
      </c>
      <c r="C1985" s="30" t="str">
        <f ca="1">IFERROR(__xludf.DUMMYFUNCTION("""COMPUTED_VALUE"""),"Formosa")</f>
        <v>Formosa</v>
      </c>
      <c r="D1985" s="30" t="str">
        <f ca="1">IFERROR(__xludf.DUMMYFUNCTION("""COMPUTED_VALUE"""),"34")</f>
        <v>34</v>
      </c>
      <c r="E1985" s="30" t="str">
        <f ca="1">IFERROR(__xludf.DUMMYFUNCTION("""COMPUTED_VALUE"""),"")</f>
        <v/>
      </c>
      <c r="F1985" s="29"/>
      <c r="G1985" s="29"/>
      <c r="H1985" s="30" t="str">
        <f ca="1">IFERROR(__xludf.DUMMYFUNCTION("""COMPUTED_VALUE"""),"activo")</f>
        <v>activo</v>
      </c>
      <c r="I1985" s="30" t="str">
        <f ca="1">IFERROR(__xludf.DUMMYFUNCTION("""COMPUTED_VALUE"""),"universo 07-2020")</f>
        <v>universo 07-2020</v>
      </c>
      <c r="J1985" s="29"/>
      <c r="K1985" s="29"/>
      <c r="L1985" s="30" t="str">
        <f ca="1">IFERROR(__xludf.DUMMYFUNCTION("""COMPUTED_VALUE"""),"No")</f>
        <v>No</v>
      </c>
      <c r="M1985" s="30" t="str">
        <f ca="1">IFERROR(__xludf.DUMMYFUNCTION("""COMPUTED_VALUE"""),"34014050000")</f>
        <v>34014050000</v>
      </c>
      <c r="N1985" s="30" t="str">
        <f ca="1">IFERROR(__xludf.DUMMYFUNCTION("""COMPUTED_VALUE"""),"MOJON DE FIERRO")</f>
        <v>MOJON DE FIERRO</v>
      </c>
      <c r="O1985" s="30" t="str">
        <f ca="1">IFERROR(__xludf.DUMMYFUNCTION("""COMPUTED_VALUE"""),"3414")</f>
        <v>3414</v>
      </c>
      <c r="P1985" s="30" t="str">
        <f ca="1">IFERROR(__xludf.DUMMYFUNCTION("""COMPUTED_VALUE"""),"FORMOSA")</f>
        <v>FORMOSA</v>
      </c>
      <c r="Q1985" s="30" t="str">
        <f ca="1">IFERROR(__xludf.DUMMYFUNCTION("""COMPUTED_VALUE"""),"-26.03229892")</f>
        <v>-26.03229892</v>
      </c>
      <c r="R1985" s="30" t="str">
        <f ca="1">IFERROR(__xludf.DUMMYFUNCTION("""COMPUTED_VALUE"""),"-58.04986954")</f>
        <v>-58.04986954</v>
      </c>
      <c r="S1985" s="30" t="str">
        <f ca="1">IFERROR(__xludf.DUMMYFUNCTION("""COMPUTED_VALUE"""),"Provincial")</f>
        <v>Provincial</v>
      </c>
      <c r="T1985" s="30" t="str">
        <f ca="1">IFERROR(__xludf.DUMMYFUNCTION("""COMPUTED_VALUE"""),"-")</f>
        <v>-</v>
      </c>
    </row>
    <row r="1986" spans="1:20" ht="15.75" customHeight="1" x14ac:dyDescent="0.25">
      <c r="A1986" s="30" t="str">
        <f ca="1">IFERROR(__xludf.DUMMYFUNCTION("""COMPUTED_VALUE"""),"50340142147126")</f>
        <v>50340142147126</v>
      </c>
      <c r="B1986" s="30" t="str">
        <f ca="1">IFERROR(__xludf.DUMMYFUNCTION("""COMPUTED_VALUE"""),"CENTRO DE SALUD NAMQUOM")</f>
        <v>CENTRO DE SALUD NAMQUOM</v>
      </c>
      <c r="C1986" s="30" t="str">
        <f ca="1">IFERROR(__xludf.DUMMYFUNCTION("""COMPUTED_VALUE"""),"Formosa")</f>
        <v>Formosa</v>
      </c>
      <c r="D1986" s="30" t="str">
        <f ca="1">IFERROR(__xludf.DUMMYFUNCTION("""COMPUTED_VALUE"""),"34")</f>
        <v>34</v>
      </c>
      <c r="E1986" s="30" t="str">
        <f ca="1">IFERROR(__xludf.DUMMYFUNCTION("""COMPUTED_VALUE"""),"si")</f>
        <v>si</v>
      </c>
      <c r="F1986" s="29"/>
      <c r="G1986" s="29"/>
      <c r="H1986" s="30" t="str">
        <f ca="1">IFERROR(__xludf.DUMMYFUNCTION("""COMPUTED_VALUE"""),"activo")</f>
        <v>activo</v>
      </c>
      <c r="I1986" s="30" t="str">
        <f ca="1">IFERROR(__xludf.DUMMYFUNCTION("""COMPUTED_VALUE"""),"universo 07-2020")</f>
        <v>universo 07-2020</v>
      </c>
      <c r="J1986" s="29"/>
      <c r="K1986" s="29"/>
      <c r="L1986" s="30" t="str">
        <f ca="1">IFERROR(__xludf.DUMMYFUNCTION("""COMPUTED_VALUE"""),"No")</f>
        <v>No</v>
      </c>
      <c r="M1986" s="30" t="str">
        <f ca="1">IFERROR(__xludf.DUMMYFUNCTION("""COMPUTED_VALUE"""),"34014020000")</f>
        <v>34014020000</v>
      </c>
      <c r="N1986" s="30" t="str">
        <f ca="1">IFERROR(__xludf.DUMMYFUNCTION("""COMPUTED_VALUE"""),"FORMOSA")</f>
        <v>FORMOSA</v>
      </c>
      <c r="O1986" s="30" t="str">
        <f ca="1">IFERROR(__xludf.DUMMYFUNCTION("""COMPUTED_VALUE"""),"3414")</f>
        <v>3414</v>
      </c>
      <c r="P1986" s="30" t="str">
        <f ca="1">IFERROR(__xludf.DUMMYFUNCTION("""COMPUTED_VALUE"""),"FORMOSA")</f>
        <v>FORMOSA</v>
      </c>
      <c r="Q1986" s="30" t="str">
        <f ca="1">IFERROR(__xludf.DUMMYFUNCTION("""COMPUTED_VALUE"""),"-26.12685198")</f>
        <v>-26.12685198</v>
      </c>
      <c r="R1986" s="30" t="str">
        <f ca="1">IFERROR(__xludf.DUMMYFUNCTION("""COMPUTED_VALUE"""),"-58.23088646")</f>
        <v>-58.23088646</v>
      </c>
      <c r="S1986" s="30" t="str">
        <f ca="1">IFERROR(__xludf.DUMMYFUNCTION("""COMPUTED_VALUE"""),"Provincial")</f>
        <v>Provincial</v>
      </c>
      <c r="T1986" s="30" t="str">
        <f ca="1">IFERROR(__xludf.DUMMYFUNCTION("""COMPUTED_VALUE"""),"-")</f>
        <v>-</v>
      </c>
    </row>
    <row r="1987" spans="1:20" ht="15.75" customHeight="1" x14ac:dyDescent="0.25">
      <c r="A1987" s="30" t="str">
        <f ca="1">IFERROR(__xludf.DUMMYFUNCTION("""COMPUTED_VALUE"""),"50340142147137")</f>
        <v>50340142147137</v>
      </c>
      <c r="B1987" s="30" t="str">
        <f ca="1">IFERROR(__xludf.DUMMYFUNCTION("""COMPUTED_VALUE"""),"CENTRO DE SALUD 7 DE MAYO")</f>
        <v>CENTRO DE SALUD 7 DE MAYO</v>
      </c>
      <c r="C1987" s="30" t="str">
        <f ca="1">IFERROR(__xludf.DUMMYFUNCTION("""COMPUTED_VALUE"""),"Formosa")</f>
        <v>Formosa</v>
      </c>
      <c r="D1987" s="30" t="str">
        <f ca="1">IFERROR(__xludf.DUMMYFUNCTION("""COMPUTED_VALUE"""),"34")</f>
        <v>34</v>
      </c>
      <c r="E1987" s="30" t="str">
        <f ca="1">IFERROR(__xludf.DUMMYFUNCTION("""COMPUTED_VALUE"""),"")</f>
        <v/>
      </c>
      <c r="F1987" s="29"/>
      <c r="G1987" s="29"/>
      <c r="H1987" s="30" t="str">
        <f ca="1">IFERROR(__xludf.DUMMYFUNCTION("""COMPUTED_VALUE"""),"activo")</f>
        <v>activo</v>
      </c>
      <c r="I1987" s="30" t="str">
        <f ca="1">IFERROR(__xludf.DUMMYFUNCTION("""COMPUTED_VALUE"""),"universo 07-2020")</f>
        <v>universo 07-2020</v>
      </c>
      <c r="J1987" s="29"/>
      <c r="K1987" s="29"/>
      <c r="L1987" s="30" t="str">
        <f ca="1">IFERROR(__xludf.DUMMYFUNCTION("""COMPUTED_VALUE"""),"No")</f>
        <v>No</v>
      </c>
      <c r="M1987" s="30" t="str">
        <f ca="1">IFERROR(__xludf.DUMMYFUNCTION("""COMPUTED_VALUE"""),"34014020000")</f>
        <v>34014020000</v>
      </c>
      <c r="N1987" s="30" t="str">
        <f ca="1">IFERROR(__xludf.DUMMYFUNCTION("""COMPUTED_VALUE"""),"FORMOSA")</f>
        <v>FORMOSA</v>
      </c>
      <c r="O1987" s="30" t="str">
        <f ca="1">IFERROR(__xludf.DUMMYFUNCTION("""COMPUTED_VALUE"""),"3414")</f>
        <v>3414</v>
      </c>
      <c r="P1987" s="30" t="str">
        <f ca="1">IFERROR(__xludf.DUMMYFUNCTION("""COMPUTED_VALUE"""),"FORMOSA")</f>
        <v>FORMOSA</v>
      </c>
      <c r="Q1987" s="30" t="str">
        <f ca="1">IFERROR(__xludf.DUMMYFUNCTION("""COMPUTED_VALUE"""),"-26.132811")</f>
        <v>-26.132811</v>
      </c>
      <c r="R1987" s="30" t="str">
        <f ca="1">IFERROR(__xludf.DUMMYFUNCTION("""COMPUTED_VALUE"""),"-58.165129")</f>
        <v>-58.165129</v>
      </c>
      <c r="S1987" s="30" t="str">
        <f ca="1">IFERROR(__xludf.DUMMYFUNCTION("""COMPUTED_VALUE"""),"Provincial")</f>
        <v>Provincial</v>
      </c>
      <c r="T1987" s="30" t="str">
        <f ca="1">IFERROR(__xludf.DUMMYFUNCTION("""COMPUTED_VALUE"""),"-")</f>
        <v>-</v>
      </c>
    </row>
    <row r="1988" spans="1:20" ht="15.75" customHeight="1" x14ac:dyDescent="0.25">
      <c r="A1988" s="30" t="str">
        <f ca="1">IFERROR(__xludf.DUMMYFUNCTION("""COMPUTED_VALUE"""),"50340142147131")</f>
        <v>50340142147131</v>
      </c>
      <c r="B1988" s="30" t="str">
        <f ca="1">IFERROR(__xludf.DUMMYFUNCTION("""COMPUTED_VALUE"""),"CENTRO DE SALUD SAN AGUSTIN")</f>
        <v>CENTRO DE SALUD SAN AGUSTIN</v>
      </c>
      <c r="C1988" s="30" t="str">
        <f ca="1">IFERROR(__xludf.DUMMYFUNCTION("""COMPUTED_VALUE"""),"Formosa")</f>
        <v>Formosa</v>
      </c>
      <c r="D1988" s="30" t="str">
        <f ca="1">IFERROR(__xludf.DUMMYFUNCTION("""COMPUTED_VALUE"""),"34")</f>
        <v>34</v>
      </c>
      <c r="E1988" s="30" t="str">
        <f ca="1">IFERROR(__xludf.DUMMYFUNCTION("""COMPUTED_VALUE"""),"")</f>
        <v/>
      </c>
      <c r="F1988" s="29"/>
      <c r="G1988" s="29"/>
      <c r="H1988" s="30" t="str">
        <f ca="1">IFERROR(__xludf.DUMMYFUNCTION("""COMPUTED_VALUE"""),"activo")</f>
        <v>activo</v>
      </c>
      <c r="I1988" s="30" t="str">
        <f ca="1">IFERROR(__xludf.DUMMYFUNCTION("""COMPUTED_VALUE"""),"universo 07-2020")</f>
        <v>universo 07-2020</v>
      </c>
      <c r="J1988" s="29"/>
      <c r="K1988" s="29"/>
      <c r="L1988" s="30" t="str">
        <f ca="1">IFERROR(__xludf.DUMMYFUNCTION("""COMPUTED_VALUE"""),"No")</f>
        <v>No</v>
      </c>
      <c r="M1988" s="30" t="str">
        <f ca="1">IFERROR(__xludf.DUMMYFUNCTION("""COMPUTED_VALUE"""),"34014020000")</f>
        <v>34014020000</v>
      </c>
      <c r="N1988" s="30" t="str">
        <f ca="1">IFERROR(__xludf.DUMMYFUNCTION("""COMPUTED_VALUE"""),"FORMOSA")</f>
        <v>FORMOSA</v>
      </c>
      <c r="O1988" s="30" t="str">
        <f ca="1">IFERROR(__xludf.DUMMYFUNCTION("""COMPUTED_VALUE"""),"3414")</f>
        <v>3414</v>
      </c>
      <c r="P1988" s="30" t="str">
        <f ca="1">IFERROR(__xludf.DUMMYFUNCTION("""COMPUTED_VALUE"""),"FORMOSA")</f>
        <v>FORMOSA</v>
      </c>
      <c r="Q1988" s="30" t="str">
        <f ca="1">IFERROR(__xludf.DUMMYFUNCTION("""COMPUTED_VALUE"""),"-26.1628073")</f>
        <v>-26.1628073</v>
      </c>
      <c r="R1988" s="30" t="str">
        <f ca="1">IFERROR(__xludf.DUMMYFUNCTION("""COMPUTED_VALUE"""),"-58.1650023")</f>
        <v>-58.1650023</v>
      </c>
      <c r="S1988" s="30" t="str">
        <f ca="1">IFERROR(__xludf.DUMMYFUNCTION("""COMPUTED_VALUE"""),"Provincial")</f>
        <v>Provincial</v>
      </c>
      <c r="T1988" s="30" t="str">
        <f ca="1">IFERROR(__xludf.DUMMYFUNCTION("""COMPUTED_VALUE"""),"-")</f>
        <v>-</v>
      </c>
    </row>
    <row r="1989" spans="1:20" ht="15.75" customHeight="1" x14ac:dyDescent="0.25">
      <c r="A1989" s="30" t="str">
        <f ca="1">IFERROR(__xludf.DUMMYFUNCTION("""COMPUTED_VALUE"""),"50340492147707")</f>
        <v>50340492147707</v>
      </c>
      <c r="B1989" s="30" t="str">
        <f ca="1">IFERROR(__xludf.DUMMYFUNCTION("""COMPUTED_VALUE"""),"CENTRO DE SALUD RAMON CARRILLO - CLORINDA")</f>
        <v>CENTRO DE SALUD RAMON CARRILLO - CLORINDA</v>
      </c>
      <c r="C1989" s="30" t="str">
        <f ca="1">IFERROR(__xludf.DUMMYFUNCTION("""COMPUTED_VALUE"""),"Formosa")</f>
        <v>Formosa</v>
      </c>
      <c r="D1989" s="30" t="str">
        <f ca="1">IFERROR(__xludf.DUMMYFUNCTION("""COMPUTED_VALUE"""),"34")</f>
        <v>34</v>
      </c>
      <c r="E1989" s="30" t="str">
        <f ca="1">IFERROR(__xludf.DUMMYFUNCTION("""COMPUTED_VALUE"""),"")</f>
        <v/>
      </c>
      <c r="F1989" s="29"/>
      <c r="G1989" s="29"/>
      <c r="H1989" s="30" t="str">
        <f ca="1">IFERROR(__xludf.DUMMYFUNCTION("""COMPUTED_VALUE"""),"activo")</f>
        <v>activo</v>
      </c>
      <c r="I1989" s="30" t="str">
        <f ca="1">IFERROR(__xludf.DUMMYFUNCTION("""COMPUTED_VALUE"""),"universo 07-2020")</f>
        <v>universo 07-2020</v>
      </c>
      <c r="J1989" s="29"/>
      <c r="K1989" s="29"/>
      <c r="L1989" s="30" t="str">
        <f ca="1">IFERROR(__xludf.DUMMYFUNCTION("""COMPUTED_VALUE"""),"No")</f>
        <v>No</v>
      </c>
      <c r="M1989" s="30" t="str">
        <f ca="1">IFERROR(__xludf.DUMMYFUNCTION("""COMPUTED_VALUE"""),"34049010000")</f>
        <v>34049010000</v>
      </c>
      <c r="N1989" s="30" t="str">
        <f ca="1">IFERROR(__xludf.DUMMYFUNCTION("""COMPUTED_VALUE"""),"CLORINDA")</f>
        <v>CLORINDA</v>
      </c>
      <c r="O1989" s="30" t="str">
        <f ca="1">IFERROR(__xludf.DUMMYFUNCTION("""COMPUTED_VALUE"""),"3449")</f>
        <v>3449</v>
      </c>
      <c r="P1989" s="30" t="str">
        <f ca="1">IFERROR(__xludf.DUMMYFUNCTION("""COMPUTED_VALUE"""),"PILCOMAYO")</f>
        <v>PILCOMAYO</v>
      </c>
      <c r="Q1989" s="30" t="str">
        <f ca="1">IFERROR(__xludf.DUMMYFUNCTION("""COMPUTED_VALUE"""),"-25.2881832")</f>
        <v>-25.2881832</v>
      </c>
      <c r="R1989" s="30" t="str">
        <f ca="1">IFERROR(__xludf.DUMMYFUNCTION("""COMPUTED_VALUE"""),"-57.7228203")</f>
        <v>-57.7228203</v>
      </c>
      <c r="S1989" s="30" t="str">
        <f ca="1">IFERROR(__xludf.DUMMYFUNCTION("""COMPUTED_VALUE"""),"Provincial")</f>
        <v>Provincial</v>
      </c>
      <c r="T1989" s="30" t="str">
        <f ca="1">IFERROR(__xludf.DUMMYFUNCTION("""COMPUTED_VALUE"""),"-")</f>
        <v>-</v>
      </c>
    </row>
    <row r="1990" spans="1:20" ht="15.75" customHeight="1" x14ac:dyDescent="0.25">
      <c r="A1990" s="30" t="str">
        <f ca="1">IFERROR(__xludf.DUMMYFUNCTION("""COMPUTED_VALUE"""),"CI50066382299991")</f>
        <v>CI50066382299991</v>
      </c>
      <c r="B1990" s="30" t="str">
        <f ca="1">IFERROR(__xludf.DUMMYFUNCTION("""COMPUTED_VALUE"""),"CENTRO DE SALUD LA LOMA")</f>
        <v>CENTRO DE SALUD LA LOMA</v>
      </c>
      <c r="C1990" s="30" t="str">
        <f ca="1">IFERROR(__xludf.DUMMYFUNCTION("""COMPUTED_VALUE"""),"Buenos Aires")</f>
        <v>Buenos Aires</v>
      </c>
      <c r="D1990" s="30" t="str">
        <f ca="1">IFERROR(__xludf.DUMMYFUNCTION("""COMPUTED_VALUE"""),"6")</f>
        <v>6</v>
      </c>
      <c r="E1990" s="30" t="str">
        <f ca="1">IFERROR(__xludf.DUMMYFUNCTION("""COMPUTED_VALUE"""),"")</f>
        <v/>
      </c>
      <c r="F1990" s="29"/>
      <c r="G1990" s="29"/>
      <c r="H1990" s="30" t="str">
        <f ca="1">IFERROR(__xludf.DUMMYFUNCTION("""COMPUTED_VALUE"""),"activo")</f>
        <v>activo</v>
      </c>
      <c r="I1990" s="30" t="str">
        <f ca="1">IFERROR(__xludf.DUMMYFUNCTION("""COMPUTED_VALUE"""),"Codigo interno que remplaza a al REFES 50064972201255 porque hay dos efectores con ese mismo REFES, en SISA aparece el que es de LUAN pero la provincia se referia en realidad al que pertenece a Pilar")</f>
        <v>Codigo interno que remplaza a al REFES 50064972201255 porque hay dos efectores con ese mismo REFES, en SISA aparece el que es de LUAN pero la provincia se referia en realidad al que pertenece a Pilar</v>
      </c>
      <c r="J1990" s="29"/>
      <c r="K1990" s="29"/>
      <c r="L1990" s="30" t="str">
        <f ca="1">IFERROR(__xludf.DUMMYFUNCTION("""COMPUTED_VALUE"""),"No")</f>
        <v>No</v>
      </c>
      <c r="M1990" s="30" t="str">
        <f ca="1">IFERROR(__xludf.DUMMYFUNCTION("""COMPUTED_VALUE"""),"#N/A")</f>
        <v>#N/A</v>
      </c>
      <c r="N1990" s="30" t="str">
        <f ca="1">IFERROR(__xludf.DUMMYFUNCTION("""COMPUTED_VALUE"""),"PILAR")</f>
        <v>PILAR</v>
      </c>
      <c r="O1990" s="30" t="str">
        <f ca="1">IFERROR(__xludf.DUMMYFUNCTION("""COMPUTED_VALUE"""),"6638")</f>
        <v>6638</v>
      </c>
      <c r="P1990" s="30" t="str">
        <f ca="1">IFERROR(__xludf.DUMMYFUNCTION("""COMPUTED_VALUE"""),"PILAR")</f>
        <v>PILAR</v>
      </c>
      <c r="Q1990" s="30" t="str">
        <f ca="1">IFERROR(__xludf.DUMMYFUNCTION("""COMPUTED_VALUE"""),"#N/A")</f>
        <v>#N/A</v>
      </c>
      <c r="R1990" s="30" t="str">
        <f ca="1">IFERROR(__xludf.DUMMYFUNCTION("""COMPUTED_VALUE"""),"#N/A")</f>
        <v>#N/A</v>
      </c>
      <c r="S1990" s="30" t="str">
        <f ca="1">IFERROR(__xludf.DUMMYFUNCTION("""COMPUTED_VALUE"""),"#N/A")</f>
        <v>#N/A</v>
      </c>
      <c r="T1990" s="29"/>
    </row>
    <row r="1991" spans="1:20" ht="15.75" customHeight="1" x14ac:dyDescent="0.25">
      <c r="A1991" s="30" t="str">
        <f ca="1">IFERROR(__xludf.DUMMYFUNCTION("""COMPUTED_VALUE"""),"50062702402020")</f>
        <v>50062702402020</v>
      </c>
      <c r="B1991" s="30" t="str">
        <f ca="1">IFERROR(__xludf.DUMMYFUNCTION("""COMPUTED_VALUE"""),"UNIDAD 19 COLONIA PENAL DE EZEIZA")</f>
        <v>UNIDAD 19 COLONIA PENAL DE EZEIZA</v>
      </c>
      <c r="C1991" s="30" t="str">
        <f ca="1">IFERROR(__xludf.DUMMYFUNCTION("""COMPUTED_VALUE"""),"Buenos Aires")</f>
        <v>Buenos Aires</v>
      </c>
      <c r="D1991" s="30" t="str">
        <f ca="1">IFERROR(__xludf.DUMMYFUNCTION("""COMPUTED_VALUE"""),"6")</f>
        <v>6</v>
      </c>
      <c r="E1991" s="30" t="str">
        <f ca="1">IFERROR(__xludf.DUMMYFUNCTION("""COMPUTED_VALUE"""),"")</f>
        <v/>
      </c>
      <c r="F1991" s="29"/>
      <c r="G1991" s="29"/>
      <c r="H1991" s="30" t="str">
        <f ca="1">IFERROR(__xludf.DUMMYFUNCTION("""COMPUTED_VALUE"""),"activo")</f>
        <v>activo</v>
      </c>
      <c r="I1991" s="30" t="str">
        <f ca="1">IFERROR(__xludf.DUMMYFUNCTION("""COMPUTED_VALUE"""),"se dio de alta durante la adenda al CAI 2020. Es el mismo efector 50062702201065. Solo se actualizó su codigo refes")</f>
        <v>se dio de alta durante la adenda al CAI 2020. Es el mismo efector 50062702201065. Solo se actualizó su codigo refes</v>
      </c>
      <c r="J1991" s="29"/>
      <c r="K1991" s="29"/>
      <c r="L1991" s="29"/>
      <c r="M1991" s="30" t="str">
        <f ca="1">IFERROR(__xludf.DUMMYFUNCTION("""COMPUTED_VALUE"""),"6270010004")</f>
        <v>6270010004</v>
      </c>
      <c r="N1991" s="30" t="str">
        <f ca="1">IFERROR(__xludf.DUMMYFUNCTION("""COMPUTED_VALUE"""),"JOSE MARIA EZEIZA")</f>
        <v>JOSE MARIA EZEIZA</v>
      </c>
      <c r="O1991" s="30" t="str">
        <f ca="1">IFERROR(__xludf.DUMMYFUNCTION("""COMPUTED_VALUE"""),"6270")</f>
        <v>6270</v>
      </c>
      <c r="P1991" s="30" t="str">
        <f ca="1">IFERROR(__xludf.DUMMYFUNCTION("""COMPUTED_VALUE"""),"EZEIZA")</f>
        <v>EZEIZA</v>
      </c>
      <c r="Q1991" s="30" t="str">
        <f ca="1">IFERROR(__xludf.DUMMYFUNCTION("""COMPUTED_VALUE"""),"-34.84325367")</f>
        <v>-34.84325367</v>
      </c>
      <c r="R1991" s="30" t="str">
        <f ca="1">IFERROR(__xludf.DUMMYFUNCTION("""COMPUTED_VALUE"""),"-58.54391098")</f>
        <v>-58.54391098</v>
      </c>
      <c r="S1991" s="30" t="str">
        <f ca="1">IFERROR(__xludf.DUMMYFUNCTION("""COMPUTED_VALUE"""),"Servicio Penitenciario Federal")</f>
        <v>Servicio Penitenciario Federal</v>
      </c>
      <c r="T1991" s="30" t="str">
        <f ca="1">IFERROR(__xludf.DUMMYFUNCTION("""COMPUTED_VALUE"""),"-")</f>
        <v>-</v>
      </c>
    </row>
    <row r="1992" spans="1:20" ht="15.75" customHeight="1" x14ac:dyDescent="0.25">
      <c r="A1992" s="30" t="str">
        <f ca="1">IFERROR(__xludf.DUMMYFUNCTION("""COMPUTED_VALUE"""),"50064412201271")</f>
        <v>50064412201271</v>
      </c>
      <c r="B1992" s="30" t="str">
        <f ca="1">IFERROR(__xludf.DUMMYFUNCTION("""COMPUTED_VALUE"""),"CENTRO DE SALUD N° 1 DE LA PLATA")</f>
        <v>CENTRO DE SALUD N° 1 DE LA PLATA</v>
      </c>
      <c r="C1992" s="30" t="str">
        <f ca="1">IFERROR(__xludf.DUMMYFUNCTION("""COMPUTED_VALUE"""),"Buenos Aires")</f>
        <v>Buenos Aires</v>
      </c>
      <c r="D1992" s="30" t="str">
        <f ca="1">IFERROR(__xludf.DUMMYFUNCTION("""COMPUTED_VALUE"""),"6")</f>
        <v>6</v>
      </c>
      <c r="E1992" s="30" t="str">
        <f ca="1">IFERROR(__xludf.DUMMYFUNCTION("""COMPUTED_VALUE"""),"")</f>
        <v/>
      </c>
      <c r="F1992" s="29"/>
      <c r="G1992" s="29"/>
      <c r="H1992" s="30" t="str">
        <f ca="1">IFERROR(__xludf.DUMMYFUNCTION("""COMPUTED_VALUE"""),"activo")</f>
        <v>activo</v>
      </c>
      <c r="I1992" s="30" t="str">
        <f ca="1">IFERROR(__xludf.DUMMYFUNCTION("""COMPUTED_VALUE"""),"se dio de alta durante la adenda al CAI 2020. Es el mismo efector 50064412202466. Solo se actualizó su codigo refes")</f>
        <v>se dio de alta durante la adenda al CAI 2020. Es el mismo efector 50064412202466. Solo se actualizó su codigo refes</v>
      </c>
      <c r="J1992" s="29"/>
      <c r="K1992" s="29"/>
      <c r="L1992" s="29"/>
      <c r="M1992" s="30" t="str">
        <f ca="1">IFERROR(__xludf.DUMMYFUNCTION("""COMPUTED_VALUE"""),"6441030015")</f>
        <v>6441030015</v>
      </c>
      <c r="N1992" s="30" t="str">
        <f ca="1">IFERROR(__xludf.DUMMYFUNCTION("""COMPUTED_VALUE"""),"LA PLATA")</f>
        <v>LA PLATA</v>
      </c>
      <c r="O1992" s="30" t="str">
        <f ca="1">IFERROR(__xludf.DUMMYFUNCTION("""COMPUTED_VALUE"""),"6441")</f>
        <v>6441</v>
      </c>
      <c r="P1992" s="30" t="str">
        <f ca="1">IFERROR(__xludf.DUMMYFUNCTION("""COMPUTED_VALUE"""),"LA PLATA")</f>
        <v>LA PLATA</v>
      </c>
      <c r="Q1992" s="30" t="str">
        <f ca="1">IFERROR(__xludf.DUMMYFUNCTION("""COMPUTED_VALUE"""),"-34.95597112")</f>
        <v>-34.95597112</v>
      </c>
      <c r="R1992" s="30" t="str">
        <f ca="1">IFERROR(__xludf.DUMMYFUNCTION("""COMPUTED_VALUE"""),"-57.98098612")</f>
        <v>-57.98098612</v>
      </c>
      <c r="S1992" s="30" t="str">
        <f ca="1">IFERROR(__xludf.DUMMYFUNCTION("""COMPUTED_VALUE"""),"Municipal")</f>
        <v>Municipal</v>
      </c>
      <c r="T1992" s="30" t="str">
        <f ca="1">IFERROR(__xludf.DUMMYFUNCTION("""COMPUTED_VALUE"""),"LA PLATA")</f>
        <v>LA PLATA</v>
      </c>
    </row>
    <row r="1993" spans="1:20" ht="15.75" customHeight="1" x14ac:dyDescent="0.25">
      <c r="A1993" s="30" t="str">
        <f ca="1">IFERROR(__xludf.DUMMYFUNCTION("""COMPUTED_VALUE"""),"50064412201285")</f>
        <v>50064412201285</v>
      </c>
      <c r="B1993" s="30" t="str">
        <f ca="1">IFERROR(__xludf.DUMMYFUNCTION("""COMPUTED_VALUE"""),"CENTRO DE SALUD N° 18 DE LA PLATA")</f>
        <v>CENTRO DE SALUD N° 18 DE LA PLATA</v>
      </c>
      <c r="C1993" s="30" t="str">
        <f ca="1">IFERROR(__xludf.DUMMYFUNCTION("""COMPUTED_VALUE"""),"Buenos Aires")</f>
        <v>Buenos Aires</v>
      </c>
      <c r="D1993" s="30" t="str">
        <f ca="1">IFERROR(__xludf.DUMMYFUNCTION("""COMPUTED_VALUE"""),"6")</f>
        <v>6</v>
      </c>
      <c r="E1993" s="30" t="str">
        <f ca="1">IFERROR(__xludf.DUMMYFUNCTION("""COMPUTED_VALUE"""),"")</f>
        <v/>
      </c>
      <c r="F1993" s="29"/>
      <c r="G1993" s="29"/>
      <c r="H1993" s="30" t="str">
        <f ca="1">IFERROR(__xludf.DUMMYFUNCTION("""COMPUTED_VALUE"""),"activo")</f>
        <v>activo</v>
      </c>
      <c r="I1993" s="30" t="str">
        <f ca="1">IFERROR(__xludf.DUMMYFUNCTION("""COMPUTED_VALUE"""),"se dio de alta durante la adenda al CAI 2020. Es el mismo efector 50064412202536. Solo se actualizó su codigo refes")</f>
        <v>se dio de alta durante la adenda al CAI 2020. Es el mismo efector 50064412202536. Solo se actualizó su codigo refes</v>
      </c>
      <c r="J1993" s="29"/>
      <c r="K1993" s="29"/>
      <c r="L1993" s="29"/>
      <c r="M1993" s="30" t="str">
        <f ca="1">IFERROR(__xludf.DUMMYFUNCTION("""COMPUTED_VALUE"""),"6441030015")</f>
        <v>6441030015</v>
      </c>
      <c r="N1993" s="30" t="str">
        <f ca="1">IFERROR(__xludf.DUMMYFUNCTION("""COMPUTED_VALUE"""),"LA PLATA")</f>
        <v>LA PLATA</v>
      </c>
      <c r="O1993" s="30" t="str">
        <f ca="1">IFERROR(__xludf.DUMMYFUNCTION("""COMPUTED_VALUE"""),"6441")</f>
        <v>6441</v>
      </c>
      <c r="P1993" s="30" t="str">
        <f ca="1">IFERROR(__xludf.DUMMYFUNCTION("""COMPUTED_VALUE"""),"LA PLATA")</f>
        <v>LA PLATA</v>
      </c>
      <c r="Q1993" s="30" t="str">
        <f ca="1">IFERROR(__xludf.DUMMYFUNCTION("""COMPUTED_VALUE"""),"-34.98714028")</f>
        <v>-34.98714028</v>
      </c>
      <c r="R1993" s="30" t="str">
        <f ca="1">IFERROR(__xludf.DUMMYFUNCTION("""COMPUTED_VALUE"""),"-58.03715086")</f>
        <v>-58.03715086</v>
      </c>
      <c r="S1993" s="30" t="str">
        <f ca="1">IFERROR(__xludf.DUMMYFUNCTION("""COMPUTED_VALUE"""),"Municipal")</f>
        <v>Municipal</v>
      </c>
      <c r="T1993" s="30" t="str">
        <f ca="1">IFERROR(__xludf.DUMMYFUNCTION("""COMPUTED_VALUE"""),"LA PLATA")</f>
        <v>LA PLATA</v>
      </c>
    </row>
    <row r="1994" spans="1:20" ht="15.75" customHeight="1" x14ac:dyDescent="0.25">
      <c r="A1994" s="30" t="str">
        <f ca="1">IFERROR(__xludf.DUMMYFUNCTION("""COMPUTED_VALUE"""),"50065602202415")</f>
        <v>50065602202415</v>
      </c>
      <c r="B1994" s="30" t="str">
        <f ca="1">IFERROR(__xludf.DUMMYFUNCTION("""COMPUTED_VALUE"""),"UNIDAD SANITARIA LOMAS DE MARILO DE MORENO")</f>
        <v>UNIDAD SANITARIA LOMAS DE MARILO DE MORENO</v>
      </c>
      <c r="C1994" s="30" t="str">
        <f ca="1">IFERROR(__xludf.DUMMYFUNCTION("""COMPUTED_VALUE"""),"Buenos Aires")</f>
        <v>Buenos Aires</v>
      </c>
      <c r="D1994" s="30" t="str">
        <f ca="1">IFERROR(__xludf.DUMMYFUNCTION("""COMPUTED_VALUE"""),"6")</f>
        <v>6</v>
      </c>
      <c r="E1994" s="30" t="str">
        <f ca="1">IFERROR(__xludf.DUMMYFUNCTION("""COMPUTED_VALUE"""),"")</f>
        <v/>
      </c>
      <c r="F1994" s="29"/>
      <c r="G1994" s="29"/>
      <c r="H1994" s="30" t="str">
        <f ca="1">IFERROR(__xludf.DUMMYFUNCTION("""COMPUTED_VALUE"""),"activo")</f>
        <v>activo</v>
      </c>
      <c r="I1994" s="30" t="str">
        <f ca="1">IFERROR(__xludf.DUMMYFUNCTION("""COMPUTED_VALUE"""),"Se dio de alta durante la adenda al CAI 2020. Es un nuevo efector que remplaza al 50065602202934")</f>
        <v>Se dio de alta durante la adenda al CAI 2020. Es un nuevo efector que remplaza al 50065602202934</v>
      </c>
      <c r="J1994" s="29"/>
      <c r="K1994" s="29"/>
      <c r="L1994" s="29"/>
      <c r="M1994" s="30" t="str">
        <f ca="1">IFERROR(__xludf.DUMMYFUNCTION("""COMPUTED_VALUE"""),"6560010004")</f>
        <v>6560010004</v>
      </c>
      <c r="N1994" s="30" t="str">
        <f ca="1">IFERROR(__xludf.DUMMYFUNCTION("""COMPUTED_VALUE"""),"MORENO")</f>
        <v>MORENO</v>
      </c>
      <c r="O1994" s="30" t="str">
        <f ca="1">IFERROR(__xludf.DUMMYFUNCTION("""COMPUTED_VALUE"""),"6560")</f>
        <v>6560</v>
      </c>
      <c r="P1994" s="30" t="str">
        <f ca="1">IFERROR(__xludf.DUMMYFUNCTION("""COMPUTED_VALUE"""),"MORENO")</f>
        <v>MORENO</v>
      </c>
      <c r="Q1994" s="30" t="str">
        <f ca="1">IFERROR(__xludf.DUMMYFUNCTION("""COMPUTED_VALUE"""),"-34.60679899")</f>
        <v>-34.60679899</v>
      </c>
      <c r="R1994" s="30" t="str">
        <f ca="1">IFERROR(__xludf.DUMMYFUNCTION("""COMPUTED_VALUE"""),"-58.73186731")</f>
        <v>-58.73186731</v>
      </c>
      <c r="S1994" s="30" t="str">
        <f ca="1">IFERROR(__xludf.DUMMYFUNCTION("""COMPUTED_VALUE"""),"Municipal")</f>
        <v>Municipal</v>
      </c>
      <c r="T1994" s="30" t="str">
        <f ca="1">IFERROR(__xludf.DUMMYFUNCTION("""COMPUTED_VALUE"""),"MORENO")</f>
        <v>MORENO</v>
      </c>
    </row>
    <row r="1995" spans="1:20" ht="15.75" customHeight="1" x14ac:dyDescent="0.25">
      <c r="A1995" s="30" t="str">
        <f ca="1">IFERROR(__xludf.DUMMYFUNCTION("""COMPUTED_VALUE"""),"50065602202347")</f>
        <v>50065602202347</v>
      </c>
      <c r="B1995" s="30" t="str">
        <f ca="1">IFERROR(__xludf.DUMMYFUNCTION("""COMPUTED_VALUE"""),"UNIDAD SANITARIA JOSE DE SAN MARTIN")</f>
        <v>UNIDAD SANITARIA JOSE DE SAN MARTIN</v>
      </c>
      <c r="C1995" s="30" t="str">
        <f ca="1">IFERROR(__xludf.DUMMYFUNCTION("""COMPUTED_VALUE"""),"Buenos Aires")</f>
        <v>Buenos Aires</v>
      </c>
      <c r="D1995" s="30" t="str">
        <f ca="1">IFERROR(__xludf.DUMMYFUNCTION("""COMPUTED_VALUE"""),"6")</f>
        <v>6</v>
      </c>
      <c r="E1995" s="30" t="str">
        <f ca="1">IFERROR(__xludf.DUMMYFUNCTION("""COMPUTED_VALUE"""),"")</f>
        <v/>
      </c>
      <c r="F1995" s="29"/>
      <c r="G1995" s="29"/>
      <c r="H1995" s="30" t="str">
        <f ca="1">IFERROR(__xludf.DUMMYFUNCTION("""COMPUTED_VALUE"""),"activo")</f>
        <v>activo</v>
      </c>
      <c r="I1995" s="30" t="str">
        <f ca="1">IFERROR(__xludf.DUMMYFUNCTION("""COMPUTED_VALUE"""),"Se dio de alta durante la adenda al CAI 2020. Es un nuevo efector que remplaza al 50065602202395")</f>
        <v>Se dio de alta durante la adenda al CAI 2020. Es un nuevo efector que remplaza al 50065602202395</v>
      </c>
      <c r="J1995" s="29"/>
      <c r="K1995" s="29"/>
      <c r="L1995" s="29"/>
      <c r="M1995" s="30" t="str">
        <f ca="1">IFERROR(__xludf.DUMMYFUNCTION("""COMPUTED_VALUE"""),"6560010004")</f>
        <v>6560010004</v>
      </c>
      <c r="N1995" s="30" t="str">
        <f ca="1">IFERROR(__xludf.DUMMYFUNCTION("""COMPUTED_VALUE"""),"MORENO")</f>
        <v>MORENO</v>
      </c>
      <c r="O1995" s="30" t="str">
        <f ca="1">IFERROR(__xludf.DUMMYFUNCTION("""COMPUTED_VALUE"""),"6560")</f>
        <v>6560</v>
      </c>
      <c r="P1995" s="30" t="str">
        <f ca="1">IFERROR(__xludf.DUMMYFUNCTION("""COMPUTED_VALUE"""),"MORENO")</f>
        <v>MORENO</v>
      </c>
      <c r="Q1995" s="30" t="str">
        <f ca="1">IFERROR(__xludf.DUMMYFUNCTION("""COMPUTED_VALUE"""),"-34.62577515")</f>
        <v>-34.62577515</v>
      </c>
      <c r="R1995" s="30" t="str">
        <f ca="1">IFERROR(__xludf.DUMMYFUNCTION("""COMPUTED_VALUE"""),"-58.79267246")</f>
        <v>-58.79267246</v>
      </c>
      <c r="S1995" s="30" t="str">
        <f ca="1">IFERROR(__xludf.DUMMYFUNCTION("""COMPUTED_VALUE"""),"Municipal")</f>
        <v>Municipal</v>
      </c>
      <c r="T1995" s="30" t="str">
        <f ca="1">IFERROR(__xludf.DUMMYFUNCTION("""COMPUTED_VALUE"""),"MORENO")</f>
        <v>MORENO</v>
      </c>
    </row>
    <row r="1996" spans="1:20" ht="15.75" customHeight="1" x14ac:dyDescent="0.25">
      <c r="A1996" s="30" t="str">
        <f ca="1">IFERROR(__xludf.DUMMYFUNCTION("""COMPUTED_VALUE"""),"10500282161184")</f>
        <v>10500282161184</v>
      </c>
      <c r="B1996" s="30" t="str">
        <f ca="1">IFERROR(__xludf.DUMMYFUNCTION("""COMPUTED_VALUE"""),"U.D.I. 246 PUENTE DE HIERRO.-")</f>
        <v>U.D.I. 246 PUENTE DE HIERRO.-</v>
      </c>
      <c r="C1996" s="30" t="str">
        <f ca="1">IFERROR(__xludf.DUMMYFUNCTION("""COMPUTED_VALUE"""),"Mendoza")</f>
        <v>Mendoza</v>
      </c>
      <c r="D1996" s="30" t="str">
        <f ca="1">IFERROR(__xludf.DUMMYFUNCTION("""COMPUTED_VALUE"""),"50")</f>
        <v>50</v>
      </c>
      <c r="E1996" s="30" t="str">
        <f ca="1">IFERROR(__xludf.DUMMYFUNCTION("""COMPUTED_VALUE"""),"si")</f>
        <v>si</v>
      </c>
      <c r="F1996" s="29"/>
      <c r="G1996" s="29"/>
      <c r="H1996" s="30" t="str">
        <f ca="1">IFERROR(__xludf.DUMMYFUNCTION("""COMPUTED_VALUE"""),"activo")</f>
        <v>activo</v>
      </c>
      <c r="I1996" s="30" t="str">
        <f ca="1">IFERROR(__xludf.DUMMYFUNCTION("""COMPUTED_VALUE"""),"se dio de alta durante la adenda al CAI 2020. Es el mismo efector 50500282257377. Solo se actualizó su codigo refes")</f>
        <v>se dio de alta durante la adenda al CAI 2020. Es el mismo efector 50500282257377. Solo se actualizó su codigo refes</v>
      </c>
      <c r="J1996" s="29"/>
      <c r="K1996" s="29"/>
      <c r="L1996" s="29"/>
      <c r="M1996" s="30" t="str">
        <f ca="1">IFERROR(__xludf.DUMMYFUNCTION("""COMPUTED_VALUE"""),"50028050000")</f>
        <v>50028050000</v>
      </c>
      <c r="N1996" s="30" t="str">
        <f ca="1">IFERROR(__xludf.DUMMYFUNCTION("""COMPUTED_VALUE"""),"PUENTE DE HIERRO")</f>
        <v>PUENTE DE HIERRO</v>
      </c>
      <c r="O1996" s="30" t="str">
        <f ca="1">IFERROR(__xludf.DUMMYFUNCTION("""COMPUTED_VALUE"""),"5028")</f>
        <v>5028</v>
      </c>
      <c r="P1996" s="30" t="str">
        <f ca="1">IFERROR(__xludf.DUMMYFUNCTION("""COMPUTED_VALUE"""),"GUAYMALLÉN")</f>
        <v>GUAYMALLÉN</v>
      </c>
      <c r="Q1996" s="30"/>
      <c r="R1996" s="30"/>
      <c r="S1996" s="30" t="str">
        <f ca="1">IFERROR(__xludf.DUMMYFUNCTION("""COMPUTED_VALUE"""),"Provincial")</f>
        <v>Provincial</v>
      </c>
      <c r="T1996" s="30" t="str">
        <f ca="1">IFERROR(__xludf.DUMMYFUNCTION("""COMPUTED_VALUE"""),"-")</f>
        <v>-</v>
      </c>
    </row>
    <row r="1997" spans="1:20" ht="15.75" customHeight="1" x14ac:dyDescent="0.25">
      <c r="A1997" s="30" t="str">
        <f ca="1">IFERROR(__xludf.DUMMYFUNCTION("""COMPUTED_VALUE"""),"50340352147573")</f>
        <v>50340352147573</v>
      </c>
      <c r="B1997" s="30" t="str">
        <f ca="1">IFERROR(__xludf.DUMMYFUNCTION("""COMPUTED_VALUE"""),"CENTRO DE SALUD CAMPO DEL CIELO")</f>
        <v>CENTRO DE SALUD CAMPO DEL CIELO</v>
      </c>
      <c r="C1997" s="30" t="str">
        <f ca="1">IFERROR(__xludf.DUMMYFUNCTION("""COMPUTED_VALUE"""),"Formosa")</f>
        <v>Formosa</v>
      </c>
      <c r="D1997" s="30" t="str">
        <f ca="1">IFERROR(__xludf.DUMMYFUNCTION("""COMPUTED_VALUE"""),"34")</f>
        <v>34</v>
      </c>
      <c r="E1997" s="30" t="str">
        <f ca="1">IFERROR(__xludf.DUMMYFUNCTION("""COMPUTED_VALUE"""),"si")</f>
        <v>si</v>
      </c>
      <c r="F1997" s="29"/>
      <c r="G1997" s="29"/>
      <c r="H1997" s="30" t="str">
        <f ca="1">IFERROR(__xludf.DUMMYFUNCTION("""COMPUTED_VALUE"""),"activo")</f>
        <v>activo</v>
      </c>
      <c r="I1997" s="30" t="str">
        <f ca="1">IFERROR(__xludf.DUMMYFUNCTION("""COMPUTED_VALUE"""),"Se dio de alta por mail 26/01/2020. Es un nuevo efector que remplaza al 50340352147553")</f>
        <v>Se dio de alta por mail 26/01/2020. Es un nuevo efector que remplaza al 50340352147553</v>
      </c>
      <c r="J1997" s="29"/>
      <c r="K1997" s="29"/>
      <c r="L1997" s="29"/>
      <c r="M1997" s="30" t="str">
        <f ca="1">IFERROR(__xludf.DUMMYFUNCTION("""COMPUTED_VALUE"""),"34035100000")</f>
        <v>34035100000</v>
      </c>
      <c r="N1997" s="30" t="str">
        <f ca="1">IFERROR(__xludf.DUMMYFUNCTION("""COMPUTED_VALUE"""),"LAS LOMITAS")</f>
        <v>LAS LOMITAS</v>
      </c>
      <c r="O1997" s="30" t="str">
        <f ca="1">IFERROR(__xludf.DUMMYFUNCTION("""COMPUTED_VALUE"""),"3435")</f>
        <v>3435</v>
      </c>
      <c r="P1997" s="30" t="str">
        <f ca="1">IFERROR(__xludf.DUMMYFUNCTION("""COMPUTED_VALUE"""),"PATIÑO")</f>
        <v>PATIÑO</v>
      </c>
      <c r="Q1997" s="30" t="str">
        <f ca="1">IFERROR(__xludf.DUMMYFUNCTION("""COMPUTED_VALUE"""),"-24.70434209")</f>
        <v>-24.70434209</v>
      </c>
      <c r="R1997" s="30" t="str">
        <f ca="1">IFERROR(__xludf.DUMMYFUNCTION("""COMPUTED_VALUE"""),"-60.60071468")</f>
        <v>-60.60071468</v>
      </c>
      <c r="S1997" s="30" t="str">
        <f ca="1">IFERROR(__xludf.DUMMYFUNCTION("""COMPUTED_VALUE"""),"Provincial")</f>
        <v>Provincial</v>
      </c>
      <c r="T1997" s="30" t="str">
        <f ca="1">IFERROR(__xludf.DUMMYFUNCTION("""COMPUTED_VALUE"""),"-")</f>
        <v>-</v>
      </c>
    </row>
    <row r="1998" spans="1:20" ht="15.75" customHeight="1" x14ac:dyDescent="0.25">
      <c r="A1998" s="30" t="str">
        <f ca="1">IFERROR(__xludf.DUMMYFUNCTION("""COMPUTED_VALUE"""),"10260982129026")</f>
        <v>10260982129026</v>
      </c>
      <c r="B1998" s="30" t="str">
        <f ca="1">IFERROR(__xludf.DUMMYFUNCTION("""COMPUTED_VALUE"""),"HOSPITAL RURAL JOSE DE SAN MARTIN")</f>
        <v>HOSPITAL RURAL JOSE DE SAN MARTIN</v>
      </c>
      <c r="C1998" s="30" t="str">
        <f ca="1">IFERROR(__xludf.DUMMYFUNCTION("""COMPUTED_VALUE"""),"Chubut")</f>
        <v>Chubut</v>
      </c>
      <c r="D1998" s="30" t="str">
        <f ca="1">IFERROR(__xludf.DUMMYFUNCTION("""COMPUTED_VALUE"""),"26")</f>
        <v>26</v>
      </c>
      <c r="E1998" s="30" t="str">
        <f ca="1">IFERROR(__xludf.DUMMYFUNCTION("""COMPUTED_VALUE"""),"")</f>
        <v/>
      </c>
      <c r="F1998" s="29"/>
      <c r="G1998" s="29"/>
      <c r="H1998" s="30" t="str">
        <f ca="1">IFERROR(__xludf.DUMMYFUNCTION("""COMPUTED_VALUE"""),"activo")</f>
        <v>activo</v>
      </c>
      <c r="I1998" s="30" t="str">
        <f ca="1">IFERROR(__xludf.DUMMYFUNCTION("""COMPUTED_VALUE"""),"se dio de alta el 25/02/2021 segun nota de Chubut")</f>
        <v>se dio de alta el 25/02/2021 segun nota de Chubut</v>
      </c>
      <c r="J1998" s="29"/>
      <c r="K1998" s="29"/>
      <c r="L1998" s="29"/>
      <c r="M1998" s="30" t="str">
        <f ca="1">IFERROR(__xludf.DUMMYFUNCTION("""COMPUTED_VALUE"""),"26098030000")</f>
        <v>26098030000</v>
      </c>
      <c r="N1998" s="30" t="str">
        <f ca="1">IFERROR(__xludf.DUMMYFUNCTION("""COMPUTED_VALUE"""),"JOSE DE SAN MARTIN")</f>
        <v>JOSE DE SAN MARTIN</v>
      </c>
      <c r="O1998" s="30" t="str">
        <f ca="1">IFERROR(__xludf.DUMMYFUNCTION("""COMPUTED_VALUE"""),"2698")</f>
        <v>2698</v>
      </c>
      <c r="P1998" s="30" t="str">
        <f ca="1">IFERROR(__xludf.DUMMYFUNCTION("""COMPUTED_VALUE"""),"TEHUELCHES")</f>
        <v>TEHUELCHES</v>
      </c>
      <c r="Q1998" s="30" t="str">
        <f ca="1">IFERROR(__xludf.DUMMYFUNCTION("""COMPUTED_VALUE"""),"-44.03294003")</f>
        <v>-44.03294003</v>
      </c>
      <c r="R1998" s="30" t="str">
        <f ca="1">IFERROR(__xludf.DUMMYFUNCTION("""COMPUTED_VALUE"""),"-70.48271585")</f>
        <v>-70.48271585</v>
      </c>
      <c r="S1998" s="30" t="str">
        <f ca="1">IFERROR(__xludf.DUMMYFUNCTION("""COMPUTED_VALUE"""),"Provincial")</f>
        <v>Provincial</v>
      </c>
      <c r="T1998" s="30" t="str">
        <f ca="1">IFERROR(__xludf.DUMMYFUNCTION("""COMPUTED_VALUE"""),"-")</f>
        <v>-</v>
      </c>
    </row>
    <row r="1999" spans="1:20" ht="15.75" customHeight="1" x14ac:dyDescent="0.25">
      <c r="A1999" s="30" t="str">
        <f ca="1">IFERROR(__xludf.DUMMYFUNCTION("""COMPUTED_VALUE"""),"10261052129036")</f>
        <v>10261052129036</v>
      </c>
      <c r="B1999" s="30" t="str">
        <f ca="1">IFERROR(__xludf.DUMMYFUNCTION("""COMPUTED_VALUE"""),"HOSPITAL RURAL TELSEN")</f>
        <v>HOSPITAL RURAL TELSEN</v>
      </c>
      <c r="C1999" s="30" t="str">
        <f ca="1">IFERROR(__xludf.DUMMYFUNCTION("""COMPUTED_VALUE"""),"Chubut")</f>
        <v>Chubut</v>
      </c>
      <c r="D1999" s="30" t="str">
        <f ca="1">IFERROR(__xludf.DUMMYFUNCTION("""COMPUTED_VALUE"""),"26")</f>
        <v>26</v>
      </c>
      <c r="E1999" s="30" t="str">
        <f ca="1">IFERROR(__xludf.DUMMYFUNCTION("""COMPUTED_VALUE"""),"")</f>
        <v/>
      </c>
      <c r="F1999" s="29"/>
      <c r="G1999" s="29"/>
      <c r="H1999" s="30" t="str">
        <f ca="1">IFERROR(__xludf.DUMMYFUNCTION("""COMPUTED_VALUE"""),"activo")</f>
        <v>activo</v>
      </c>
      <c r="I1999" s="30" t="str">
        <f ca="1">IFERROR(__xludf.DUMMYFUNCTION("""COMPUTED_VALUE"""),"se dio de alta el 25/02/2021 segun nota de Chubut")</f>
        <v>se dio de alta el 25/02/2021 segun nota de Chubut</v>
      </c>
      <c r="J1999" s="29"/>
      <c r="K1999" s="29"/>
      <c r="L1999" s="29"/>
      <c r="M1999" s="30" t="str">
        <f ca="1">IFERROR(__xludf.DUMMYFUNCTION("""COMPUTED_VALUE"""),"26105020000")</f>
        <v>26105020000</v>
      </c>
      <c r="N1999" s="30" t="str">
        <f ca="1">IFERROR(__xludf.DUMMYFUNCTION("""COMPUTED_VALUE"""),"TELSEN")</f>
        <v>TELSEN</v>
      </c>
      <c r="O1999" s="30" t="str">
        <f ca="1">IFERROR(__xludf.DUMMYFUNCTION("""COMPUTED_VALUE"""),"26105")</f>
        <v>26105</v>
      </c>
      <c r="P1999" s="30" t="str">
        <f ca="1">IFERROR(__xludf.DUMMYFUNCTION("""COMPUTED_VALUE"""),"TELSEN")</f>
        <v>TELSEN</v>
      </c>
      <c r="Q1999" s="30" t="str">
        <f ca="1">IFERROR(__xludf.DUMMYFUNCTION("""COMPUTED_VALUE"""),"-42.4356645")</f>
        <v>-42.4356645</v>
      </c>
      <c r="R1999" s="30" t="str">
        <f ca="1">IFERROR(__xludf.DUMMYFUNCTION("""COMPUTED_VALUE"""),"-66.94358253")</f>
        <v>-66.94358253</v>
      </c>
      <c r="S1999" s="30" t="str">
        <f ca="1">IFERROR(__xludf.DUMMYFUNCTION("""COMPUTED_VALUE"""),"Provincial")</f>
        <v>Provincial</v>
      </c>
      <c r="T1999" s="30" t="str">
        <f ca="1">IFERROR(__xludf.DUMMYFUNCTION("""COMPUTED_VALUE"""),"-")</f>
        <v>-</v>
      </c>
    </row>
    <row r="2000" spans="1:20" ht="15.75" customHeight="1" x14ac:dyDescent="0.25">
      <c r="A2000" s="30" t="str">
        <f ca="1">IFERROR(__xludf.DUMMYFUNCTION("""COMPUTED_VALUE"""),"10260702129030")</f>
        <v>10260702129030</v>
      </c>
      <c r="B2000" s="30" t="str">
        <f ca="1">IFERROR(__xludf.DUMMYFUNCTION("""COMPUTED_VALUE"""),"HOSPITAL RURAL PASO DE INDIOS")</f>
        <v>HOSPITAL RURAL PASO DE INDIOS</v>
      </c>
      <c r="C2000" s="30" t="str">
        <f ca="1">IFERROR(__xludf.DUMMYFUNCTION("""COMPUTED_VALUE"""),"Chubut")</f>
        <v>Chubut</v>
      </c>
      <c r="D2000" s="30" t="str">
        <f ca="1">IFERROR(__xludf.DUMMYFUNCTION("""COMPUTED_VALUE"""),"26")</f>
        <v>26</v>
      </c>
      <c r="E2000" s="30" t="str">
        <f ca="1">IFERROR(__xludf.DUMMYFUNCTION("""COMPUTED_VALUE"""),"")</f>
        <v/>
      </c>
      <c r="F2000" s="29"/>
      <c r="G2000" s="29"/>
      <c r="H2000" s="30" t="str">
        <f ca="1">IFERROR(__xludf.DUMMYFUNCTION("""COMPUTED_VALUE"""),"activo")</f>
        <v>activo</v>
      </c>
      <c r="I2000" s="30" t="str">
        <f ca="1">IFERROR(__xludf.DUMMYFUNCTION("""COMPUTED_VALUE"""),"se dio de alta el 25/02/2021 segun nota de Chubut")</f>
        <v>se dio de alta el 25/02/2021 segun nota de Chubut</v>
      </c>
      <c r="J2000" s="29"/>
      <c r="K2000" s="29"/>
      <c r="L2000" s="29"/>
      <c r="M2000" s="30" t="str">
        <f ca="1">IFERROR(__xludf.DUMMYFUNCTION("""COMPUTED_VALUE"""),"26070030000")</f>
        <v>26070030000</v>
      </c>
      <c r="N2000" s="30" t="str">
        <f ca="1">IFERROR(__xludf.DUMMYFUNCTION("""COMPUTED_VALUE"""),"PASO DE INDIOS")</f>
        <v>PASO DE INDIOS</v>
      </c>
      <c r="O2000" s="30" t="str">
        <f ca="1">IFERROR(__xludf.DUMMYFUNCTION("""COMPUTED_VALUE"""),"2670")</f>
        <v>2670</v>
      </c>
      <c r="P2000" s="30" t="str">
        <f ca="1">IFERROR(__xludf.DUMMYFUNCTION("""COMPUTED_VALUE"""),"PASO DE INDIOS")</f>
        <v>PASO DE INDIOS</v>
      </c>
      <c r="Q2000" s="30" t="str">
        <f ca="1">IFERROR(__xludf.DUMMYFUNCTION("""COMPUTED_VALUE"""),"-43.8641138")</f>
        <v>-43.8641138</v>
      </c>
      <c r="R2000" s="30" t="str">
        <f ca="1">IFERROR(__xludf.DUMMYFUNCTION("""COMPUTED_VALUE"""),"-69.0462604")</f>
        <v>-69.0462604</v>
      </c>
      <c r="S2000" s="30" t="str">
        <f ca="1">IFERROR(__xludf.DUMMYFUNCTION("""COMPUTED_VALUE"""),"Provincial")</f>
        <v>Provincial</v>
      </c>
      <c r="T2000" s="30" t="str">
        <f ca="1">IFERROR(__xludf.DUMMYFUNCTION("""COMPUTED_VALUE"""),"-")</f>
        <v>-</v>
      </c>
    </row>
    <row r="2001" spans="1:20" ht="15.75" customHeight="1" x14ac:dyDescent="0.25">
      <c r="A2001" s="30" t="str">
        <f ca="1">IFERROR(__xludf.DUMMYFUNCTION("""COMPUTED_VALUE"""),"10260632129028")</f>
        <v>10260632129028</v>
      </c>
      <c r="B2001" s="30" t="str">
        <f ca="1">IFERROR(__xludf.DUMMYFUNCTION("""COMPUTED_VALUE"""),"HOSPITAL RURAL LAS PLUMAS")</f>
        <v>HOSPITAL RURAL LAS PLUMAS</v>
      </c>
      <c r="C2001" s="30" t="str">
        <f ca="1">IFERROR(__xludf.DUMMYFUNCTION("""COMPUTED_VALUE"""),"Chubut")</f>
        <v>Chubut</v>
      </c>
      <c r="D2001" s="30" t="str">
        <f ca="1">IFERROR(__xludf.DUMMYFUNCTION("""COMPUTED_VALUE"""),"26")</f>
        <v>26</v>
      </c>
      <c r="E2001" s="30" t="str">
        <f ca="1">IFERROR(__xludf.DUMMYFUNCTION("""COMPUTED_VALUE"""),"")</f>
        <v/>
      </c>
      <c r="F2001" s="29"/>
      <c r="G2001" s="29"/>
      <c r="H2001" s="30" t="str">
        <f ca="1">IFERROR(__xludf.DUMMYFUNCTION("""COMPUTED_VALUE"""),"activo")</f>
        <v>activo</v>
      </c>
      <c r="I2001" s="30" t="str">
        <f ca="1">IFERROR(__xludf.DUMMYFUNCTION("""COMPUTED_VALUE"""),"se dio de alta el 25/02/2021 segun nota de Chubut")</f>
        <v>se dio de alta el 25/02/2021 segun nota de Chubut</v>
      </c>
      <c r="J2001" s="29"/>
      <c r="K2001" s="29"/>
      <c r="L2001" s="29"/>
      <c r="M2001" s="30" t="str">
        <f ca="1">IFERROR(__xludf.DUMMYFUNCTION("""COMPUTED_VALUE"""),"26063020000")</f>
        <v>26063020000</v>
      </c>
      <c r="N2001" s="30" t="str">
        <f ca="1">IFERROR(__xludf.DUMMYFUNCTION("""COMPUTED_VALUE"""),"LAS PLUMAS")</f>
        <v>LAS PLUMAS</v>
      </c>
      <c r="O2001" s="30" t="str">
        <f ca="1">IFERROR(__xludf.DUMMYFUNCTION("""COMPUTED_VALUE"""),"2663")</f>
        <v>2663</v>
      </c>
      <c r="P2001" s="30" t="str">
        <f ca="1">IFERROR(__xludf.DUMMYFUNCTION("""COMPUTED_VALUE"""),"MÁRTIRES")</f>
        <v>MÁRTIRES</v>
      </c>
      <c r="Q2001" s="30" t="str">
        <f ca="1">IFERROR(__xludf.DUMMYFUNCTION("""COMPUTED_VALUE"""),"-45.0416512")</f>
        <v>-45.0416512</v>
      </c>
      <c r="R2001" s="30" t="str">
        <f ca="1">IFERROR(__xludf.DUMMYFUNCTION("""COMPUTED_VALUE"""),"-70.8199707")</f>
        <v>-70.8199707</v>
      </c>
      <c r="S2001" s="30" t="str">
        <f ca="1">IFERROR(__xludf.DUMMYFUNCTION("""COMPUTED_VALUE"""),"Provincial")</f>
        <v>Provincial</v>
      </c>
      <c r="T2001" s="30" t="str">
        <f ca="1">IFERROR(__xludf.DUMMYFUNCTION("""COMPUTED_VALUE"""),"-")</f>
        <v>-</v>
      </c>
    </row>
    <row r="2002" spans="1:20" ht="15.75" customHeight="1" x14ac:dyDescent="0.25">
      <c r="A2002" s="30" t="str">
        <f ca="1">IFERROR(__xludf.DUMMYFUNCTION("""COMPUTED_VALUE"""),"10260282129013")</f>
        <v>10260282129013</v>
      </c>
      <c r="B2002" s="30" t="str">
        <f ca="1">IFERROR(__xludf.DUMMYFUNCTION("""COMPUTED_VALUE"""),"HOSPITAL RURAL CAMARONES")</f>
        <v>HOSPITAL RURAL CAMARONES</v>
      </c>
      <c r="C2002" s="30" t="str">
        <f ca="1">IFERROR(__xludf.DUMMYFUNCTION("""COMPUTED_VALUE"""),"Chubut")</f>
        <v>Chubut</v>
      </c>
      <c r="D2002" s="30" t="str">
        <f ca="1">IFERROR(__xludf.DUMMYFUNCTION("""COMPUTED_VALUE"""),"26")</f>
        <v>26</v>
      </c>
      <c r="E2002" s="30" t="str">
        <f ca="1">IFERROR(__xludf.DUMMYFUNCTION("""COMPUTED_VALUE"""),"")</f>
        <v/>
      </c>
      <c r="F2002" s="29"/>
      <c r="G2002" s="29"/>
      <c r="H2002" s="30" t="str">
        <f ca="1">IFERROR(__xludf.DUMMYFUNCTION("""COMPUTED_VALUE"""),"activo")</f>
        <v>activo</v>
      </c>
      <c r="I2002" s="30" t="str">
        <f ca="1">IFERROR(__xludf.DUMMYFUNCTION("""COMPUTED_VALUE"""),"se dio de alta el 25/02/2021 segun nota de Chubut")</f>
        <v>se dio de alta el 25/02/2021 segun nota de Chubut</v>
      </c>
      <c r="J2002" s="29"/>
      <c r="K2002" s="29"/>
      <c r="L2002" s="29"/>
      <c r="M2002" s="30" t="str">
        <f ca="1">IFERROR(__xludf.DUMMYFUNCTION("""COMPUTED_VALUE"""),"26028010000")</f>
        <v>26028010000</v>
      </c>
      <c r="N2002" s="30" t="str">
        <f ca="1">IFERROR(__xludf.DUMMYFUNCTION("""COMPUTED_VALUE"""),"CAMARONES")</f>
        <v>CAMARONES</v>
      </c>
      <c r="O2002" s="30" t="str">
        <f ca="1">IFERROR(__xludf.DUMMYFUNCTION("""COMPUTED_VALUE"""),"2628")</f>
        <v>2628</v>
      </c>
      <c r="P2002" s="30" t="str">
        <f ca="1">IFERROR(__xludf.DUMMYFUNCTION("""COMPUTED_VALUE"""),"FLORENTINO AMEGHINO")</f>
        <v>FLORENTINO AMEGHINO</v>
      </c>
      <c r="Q2002" s="30" t="str">
        <f ca="1">IFERROR(__xludf.DUMMYFUNCTION("""COMPUTED_VALUE"""),"-43.51668854")</f>
        <v>-43.51668854</v>
      </c>
      <c r="R2002" s="30" t="str">
        <f ca="1">IFERROR(__xludf.DUMMYFUNCTION("""COMPUTED_VALUE"""),"-65.56640625")</f>
        <v>-65.56640625</v>
      </c>
      <c r="S2002" s="30" t="str">
        <f ca="1">IFERROR(__xludf.DUMMYFUNCTION("""COMPUTED_VALUE"""),"Provincial")</f>
        <v>Provincial</v>
      </c>
      <c r="T2002" s="30" t="str">
        <f ca="1">IFERROR(__xludf.DUMMYFUNCTION("""COMPUTED_VALUE"""),"-")</f>
        <v>-</v>
      </c>
    </row>
    <row r="2003" spans="1:20" ht="15.75" customHeight="1" x14ac:dyDescent="0.25">
      <c r="A2003" s="30" t="str">
        <f ca="1">IFERROR(__xludf.DUMMYFUNCTION("""COMPUTED_VALUE"""),"50500282158910")</f>
        <v>50500282158910</v>
      </c>
      <c r="B2003" s="30" t="str">
        <f ca="1">IFERROR(__xludf.DUMMYFUNCTION("""COMPUTED_VALUE"""),"C.A.P.S. 214 BARRIO LIHUE.-")</f>
        <v>C.A.P.S. 214 BARRIO LIHUE.-</v>
      </c>
      <c r="C2003" s="30" t="str">
        <f ca="1">IFERROR(__xludf.DUMMYFUNCTION("""COMPUTED_VALUE"""),"Mendoza")</f>
        <v>Mendoza</v>
      </c>
      <c r="D2003" s="30" t="str">
        <f ca="1">IFERROR(__xludf.DUMMYFUNCTION("""COMPUTED_VALUE"""),"50")</f>
        <v>50</v>
      </c>
      <c r="E2003" s="30" t="str">
        <f ca="1">IFERROR(__xludf.DUMMYFUNCTION("""COMPUTED_VALUE"""),"si")</f>
        <v>si</v>
      </c>
      <c r="F2003" s="29"/>
      <c r="G2003" s="29"/>
      <c r="H2003" s="30" t="str">
        <f ca="1">IFERROR(__xludf.DUMMYFUNCTION("""COMPUTED_VALUE"""),"activo")</f>
        <v>activo</v>
      </c>
      <c r="I2003" s="30" t="str">
        <f ca="1">IFERROR(__xludf.DUMMYFUNCTION("""COMPUTED_VALUE"""),"se dio de alta el 15/03/2021 segun nota de Mendoza para el CAI 2021")</f>
        <v>se dio de alta el 15/03/2021 segun nota de Mendoza para el CAI 2021</v>
      </c>
      <c r="J2003" s="29"/>
      <c r="K2003" s="29"/>
      <c r="L2003" s="29"/>
      <c r="M2003" s="30" t="str">
        <f ca="1">IFERROR(__xludf.DUMMYFUNCTION("""COMPUTED_VALUE"""),"50028020006")</f>
        <v>50028020006</v>
      </c>
      <c r="N2003" s="30" t="str">
        <f ca="1">IFERROR(__xludf.DUMMYFUNCTION("""COMPUTED_VALUE"""),"GENERAL BELGRANO")</f>
        <v>GENERAL BELGRANO</v>
      </c>
      <c r="O2003" s="30" t="str">
        <f ca="1">IFERROR(__xludf.DUMMYFUNCTION("""COMPUTED_VALUE"""),"5028")</f>
        <v>5028</v>
      </c>
      <c r="P2003" s="30" t="str">
        <f ca="1">IFERROR(__xludf.DUMMYFUNCTION("""COMPUTED_VALUE"""),"GUAYMALLÉN")</f>
        <v>GUAYMALLÉN</v>
      </c>
      <c r="Q2003" s="30" t="str">
        <f ca="1">IFERROR(__xludf.DUMMYFUNCTION("""COMPUTED_VALUE"""),"-32.880499")</f>
        <v>-32.880499</v>
      </c>
      <c r="R2003" s="30" t="str">
        <f ca="1">IFERROR(__xludf.DUMMYFUNCTION("""COMPUTED_VALUE"""),"-68.8022471")</f>
        <v>-68.8022471</v>
      </c>
      <c r="S2003" s="30" t="str">
        <f ca="1">IFERROR(__xludf.DUMMYFUNCTION("""COMPUTED_VALUE"""),"Provincial")</f>
        <v>Provincial</v>
      </c>
      <c r="T2003" s="30" t="str">
        <f ca="1">IFERROR(__xludf.DUMMYFUNCTION("""COMPUTED_VALUE"""),"-")</f>
        <v>-</v>
      </c>
    </row>
    <row r="2004" spans="1:20" ht="15.75" customHeight="1" x14ac:dyDescent="0.25">
      <c r="A2004" s="30" t="str">
        <f ca="1">IFERROR(__xludf.DUMMYFUNCTION("""COMPUTED_VALUE"""),"50500492157278")</f>
        <v>50500492157278</v>
      </c>
      <c r="B2004" s="30" t="str">
        <f ca="1">IFERROR(__xludf.DUMMYFUNCTION("""COMPUTED_VALUE"""),"C.A.P.S. 234 BARRIO DORREGO.-")</f>
        <v>C.A.P.S. 234 BARRIO DORREGO.-</v>
      </c>
      <c r="C2004" s="30" t="str">
        <f ca="1">IFERROR(__xludf.DUMMYFUNCTION("""COMPUTED_VALUE"""),"Mendoza")</f>
        <v>Mendoza</v>
      </c>
      <c r="D2004" s="30" t="str">
        <f ca="1">IFERROR(__xludf.DUMMYFUNCTION("""COMPUTED_VALUE"""),"50")</f>
        <v>50</v>
      </c>
      <c r="E2004" s="30" t="str">
        <f ca="1">IFERROR(__xludf.DUMMYFUNCTION("""COMPUTED_VALUE"""),"")</f>
        <v/>
      </c>
      <c r="F2004" s="29"/>
      <c r="G2004" s="29"/>
      <c r="H2004" s="30" t="str">
        <f ca="1">IFERROR(__xludf.DUMMYFUNCTION("""COMPUTED_VALUE"""),"activo")</f>
        <v>activo</v>
      </c>
      <c r="I2004" s="30" t="str">
        <f ca="1">IFERROR(__xludf.DUMMYFUNCTION("""COMPUTED_VALUE"""),"se dio de alta el 15/03/2021 segun nota de Mendoza para el CAI 2021")</f>
        <v>se dio de alta el 15/03/2021 segun nota de Mendoza para el CAI 2021</v>
      </c>
      <c r="J2004" s="29"/>
      <c r="K2004" s="29"/>
      <c r="L2004" s="29"/>
      <c r="M2004" s="30" t="str">
        <f ca="1">IFERROR(__xludf.DUMMYFUNCTION("""COMPUTED_VALUE"""),"50049050008")</f>
        <v>50049050008</v>
      </c>
      <c r="N2004" s="30" t="str">
        <f ca="1">IFERROR(__xludf.DUMMYFUNCTION("""COMPUTED_VALUE"""),"EL RESGUARDO")</f>
        <v>EL RESGUARDO</v>
      </c>
      <c r="O2004" s="30" t="str">
        <f ca="1">IFERROR(__xludf.DUMMYFUNCTION("""COMPUTED_VALUE"""),"5049")</f>
        <v>5049</v>
      </c>
      <c r="P2004" s="30" t="str">
        <f ca="1">IFERROR(__xludf.DUMMYFUNCTION("""COMPUTED_VALUE"""),"LAS HERAS")</f>
        <v>LAS HERAS</v>
      </c>
      <c r="Q2004" s="30" t="str">
        <f ca="1">IFERROR(__xludf.DUMMYFUNCTION("""COMPUTED_VALUE"""),"-32.84883267")</f>
        <v>-32.84883267</v>
      </c>
      <c r="R2004" s="30" t="str">
        <f ca="1">IFERROR(__xludf.DUMMYFUNCTION("""COMPUTED_VALUE"""),"-68.81570623")</f>
        <v>-68.81570623</v>
      </c>
      <c r="S2004" s="30" t="str">
        <f ca="1">IFERROR(__xludf.DUMMYFUNCTION("""COMPUTED_VALUE"""),"Provincial")</f>
        <v>Provincial</v>
      </c>
      <c r="T2004" s="30" t="str">
        <f ca="1">IFERROR(__xludf.DUMMYFUNCTION("""COMPUTED_VALUE"""),"-")</f>
        <v>-</v>
      </c>
    </row>
    <row r="2005" spans="1:20" ht="15.75" customHeight="1" x14ac:dyDescent="0.25">
      <c r="A2005" s="30" t="str">
        <f ca="1">IFERROR(__xludf.DUMMYFUNCTION("""COMPUTED_VALUE"""),"50500212157281")</f>
        <v>50500212157281</v>
      </c>
      <c r="B2005" s="30" t="str">
        <f ca="1">IFERROR(__xludf.DUMMYFUNCTION("""COMPUTED_VALUE"""),"C.A.P.S. 029 VILLA JOVITA.-")</f>
        <v>C.A.P.S. 029 VILLA JOVITA.-</v>
      </c>
      <c r="C2005" s="30" t="str">
        <f ca="1">IFERROR(__xludf.DUMMYFUNCTION("""COMPUTED_VALUE"""),"Mendoza")</f>
        <v>Mendoza</v>
      </c>
      <c r="D2005" s="30" t="str">
        <f ca="1">IFERROR(__xludf.DUMMYFUNCTION("""COMPUTED_VALUE"""),"50")</f>
        <v>50</v>
      </c>
      <c r="E2005" s="30" t="str">
        <f ca="1">IFERROR(__xludf.DUMMYFUNCTION("""COMPUTED_VALUE"""),"")</f>
        <v/>
      </c>
      <c r="F2005" s="29"/>
      <c r="G2005" s="29"/>
      <c r="H2005" s="30" t="str">
        <f ca="1">IFERROR(__xludf.DUMMYFUNCTION("""COMPUTED_VALUE"""),"activo")</f>
        <v>activo</v>
      </c>
      <c r="I2005" s="30" t="str">
        <f ca="1">IFERROR(__xludf.DUMMYFUNCTION("""COMPUTED_VALUE"""),"se dio de alta el 15/03/2021 segun nota de Mendoza para el CAI 2021")</f>
        <v>se dio de alta el 15/03/2021 segun nota de Mendoza para el CAI 2021</v>
      </c>
      <c r="J2005" s="29"/>
      <c r="K2005" s="29"/>
      <c r="L2005" s="29"/>
      <c r="M2005" s="30" t="str">
        <f ca="1">IFERROR(__xludf.DUMMYFUNCTION("""COMPUTED_VALUE"""),"50021010001")</f>
        <v>50021010001</v>
      </c>
      <c r="N2005" s="30" t="str">
        <f ca="1">IFERROR(__xludf.DUMMYFUNCTION("""COMPUTED_VALUE"""),"GODOY CRUZ")</f>
        <v>GODOY CRUZ</v>
      </c>
      <c r="O2005" s="30" t="str">
        <f ca="1">IFERROR(__xludf.DUMMYFUNCTION("""COMPUTED_VALUE"""),"5021")</f>
        <v>5021</v>
      </c>
      <c r="P2005" s="30" t="str">
        <f ca="1">IFERROR(__xludf.DUMMYFUNCTION("""COMPUTED_VALUE"""),"GODOY CRUZ")</f>
        <v>GODOY CRUZ</v>
      </c>
      <c r="Q2005" s="30" t="str">
        <f ca="1">IFERROR(__xludf.DUMMYFUNCTION("""COMPUTED_VALUE"""),"-32.9066553")</f>
        <v>-32.9066553</v>
      </c>
      <c r="R2005" s="30" t="str">
        <f ca="1">IFERROR(__xludf.DUMMYFUNCTION("""COMPUTED_VALUE"""),"-68.8623745")</f>
        <v>-68.8623745</v>
      </c>
      <c r="S2005" s="30" t="str">
        <f ca="1">IFERROR(__xludf.DUMMYFUNCTION("""COMPUTED_VALUE"""),"Provincial")</f>
        <v>Provincial</v>
      </c>
      <c r="T2005" s="30" t="str">
        <f ca="1">IFERROR(__xludf.DUMMYFUNCTION("""COMPUTED_VALUE"""),"-")</f>
        <v>-</v>
      </c>
    </row>
    <row r="2006" spans="1:20" ht="15.75" customHeight="1" x14ac:dyDescent="0.25">
      <c r="A2006" s="30" t="str">
        <f ca="1">IFERROR(__xludf.DUMMYFUNCTION("""COMPUTED_VALUE"""),"50500772157999")</f>
        <v>50500772157999</v>
      </c>
      <c r="B2006" s="30" t="str">
        <f ca="1">IFERROR(__xludf.DUMMYFUNCTION("""COMPUTED_VALUE"""),"C.A.P.S. 225 BARRIO EL PAYEN.-")</f>
        <v>C.A.P.S. 225 BARRIO EL PAYEN.-</v>
      </c>
      <c r="C2006" s="30" t="str">
        <f ca="1">IFERROR(__xludf.DUMMYFUNCTION("""COMPUTED_VALUE"""),"Mendoza")</f>
        <v>Mendoza</v>
      </c>
      <c r="D2006" s="30" t="str">
        <f ca="1">IFERROR(__xludf.DUMMYFUNCTION("""COMPUTED_VALUE"""),"50")</f>
        <v>50</v>
      </c>
      <c r="E2006" s="30" t="str">
        <f ca="1">IFERROR(__xludf.DUMMYFUNCTION("""COMPUTED_VALUE"""),"si")</f>
        <v>si</v>
      </c>
      <c r="F2006" s="29"/>
      <c r="G2006" s="29"/>
      <c r="H2006" s="30" t="str">
        <f ca="1">IFERROR(__xludf.DUMMYFUNCTION("""COMPUTED_VALUE"""),"activo")</f>
        <v>activo</v>
      </c>
      <c r="I2006" s="30" t="str">
        <f ca="1">IFERROR(__xludf.DUMMYFUNCTION("""COMPUTED_VALUE"""),"se dio de alta el 15/03/2021 segun nota de Mendoza para el CAI 2021")</f>
        <v>se dio de alta el 15/03/2021 segun nota de Mendoza para el CAI 2021</v>
      </c>
      <c r="J2006" s="29"/>
      <c r="K2006" s="29"/>
      <c r="L2006" s="29"/>
      <c r="M2006" s="30" t="str">
        <f ca="1">IFERROR(__xludf.DUMMYFUNCTION("""COMPUTED_VALUE"""),"50077040000")</f>
        <v>50077040000</v>
      </c>
      <c r="N2006" s="30" t="str">
        <f ca="1">IFERROR(__xludf.DUMMYFUNCTION("""COMPUTED_VALUE"""),"MALARGUE")</f>
        <v>MALARGUE</v>
      </c>
      <c r="O2006" s="30" t="str">
        <f ca="1">IFERROR(__xludf.DUMMYFUNCTION("""COMPUTED_VALUE"""),"5077")</f>
        <v>5077</v>
      </c>
      <c r="P2006" s="30" t="str">
        <f ca="1">IFERROR(__xludf.DUMMYFUNCTION("""COMPUTED_VALUE"""),"MALARGÜE")</f>
        <v>MALARGÜE</v>
      </c>
      <c r="Q2006" s="30" t="str">
        <f ca="1">IFERROR(__xludf.DUMMYFUNCTION("""COMPUTED_VALUE"""),"-35.475462")</f>
        <v>-35.475462</v>
      </c>
      <c r="R2006" s="30" t="str">
        <f ca="1">IFERROR(__xludf.DUMMYFUNCTION("""COMPUTED_VALUE"""),"-69.567791")</f>
        <v>-69.567791</v>
      </c>
      <c r="S2006" s="30" t="str">
        <f ca="1">IFERROR(__xludf.DUMMYFUNCTION("""COMPUTED_VALUE"""),"Provincial")</f>
        <v>Provincial</v>
      </c>
      <c r="T2006" s="30" t="str">
        <f ca="1">IFERROR(__xludf.DUMMYFUNCTION("""COMPUTED_VALUE"""),"-")</f>
        <v>-</v>
      </c>
    </row>
    <row r="2007" spans="1:20" ht="15.75" customHeight="1" x14ac:dyDescent="0.25">
      <c r="A2007" s="30" t="str">
        <f ca="1">IFERROR(__xludf.DUMMYFUNCTION("""COMPUTED_VALUE"""),"50500772157993")</f>
        <v>50500772157993</v>
      </c>
      <c r="B2007" s="30" t="str">
        <f ca="1">IFERROR(__xludf.DUMMYFUNCTION("""COMPUTED_VALUE"""),"C.A.P.S. 132 BARDAS BLANCAS.-")</f>
        <v>C.A.P.S. 132 BARDAS BLANCAS.-</v>
      </c>
      <c r="C2007" s="30" t="str">
        <f ca="1">IFERROR(__xludf.DUMMYFUNCTION("""COMPUTED_VALUE"""),"Mendoza")</f>
        <v>Mendoza</v>
      </c>
      <c r="D2007" s="30" t="str">
        <f ca="1">IFERROR(__xludf.DUMMYFUNCTION("""COMPUTED_VALUE"""),"50")</f>
        <v>50</v>
      </c>
      <c r="E2007" s="30" t="str">
        <f ca="1">IFERROR(__xludf.DUMMYFUNCTION("""COMPUTED_VALUE"""),"")</f>
        <v/>
      </c>
      <c r="F2007" s="29"/>
      <c r="G2007" s="29"/>
      <c r="H2007" s="30" t="str">
        <f ca="1">IFERROR(__xludf.DUMMYFUNCTION("""COMPUTED_VALUE"""),"activo")</f>
        <v>activo</v>
      </c>
      <c r="I2007" s="30" t="str">
        <f ca="1">IFERROR(__xludf.DUMMYFUNCTION("""COMPUTED_VALUE"""),"se dio de alta el 15/03/2021 segun nota de Mendoza para el CAI 2021")</f>
        <v>se dio de alta el 15/03/2021 segun nota de Mendoza para el CAI 2021</v>
      </c>
      <c r="J2007" s="29"/>
      <c r="K2007" s="29"/>
      <c r="L2007" s="29"/>
      <c r="M2007" s="30" t="str">
        <f ca="1">IFERROR(__xludf.DUMMYFUNCTION("""COMPUTED_VALUE"""),"50077020")</f>
        <v>50077020</v>
      </c>
      <c r="N2007" s="30" t="str">
        <f ca="1">IFERROR(__xludf.DUMMYFUNCTION("""COMPUTED_VALUE"""),"BARDAS BLANCAS")</f>
        <v>BARDAS BLANCAS</v>
      </c>
      <c r="O2007" s="30" t="str">
        <f ca="1">IFERROR(__xludf.DUMMYFUNCTION("""COMPUTED_VALUE"""),"5077")</f>
        <v>5077</v>
      </c>
      <c r="P2007" s="30" t="str">
        <f ca="1">IFERROR(__xludf.DUMMYFUNCTION("""COMPUTED_VALUE"""),"MALARGÜE")</f>
        <v>MALARGÜE</v>
      </c>
      <c r="Q2007" s="30" t="str">
        <f ca="1">IFERROR(__xludf.DUMMYFUNCTION("""COMPUTED_VALUE"""),"-35.4843669")</f>
        <v>-35.4843669</v>
      </c>
      <c r="R2007" s="30" t="str">
        <f ca="1">IFERROR(__xludf.DUMMYFUNCTION("""COMPUTED_VALUE"""),"-69.5853258")</f>
        <v>-69.5853258</v>
      </c>
      <c r="S2007" s="30" t="str">
        <f ca="1">IFERROR(__xludf.DUMMYFUNCTION("""COMPUTED_VALUE"""),"Provincial")</f>
        <v>Provincial</v>
      </c>
      <c r="T2007" s="30" t="str">
        <f ca="1">IFERROR(__xludf.DUMMYFUNCTION("""COMPUTED_VALUE"""),"-")</f>
        <v>-</v>
      </c>
    </row>
    <row r="2008" spans="1:20" ht="15.75" customHeight="1" x14ac:dyDescent="0.25">
      <c r="A2008" s="30" t="str">
        <f ca="1">IFERROR(__xludf.DUMMYFUNCTION("""COMPUTED_VALUE"""),"50500772157189")</f>
        <v>50500772157189</v>
      </c>
      <c r="B2008" s="30" t="str">
        <f ca="1">IFERROR(__xludf.DUMMYFUNCTION("""COMPUTED_VALUE"""),"C.A.P.S. 126 AGUA ESCONDIDA.-")</f>
        <v>C.A.P.S. 126 AGUA ESCONDIDA.-</v>
      </c>
      <c r="C2008" s="30" t="str">
        <f ca="1">IFERROR(__xludf.DUMMYFUNCTION("""COMPUTED_VALUE"""),"Mendoza")</f>
        <v>Mendoza</v>
      </c>
      <c r="D2008" s="30" t="str">
        <f ca="1">IFERROR(__xludf.DUMMYFUNCTION("""COMPUTED_VALUE"""),"50")</f>
        <v>50</v>
      </c>
      <c r="E2008" s="30" t="str">
        <f ca="1">IFERROR(__xludf.DUMMYFUNCTION("""COMPUTED_VALUE"""),"si")</f>
        <v>si</v>
      </c>
      <c r="F2008" s="29"/>
      <c r="G2008" s="29"/>
      <c r="H2008" s="30" t="str">
        <f ca="1">IFERROR(__xludf.DUMMYFUNCTION("""COMPUTED_VALUE"""),"activo")</f>
        <v>activo</v>
      </c>
      <c r="I2008" s="30" t="str">
        <f ca="1">IFERROR(__xludf.DUMMYFUNCTION("""COMPUTED_VALUE"""),"se dio de alta el 15/03/2021 segun nota de Mendoza para el CAI 2021")</f>
        <v>se dio de alta el 15/03/2021 segun nota de Mendoza para el CAI 2021</v>
      </c>
      <c r="J2008" s="29"/>
      <c r="K2008" s="29"/>
      <c r="L2008" s="29"/>
      <c r="M2008" s="30" t="str">
        <f ca="1">IFERROR(__xludf.DUMMYFUNCTION("""COMPUTED_VALUE"""),"50077010000")</f>
        <v>50077010000</v>
      </c>
      <c r="N2008" s="30" t="str">
        <f ca="1">IFERROR(__xludf.DUMMYFUNCTION("""COMPUTED_VALUE"""),"AGUA ESCONDIDA")</f>
        <v>AGUA ESCONDIDA</v>
      </c>
      <c r="O2008" s="30" t="str">
        <f ca="1">IFERROR(__xludf.DUMMYFUNCTION("""COMPUTED_VALUE"""),"5077")</f>
        <v>5077</v>
      </c>
      <c r="P2008" s="30" t="str">
        <f ca="1">IFERROR(__xludf.DUMMYFUNCTION("""COMPUTED_VALUE"""),"MALARGÜE")</f>
        <v>MALARGÜE</v>
      </c>
      <c r="Q2008" s="30" t="str">
        <f ca="1">IFERROR(__xludf.DUMMYFUNCTION("""COMPUTED_VALUE"""),"-36.155245")</f>
        <v>-36.155245</v>
      </c>
      <c r="R2008" s="30" t="str">
        <f ca="1">IFERROR(__xludf.DUMMYFUNCTION("""COMPUTED_VALUE"""),"-68.300781")</f>
        <v>-68.300781</v>
      </c>
      <c r="S2008" s="30" t="str">
        <f ca="1">IFERROR(__xludf.DUMMYFUNCTION("""COMPUTED_VALUE"""),"Provincial")</f>
        <v>Provincial</v>
      </c>
      <c r="T2008" s="30" t="str">
        <f ca="1">IFERROR(__xludf.DUMMYFUNCTION("""COMPUTED_VALUE"""),"-")</f>
        <v>-</v>
      </c>
    </row>
    <row r="2009" spans="1:20" ht="15.75" customHeight="1" x14ac:dyDescent="0.25">
      <c r="A2009" s="30" t="str">
        <f ca="1">IFERROR(__xludf.DUMMYFUNCTION("""COMPUTED_VALUE"""),"50500772157096")</f>
        <v>50500772157096</v>
      </c>
      <c r="B2009" s="30" t="str">
        <f ca="1">IFERROR(__xludf.DUMMYFUNCTION("""COMPUTED_VALUE"""),"C.A.P.S. 177 FRANCISCO LUSKAR.-")</f>
        <v>C.A.P.S. 177 FRANCISCO LUSKAR.-</v>
      </c>
      <c r="C2009" s="30" t="str">
        <f ca="1">IFERROR(__xludf.DUMMYFUNCTION("""COMPUTED_VALUE"""),"Mendoza")</f>
        <v>Mendoza</v>
      </c>
      <c r="D2009" s="30" t="str">
        <f ca="1">IFERROR(__xludf.DUMMYFUNCTION("""COMPUTED_VALUE"""),"50")</f>
        <v>50</v>
      </c>
      <c r="E2009" s="30" t="str">
        <f ca="1">IFERROR(__xludf.DUMMYFUNCTION("""COMPUTED_VALUE"""),"si")</f>
        <v>si</v>
      </c>
      <c r="F2009" s="29"/>
      <c r="G2009" s="29"/>
      <c r="H2009" s="30" t="str">
        <f ca="1">IFERROR(__xludf.DUMMYFUNCTION("""COMPUTED_VALUE"""),"activo")</f>
        <v>activo</v>
      </c>
      <c r="I2009" s="30" t="str">
        <f ca="1">IFERROR(__xludf.DUMMYFUNCTION("""COMPUTED_VALUE"""),"se dio de alta el 15/03/2021 segun nota de Mendoza para el CAI 2021")</f>
        <v>se dio de alta el 15/03/2021 segun nota de Mendoza para el CAI 2021</v>
      </c>
      <c r="J2009" s="29"/>
      <c r="K2009" s="29"/>
      <c r="L2009" s="29"/>
      <c r="M2009" s="30" t="str">
        <f ca="1">IFERROR(__xludf.DUMMYFUNCTION("""COMPUTED_VALUE"""),"50077040000")</f>
        <v>50077040000</v>
      </c>
      <c r="N2009" s="30" t="str">
        <f ca="1">IFERROR(__xludf.DUMMYFUNCTION("""COMPUTED_VALUE"""),"MALARGUE")</f>
        <v>MALARGUE</v>
      </c>
      <c r="O2009" s="30" t="str">
        <f ca="1">IFERROR(__xludf.DUMMYFUNCTION("""COMPUTED_VALUE"""),"5077")</f>
        <v>5077</v>
      </c>
      <c r="P2009" s="30" t="str">
        <f ca="1">IFERROR(__xludf.DUMMYFUNCTION("""COMPUTED_VALUE"""),"MALARGÜE")</f>
        <v>MALARGÜE</v>
      </c>
      <c r="Q2009" s="30" t="str">
        <f ca="1">IFERROR(__xludf.DUMMYFUNCTION("""COMPUTED_VALUE"""),"-35.47181987")</f>
        <v>-35.47181987</v>
      </c>
      <c r="R2009" s="30" t="str">
        <f ca="1">IFERROR(__xludf.DUMMYFUNCTION("""COMPUTED_VALUE"""),"-69.58092213")</f>
        <v>-69.58092213</v>
      </c>
      <c r="S2009" s="30" t="str">
        <f ca="1">IFERROR(__xludf.DUMMYFUNCTION("""COMPUTED_VALUE"""),"Provincial")</f>
        <v>Provincial</v>
      </c>
      <c r="T2009" s="30" t="str">
        <f ca="1">IFERROR(__xludf.DUMMYFUNCTION("""COMPUTED_VALUE"""),"-")</f>
        <v>-</v>
      </c>
    </row>
    <row r="2010" spans="1:20" ht="15.75" customHeight="1" x14ac:dyDescent="0.25">
      <c r="A2010" s="30" t="str">
        <f ca="1">IFERROR(__xludf.DUMMYFUNCTION("""COMPUTED_VALUE"""),"50500212158494")</f>
        <v>50500212158494</v>
      </c>
      <c r="B2010" s="30" t="str">
        <f ca="1">IFERROR(__xludf.DUMMYFUNCTION("""COMPUTED_VALUE"""),"C.A.P.S. 027 SAN FRANCISCO DEL MONTE.-")</f>
        <v>C.A.P.S. 027 SAN FRANCISCO DEL MONTE.-</v>
      </c>
      <c r="C2010" s="30" t="str">
        <f ca="1">IFERROR(__xludf.DUMMYFUNCTION("""COMPUTED_VALUE"""),"Mendoza")</f>
        <v>Mendoza</v>
      </c>
      <c r="D2010" s="30" t="str">
        <f ca="1">IFERROR(__xludf.DUMMYFUNCTION("""COMPUTED_VALUE"""),"50")</f>
        <v>50</v>
      </c>
      <c r="E2010" s="30" t="str">
        <f ca="1">IFERROR(__xludf.DUMMYFUNCTION("""COMPUTED_VALUE"""),"")</f>
        <v/>
      </c>
      <c r="F2010" s="29"/>
      <c r="G2010" s="29"/>
      <c r="H2010" s="30" t="str">
        <f ca="1">IFERROR(__xludf.DUMMYFUNCTION("""COMPUTED_VALUE"""),"activo")</f>
        <v>activo</v>
      </c>
      <c r="I2010" s="30" t="str">
        <f ca="1">IFERROR(__xludf.DUMMYFUNCTION("""COMPUTED_VALUE"""),"se dio de alta el 15/03/2021 segun nota de Mendoza para el CAI 2022")</f>
        <v>se dio de alta el 15/03/2021 segun nota de Mendoza para el CAI 2022</v>
      </c>
      <c r="J2010" s="29"/>
      <c r="K2010" s="29"/>
      <c r="L2010" s="29"/>
      <c r="M2010" s="30" t="str">
        <f ca="1">IFERROR(__xludf.DUMMYFUNCTION("""COMPUTED_VALUE"""),"50021010005")</f>
        <v>50021010005</v>
      </c>
      <c r="N2010" s="30" t="str">
        <f ca="1">IFERROR(__xludf.DUMMYFUNCTION("""COMPUTED_VALUE"""),"SAN FRANCISCO DEL MONTE")</f>
        <v>SAN FRANCISCO DEL MONTE</v>
      </c>
      <c r="O2010" s="30" t="str">
        <f ca="1">IFERROR(__xludf.DUMMYFUNCTION("""COMPUTED_VALUE"""),"5021")</f>
        <v>5021</v>
      </c>
      <c r="P2010" s="30" t="str">
        <f ca="1">IFERROR(__xludf.DUMMYFUNCTION("""COMPUTED_VALUE"""),"GODOY CRUZ")</f>
        <v>GODOY CRUZ</v>
      </c>
      <c r="Q2010" s="30" t="str">
        <f ca="1">IFERROR(__xludf.DUMMYFUNCTION("""COMPUTED_VALUE"""),"-32.9236554")</f>
        <v>-32.9236554</v>
      </c>
      <c r="R2010" s="30" t="str">
        <f ca="1">IFERROR(__xludf.DUMMYFUNCTION("""COMPUTED_VALUE"""),"-68.81985747")</f>
        <v>-68.81985747</v>
      </c>
      <c r="S2010" s="30" t="str">
        <f ca="1">IFERROR(__xludf.DUMMYFUNCTION("""COMPUTED_VALUE"""),"Provincial")</f>
        <v>Provincial</v>
      </c>
      <c r="T2010" s="30" t="str">
        <f ca="1">IFERROR(__xludf.DUMMYFUNCTION("""COMPUTED_VALUE"""),"-")</f>
        <v>-</v>
      </c>
    </row>
    <row r="2011" spans="1:20" ht="15.75" customHeight="1" x14ac:dyDescent="0.25">
      <c r="A2011" s="30" t="str">
        <f ca="1">IFERROR(__xludf.DUMMYFUNCTION("""COMPUTED_VALUE"""),"50780212183580")</f>
        <v>50780212183580</v>
      </c>
      <c r="B2011" s="30" t="str">
        <f ca="1">IFERROR(__xludf.DUMMYFUNCTION("""COMPUTED_VALUE"""),"CENTRO DE SALUD N° 9 - SAN BENITO")</f>
        <v>CENTRO DE SALUD N° 9 - SAN BENITO</v>
      </c>
      <c r="C2011" s="30" t="str">
        <f ca="1">IFERROR(__xludf.DUMMYFUNCTION("""COMPUTED_VALUE"""),"Santa Cruz")</f>
        <v>Santa Cruz</v>
      </c>
      <c r="D2011" s="30">
        <f ca="1">IFERROR(__xludf.DUMMYFUNCTION("""COMPUTED_VALUE"""),78)</f>
        <v>78</v>
      </c>
      <c r="E2011" s="30" t="str">
        <f ca="1">IFERROR(__xludf.DUMMYFUNCTION("""COMPUTED_VALUE"""),"")</f>
        <v/>
      </c>
      <c r="F2011" s="29"/>
      <c r="G2011" s="29"/>
      <c r="H2011" s="30" t="str">
        <f ca="1">IFERROR(__xludf.DUMMYFUNCTION("""COMPUTED_VALUE"""),"activo")</f>
        <v>activo</v>
      </c>
      <c r="I2011" s="30" t="str">
        <f ca="1">IFERROR(__xludf.DUMMYFUNCTION("""COMPUTED_VALUE"""),"cambio de codigo REFES. para todos los efectos sigue siendo el efector con codigo anterior 50780212183184")</f>
        <v>cambio de codigo REFES. para todos los efectos sigue siendo el efector con codigo anterior 50780212183184</v>
      </c>
      <c r="J2011" s="29"/>
      <c r="K2011" s="29"/>
      <c r="L2011" s="29"/>
      <c r="M2011" s="30">
        <f ca="1">IFERROR(__xludf.DUMMYFUNCTION("""COMPUTED_VALUE"""),78021040000)</f>
        <v>78021040000</v>
      </c>
      <c r="N2011" s="30" t="str">
        <f ca="1">IFERROR(__xludf.DUMMYFUNCTION("""COMPUTED_VALUE"""),"RIO GALLEGOS")</f>
        <v>RIO GALLEGOS</v>
      </c>
      <c r="O2011" s="30" t="str">
        <f ca="1">IFERROR(__xludf.DUMMYFUNCTION("""COMPUTED_VALUE"""),"7821")</f>
        <v>7821</v>
      </c>
      <c r="P2011" s="30" t="str">
        <f ca="1">IFERROR(__xludf.DUMMYFUNCTION("""COMPUTED_VALUE"""),"Güer Aike")</f>
        <v>Güer Aike</v>
      </c>
      <c r="Q2011" s="29"/>
      <c r="R2011" s="29"/>
      <c r="S2011" s="30" t="str">
        <f ca="1">IFERROR(__xludf.DUMMYFUNCTION("""COMPUTED_VALUE"""),"Provincial")</f>
        <v>Provincial</v>
      </c>
      <c r="T2011" s="30" t="str">
        <f ca="1">IFERROR(__xludf.DUMMYFUNCTION("""COMPUTED_VALUE"""),"-")</f>
        <v>-</v>
      </c>
    </row>
    <row r="2012" spans="1:20" ht="15.75" customHeight="1" x14ac:dyDescent="0.25">
      <c r="A2012" s="30" t="str">
        <f ca="1">IFERROR(__xludf.DUMMYFUNCTION("""COMPUTED_VALUE"""),"50500982158755")</f>
        <v>50500982158755</v>
      </c>
      <c r="B2012" s="30" t="str">
        <f ca="1">IFERROR(__xludf.DUMMYFUNCTION("""COMPUTED_VALUE"""),"C.A.P.S. 242 ISMAEL YURI.-")</f>
        <v>C.A.P.S. 242 ISMAEL YURI.-</v>
      </c>
      <c r="C2012" s="30" t="str">
        <f ca="1">IFERROR(__xludf.DUMMYFUNCTION("""COMPUTED_VALUE"""),"Mendoza")</f>
        <v>Mendoza</v>
      </c>
      <c r="D2012" s="30" t="str">
        <f ca="1">IFERROR(__xludf.DUMMYFUNCTION("""COMPUTED_VALUE"""),"50")</f>
        <v>50</v>
      </c>
      <c r="E2012" s="30" t="str">
        <f ca="1">IFERROR(__xludf.DUMMYFUNCTION("""COMPUTED_VALUE"""),"")</f>
        <v/>
      </c>
      <c r="F2012" s="29"/>
      <c r="G2012" s="29"/>
      <c r="H2012" s="30" t="str">
        <f ca="1">IFERROR(__xludf.DUMMYFUNCTION("""COMPUTED_VALUE"""),"activo")</f>
        <v>activo</v>
      </c>
      <c r="I2012" s="30" t="str">
        <f ca="1">IFERROR(__xludf.DUMMYFUNCTION("""COMPUTED_VALUE"""),"se da de alta segun nota que envia la provincai el 17 06 2021 (recibida en el area el 09/11/2021")</f>
        <v>se da de alta segun nota que envia la provincai el 17 06 2021 (recibida en el area el 09/11/2021</v>
      </c>
      <c r="J2012" s="29"/>
      <c r="K2012" s="29"/>
      <c r="L2012" s="29"/>
      <c r="M2012" s="30" t="str">
        <f ca="1">IFERROR(__xludf.DUMMYFUNCTION("""COMPUTED_VALUE"""),"50098100002")</f>
        <v>50098100002</v>
      </c>
      <c r="N2012" s="30" t="str">
        <f ca="1">IFERROR(__xludf.DUMMYFUNCTION("""COMPUTED_VALUE"""),"CIUDAD DE SAN MARTIN")</f>
        <v>CIUDAD DE SAN MARTIN</v>
      </c>
      <c r="O2012" s="30" t="str">
        <f ca="1">IFERROR(__xludf.DUMMYFUNCTION("""COMPUTED_VALUE"""),"5098")</f>
        <v>5098</v>
      </c>
      <c r="P2012" s="30" t="str">
        <f ca="1">IFERROR(__xludf.DUMMYFUNCTION("""COMPUTED_VALUE"""),"SAN MARTÍN")</f>
        <v>SAN MARTÍN</v>
      </c>
      <c r="Q2012" s="30" t="str">
        <f ca="1">IFERROR(__xludf.DUMMYFUNCTION("""COMPUTED_VALUE"""),"-33.07946002")</f>
        <v>-33.07946002</v>
      </c>
      <c r="R2012" s="30" t="str">
        <f ca="1">IFERROR(__xludf.DUMMYFUNCTION("""COMPUTED_VALUE"""),"-68.44963074")</f>
        <v>-68.44963074</v>
      </c>
      <c r="S2012" s="30" t="str">
        <f ca="1">IFERROR(__xludf.DUMMYFUNCTION("""COMPUTED_VALUE"""),"Provincial")</f>
        <v>Provincial</v>
      </c>
      <c r="T2012" s="29"/>
    </row>
    <row r="2013" spans="1:20" ht="15.75" customHeight="1" x14ac:dyDescent="0.25">
      <c r="A2013" s="30" t="str">
        <f ca="1">IFERROR(__xludf.DUMMYFUNCTION("""COMPUTED_VALUE"""),"50100142124367")</f>
        <v>50100142124367</v>
      </c>
      <c r="B2013" s="30" t="str">
        <f ca="1">IFERROR(__xludf.DUMMYFUNCTION("""COMPUTED_VALUE"""),"ESTABLECIMIENTO SANITARIO PERIFERICO ANCASTI")</f>
        <v>ESTABLECIMIENTO SANITARIO PERIFERICO ANCASTI</v>
      </c>
      <c r="C2013" s="30" t="str">
        <f ca="1">IFERROR(__xludf.DUMMYFUNCTION("""COMPUTED_VALUE"""),"Catamarca")</f>
        <v>Catamarca</v>
      </c>
      <c r="D2013" s="30" t="str">
        <f ca="1">IFERROR(__xludf.DUMMYFUNCTION("""COMPUTED_VALUE"""),"10")</f>
        <v>10</v>
      </c>
      <c r="E2013" s="30" t="str">
        <f ca="1">IFERROR(__xludf.DUMMYFUNCTION("""COMPUTED_VALUE"""),"")</f>
        <v/>
      </c>
      <c r="F2013" s="30" t="str">
        <f ca="1">IFERROR(__xludf.DUMMYFUNCTION("""COMPUTED_VALUE"""),"50100562124276")</f>
        <v>50100562124276</v>
      </c>
      <c r="G2013" s="29"/>
      <c r="H2013" s="30" t="str">
        <f ca="1">IFERROR(__xludf.DUMMYFUNCTION("""COMPUTED_VALUE"""),"activo")</f>
        <v>activo</v>
      </c>
      <c r="I2013" s="30" t="str">
        <f ca="1">IFERROR(__xludf.DUMMYFUNCTION("""COMPUTED_VALUE"""),"Nota 11/11/21: Este centro de Salud cuenta con Médicos regularmente")</f>
        <v>Nota 11/11/21: Este centro de Salud cuenta con Médicos regularmente</v>
      </c>
      <c r="J2013" s="29"/>
      <c r="K2013" s="29"/>
      <c r="L2013" s="29"/>
      <c r="M2013" s="30" t="str">
        <f ca="1">IFERROR(__xludf.DUMMYFUNCTION("""COMPUTED_VALUE"""),"10014010000")</f>
        <v>10014010000</v>
      </c>
      <c r="N2013" s="30" t="str">
        <f ca="1">IFERROR(__xludf.DUMMYFUNCTION("""COMPUTED_VALUE"""),"ANCASTI")</f>
        <v>ANCASTI</v>
      </c>
      <c r="O2013" s="30" t="str">
        <f ca="1">IFERROR(__xludf.DUMMYFUNCTION("""COMPUTED_VALUE"""),"1014")</f>
        <v>1014</v>
      </c>
      <c r="P2013" s="30" t="str">
        <f ca="1">IFERROR(__xludf.DUMMYFUNCTION("""COMPUTED_VALUE"""),"ANCASTI")</f>
        <v>ANCASTI</v>
      </c>
      <c r="Q2013" s="30" t="str">
        <f ca="1">IFERROR(__xludf.DUMMYFUNCTION("""COMPUTED_VALUE"""),"-28.82181592")</f>
        <v>-28.82181592</v>
      </c>
      <c r="R2013" s="30" t="str">
        <f ca="1">IFERROR(__xludf.DUMMYFUNCTION("""COMPUTED_VALUE"""),"-65.49087524")</f>
        <v>-65.49087524</v>
      </c>
      <c r="S2013" s="30" t="str">
        <f ca="1">IFERROR(__xludf.DUMMYFUNCTION("""COMPUTED_VALUE"""),"Provincial")</f>
        <v>Provincial</v>
      </c>
      <c r="T2013" s="29"/>
    </row>
    <row r="2014" spans="1:20" ht="15.75" customHeight="1" x14ac:dyDescent="0.25">
      <c r="A2014" s="30" t="str">
        <f ca="1">IFERROR(__xludf.DUMMYFUNCTION("""COMPUTED_VALUE"""),"50140142131385")</f>
        <v>50140142131385</v>
      </c>
      <c r="B2014" s="30" t="str">
        <f ca="1">IFERROR(__xludf.DUMMYFUNCTION("""COMPUTED_VALUE"""),"CAPS CIUDAD DE LOS NIÑOS")</f>
        <v>CAPS CIUDAD DE LOS NIÑOS</v>
      </c>
      <c r="C2014" s="30" t="str">
        <f ca="1">IFERROR(__xludf.DUMMYFUNCTION("""COMPUTED_VALUE"""),"Córdoba")</f>
        <v>Córdoba</v>
      </c>
      <c r="D2014" s="30" t="str">
        <f ca="1">IFERROR(__xludf.DUMMYFUNCTION("""COMPUTED_VALUE"""),"14")</f>
        <v>14</v>
      </c>
      <c r="E2014" s="30" t="str">
        <f ca="1">IFERROR(__xludf.DUMMYFUNCTION("""COMPUTED_VALUE"""),"")</f>
        <v/>
      </c>
      <c r="F2014" s="30" t="str">
        <f ca="1">IFERROR(__xludf.DUMMYFUNCTION("""COMPUTED_VALUE"""),"10141612231205")</f>
        <v>10141612231205</v>
      </c>
      <c r="G2014" s="29"/>
      <c r="H2014" s="30" t="str">
        <f ca="1">IFERROR(__xludf.DUMMYFUNCTION("""COMPUTED_VALUE"""),"activo")</f>
        <v>activo</v>
      </c>
      <c r="I2014" s="30" t="str">
        <f ca="1">IFERROR(__xludf.DUMMYFUNCTION("""COMPUTED_VALUE"""),"29/12/2021")</f>
        <v>29/12/2021</v>
      </c>
      <c r="J2014" s="29"/>
      <c r="K2014" s="29"/>
      <c r="L2014" s="29"/>
      <c r="M2014" s="30" t="str">
        <f ca="1">IFERROR(__xludf.DUMMYFUNCTION("""COMPUTED_VALUE"""),"14014010000")</f>
        <v>14014010000</v>
      </c>
      <c r="N2014" s="30" t="str">
        <f ca="1">IFERROR(__xludf.DUMMYFUNCTION("""COMPUTED_VALUE"""),"CORDOBA")</f>
        <v>CORDOBA</v>
      </c>
      <c r="O2014" s="30" t="str">
        <f ca="1">IFERROR(__xludf.DUMMYFUNCTION("""COMPUTED_VALUE"""),"1414")</f>
        <v>1414</v>
      </c>
      <c r="P2014" s="30" t="str">
        <f ca="1">IFERROR(__xludf.DUMMYFUNCTION("""COMPUTED_VALUE"""),"CAPITAL")</f>
        <v>CAPITAL</v>
      </c>
      <c r="Q2014" s="30" t="str">
        <f ca="1">IFERROR(__xludf.DUMMYFUNCTION("""COMPUTED_VALUE"""),"-31.401431")</f>
        <v>-31.401431</v>
      </c>
      <c r="R2014" s="30" t="str">
        <f ca="1">IFERROR(__xludf.DUMMYFUNCTION("""COMPUTED_VALUE"""),"-64.126882")</f>
        <v>-64.126882</v>
      </c>
      <c r="S2014" s="30" t="str">
        <f ca="1">IFERROR(__xludf.DUMMYFUNCTION("""COMPUTED_VALUE"""),"Provincial")</f>
        <v>Provincial</v>
      </c>
      <c r="T2014" s="29"/>
    </row>
    <row r="2015" spans="1:20" ht="15.75" customHeight="1" x14ac:dyDescent="0.25">
      <c r="A2015" s="30" t="str">
        <f ca="1">IFERROR(__xludf.DUMMYFUNCTION("""COMPUTED_VALUE"""),"50140142131399")</f>
        <v>50140142131399</v>
      </c>
      <c r="B2015" s="30" t="str">
        <f ca="1">IFERROR(__xludf.DUMMYFUNCTION("""COMPUTED_VALUE"""),"CAPS JUAN PABLO II")</f>
        <v>CAPS JUAN PABLO II</v>
      </c>
      <c r="C2015" s="30" t="str">
        <f ca="1">IFERROR(__xludf.DUMMYFUNCTION("""COMPUTED_VALUE"""),"Córdoba")</f>
        <v>Córdoba</v>
      </c>
      <c r="D2015" s="30" t="str">
        <f ca="1">IFERROR(__xludf.DUMMYFUNCTION("""COMPUTED_VALUE"""),"14")</f>
        <v>14</v>
      </c>
      <c r="E2015" s="30" t="str">
        <f ca="1">IFERROR(__xludf.DUMMYFUNCTION("""COMPUTED_VALUE"""),"")</f>
        <v/>
      </c>
      <c r="F2015" s="30" t="str">
        <f ca="1">IFERROR(__xludf.DUMMYFUNCTION("""COMPUTED_VALUE"""),"50140912231512")</f>
        <v>50140912231512</v>
      </c>
      <c r="G2015" s="29"/>
      <c r="H2015" s="30" t="str">
        <f ca="1">IFERROR(__xludf.DUMMYFUNCTION("""COMPUTED_VALUE"""),"activo")</f>
        <v>activo</v>
      </c>
      <c r="I2015" s="30" t="str">
        <f ca="1">IFERROR(__xludf.DUMMYFUNCTION("""COMPUTED_VALUE"""),"29/12/2021")</f>
        <v>29/12/2021</v>
      </c>
      <c r="J2015" s="29"/>
      <c r="K2015" s="29"/>
      <c r="L2015" s="29"/>
      <c r="M2015" s="30" t="str">
        <f ca="1">IFERROR(__xludf.DUMMYFUNCTION("""COMPUTED_VALUE"""),"14014010000")</f>
        <v>14014010000</v>
      </c>
      <c r="N2015" s="30" t="str">
        <f ca="1">IFERROR(__xludf.DUMMYFUNCTION("""COMPUTED_VALUE"""),"CORDOBA")</f>
        <v>CORDOBA</v>
      </c>
      <c r="O2015" s="30" t="str">
        <f ca="1">IFERROR(__xludf.DUMMYFUNCTION("""COMPUTED_VALUE"""),"1414")</f>
        <v>1414</v>
      </c>
      <c r="P2015" s="30" t="str">
        <f ca="1">IFERROR(__xludf.DUMMYFUNCTION("""COMPUTED_VALUE"""),"CAPITAL")</f>
        <v>CAPITAL</v>
      </c>
      <c r="Q2015" s="30" t="str">
        <f ca="1">IFERROR(__xludf.DUMMYFUNCTION("""COMPUTED_VALUE"""),"-31.43457083")</f>
        <v>-31.43457083</v>
      </c>
      <c r="R2015" s="30" t="str">
        <f ca="1">IFERROR(__xludf.DUMMYFUNCTION("""COMPUTED_VALUE"""),"-64.22709275")</f>
        <v>-64.22709275</v>
      </c>
      <c r="S2015" s="30" t="str">
        <f ca="1">IFERROR(__xludf.DUMMYFUNCTION("""COMPUTED_VALUE"""),"Provincial")</f>
        <v>Provincial</v>
      </c>
      <c r="T2015" s="29"/>
    </row>
    <row r="2016" spans="1:20" ht="15.75" customHeight="1" x14ac:dyDescent="0.25">
      <c r="A2016" s="30" t="str">
        <f ca="1">IFERROR(__xludf.DUMMYFUNCTION("""COMPUTED_VALUE"""),"50140142131415")</f>
        <v>50140142131415</v>
      </c>
      <c r="B2016" s="30" t="str">
        <f ca="1">IFERROR(__xludf.DUMMYFUNCTION("""COMPUTED_VALUE"""),"CAPS VILLA BOEDO")</f>
        <v>CAPS VILLA BOEDO</v>
      </c>
      <c r="C2016" s="30" t="str">
        <f ca="1">IFERROR(__xludf.DUMMYFUNCTION("""COMPUTED_VALUE"""),"Córdoba")</f>
        <v>Córdoba</v>
      </c>
      <c r="D2016" s="30" t="str">
        <f ca="1">IFERROR(__xludf.DUMMYFUNCTION("""COMPUTED_VALUE"""),"14")</f>
        <v>14</v>
      </c>
      <c r="E2016" s="30" t="str">
        <f ca="1">IFERROR(__xludf.DUMMYFUNCTION("""COMPUTED_VALUE"""),"")</f>
        <v/>
      </c>
      <c r="F2016" s="30" t="str">
        <f ca="1">IFERROR(__xludf.DUMMYFUNCTION("""COMPUTED_VALUE"""),"50141192232190")</f>
        <v>50141192232190</v>
      </c>
      <c r="G2016" s="29"/>
      <c r="H2016" s="30" t="str">
        <f ca="1">IFERROR(__xludf.DUMMYFUNCTION("""COMPUTED_VALUE"""),"activo")</f>
        <v>activo</v>
      </c>
      <c r="I2016" s="30" t="str">
        <f ca="1">IFERROR(__xludf.DUMMYFUNCTION("""COMPUTED_VALUE"""),"29/12/2021")</f>
        <v>29/12/2021</v>
      </c>
      <c r="J2016" s="29"/>
      <c r="K2016" s="29"/>
      <c r="L2016" s="29"/>
      <c r="M2016" s="30" t="str">
        <f ca="1">IFERROR(__xludf.DUMMYFUNCTION("""COMPUTED_VALUE"""),"14014010000")</f>
        <v>14014010000</v>
      </c>
      <c r="N2016" s="30" t="str">
        <f ca="1">IFERROR(__xludf.DUMMYFUNCTION("""COMPUTED_VALUE"""),"CORDOBA")</f>
        <v>CORDOBA</v>
      </c>
      <c r="O2016" s="30" t="str">
        <f ca="1">IFERROR(__xludf.DUMMYFUNCTION("""COMPUTED_VALUE"""),"1414")</f>
        <v>1414</v>
      </c>
      <c r="P2016" s="30" t="str">
        <f ca="1">IFERROR(__xludf.DUMMYFUNCTION("""COMPUTED_VALUE"""),"CAPITAL")</f>
        <v>CAPITAL</v>
      </c>
      <c r="Q2016" s="30" t="str">
        <f ca="1">IFERROR(__xludf.DUMMYFUNCTION("""COMPUTED_VALUE"""),"-31.47127822")</f>
        <v>-31.47127822</v>
      </c>
      <c r="R2016" s="30" t="str">
        <f ca="1">IFERROR(__xludf.DUMMYFUNCTION("""COMPUTED_VALUE"""),"-64.23508072")</f>
        <v>-64.23508072</v>
      </c>
      <c r="S2016" s="30" t="str">
        <f ca="1">IFERROR(__xludf.DUMMYFUNCTION("""COMPUTED_VALUE"""),"Provincial")</f>
        <v>Provincial</v>
      </c>
      <c r="T2016" s="29"/>
    </row>
    <row r="2017" spans="1:20" ht="15.75" customHeight="1" x14ac:dyDescent="0.25">
      <c r="A2017" s="30" t="str">
        <f ca="1">IFERROR(__xludf.DUMMYFUNCTION("""COMPUTED_VALUE"""),"50060352219815")</f>
        <v>50060352219815</v>
      </c>
      <c r="B2017" s="30" t="str">
        <f ca="1">IFERROR(__xludf.DUMMYFUNCTION("""COMPUTED_VALUE"""),"CENTRO MUNICIPAL DE CUIDADO FAMILIAR Y COMUNITARIO VILLA AZUL")</f>
        <v>CENTRO MUNICIPAL DE CUIDADO FAMILIAR Y COMUNITARIO VILLA AZUL</v>
      </c>
      <c r="C2017" s="30" t="str">
        <f ca="1">IFERROR(__xludf.DUMMYFUNCTION("""COMPUTED_VALUE"""),"Buenos Aires")</f>
        <v>Buenos Aires</v>
      </c>
      <c r="D2017" s="30">
        <f ca="1">IFERROR(__xludf.DUMMYFUNCTION("""COMPUTED_VALUE"""),6)</f>
        <v>6</v>
      </c>
      <c r="E2017" s="30" t="str">
        <f ca="1">IFERROR(__xludf.DUMMYFUNCTION("""COMPUTED_VALUE"""),"")</f>
        <v/>
      </c>
      <c r="F2017" s="29"/>
      <c r="G2017" s="29"/>
      <c r="H2017" s="30" t="str">
        <f ca="1">IFERROR(__xludf.DUMMYFUNCTION("""COMPUTED_VALUE"""),"activo")</f>
        <v>activo</v>
      </c>
      <c r="I2017" s="30" t="str">
        <f ca="1">IFERROR(__xludf.DUMMYFUNCTION("""COMPUTED_VALUE"""),"Nota: 27/12/2021. Cambió su CI a REFES. El CI viejo era: CI50068402202998")</f>
        <v>Nota: 27/12/2021. Cambió su CI a REFES. El CI viejo era: CI50068402202998</v>
      </c>
      <c r="J2017" s="29"/>
      <c r="K2017" s="29"/>
      <c r="L2017" s="29"/>
      <c r="M2017" s="30">
        <f ca="1">IFERROR(__xludf.DUMMYFUNCTION("""COMPUTED_VALUE"""),6035010002)</f>
        <v>6035010002</v>
      </c>
      <c r="N2017" s="30" t="str">
        <f ca="1">IFERROR(__xludf.DUMMYFUNCTION("""COMPUTED_VALUE"""),"AVELLANEDA")</f>
        <v>AVELLANEDA</v>
      </c>
      <c r="O2017" s="30" t="str">
        <f ca="1">IFERROR(__xludf.DUMMYFUNCTION("""COMPUTED_VALUE"""),"#N/A")</f>
        <v>#N/A</v>
      </c>
      <c r="P2017" s="30" t="str">
        <f ca="1">IFERROR(__xludf.DUMMYFUNCTION("""COMPUTED_VALUE"""),"AVELLANEDA")</f>
        <v>AVELLANEDA</v>
      </c>
      <c r="Q2017" s="29"/>
      <c r="R2017" s="29"/>
      <c r="S2017" s="30" t="str">
        <f ca="1">IFERROR(__xludf.DUMMYFUNCTION("""COMPUTED_VALUE"""),"Municipal")</f>
        <v>Municipal</v>
      </c>
      <c r="T2017" s="30" t="str">
        <f ca="1">IFERROR(__xludf.DUMMYFUNCTION("""COMPUTED_VALUE"""),"AVELLANEDA")</f>
        <v>AVELLANEDA</v>
      </c>
    </row>
    <row r="2018" spans="1:20" ht="15.75" customHeight="1" x14ac:dyDescent="0.25">
      <c r="A2018" s="30" t="str">
        <f ca="1">IFERROR(__xludf.DUMMYFUNCTION("""COMPUTED_VALUE"""),"50060282218926")</f>
        <v>50060282218926</v>
      </c>
      <c r="B2018" s="30" t="str">
        <f ca="1">IFERROR(__xludf.DUMMYFUNCTION("""COMPUTED_VALUE"""),"CAPS N° 26 UNIDAD DE SALUD AMBIENTAL (USAM)")</f>
        <v>CAPS N° 26 UNIDAD DE SALUD AMBIENTAL (USAM)</v>
      </c>
      <c r="C2018" s="30" t="str">
        <f ca="1">IFERROR(__xludf.DUMMYFUNCTION("""COMPUTED_VALUE"""),"Buenos Aires")</f>
        <v>Buenos Aires</v>
      </c>
      <c r="D2018" s="30">
        <f ca="1">IFERROR(__xludf.DUMMYFUNCTION("""COMPUTED_VALUE"""),6)</f>
        <v>6</v>
      </c>
      <c r="E2018" s="30" t="str">
        <f ca="1">IFERROR(__xludf.DUMMYFUNCTION("""COMPUTED_VALUE"""),"")</f>
        <v/>
      </c>
      <c r="F2018" s="29"/>
      <c r="G2018" s="29"/>
      <c r="H2018" s="30" t="str">
        <f ca="1">IFERROR(__xludf.DUMMYFUNCTION("""COMPUTED_VALUE"""),"activo")</f>
        <v>activo</v>
      </c>
      <c r="I2018" s="30" t="str">
        <f ca="1">IFERROR(__xludf.DUMMYFUNCTION("""COMPUTED_VALUE"""),"Nota 27/12/2021. Cambió su CI a REFES. El CI viejo era: CI50068402202990")</f>
        <v>Nota 27/12/2021. Cambió su CI a REFES. El CI viejo era: CI50068402202990</v>
      </c>
      <c r="J2018" s="29"/>
      <c r="K2018" s="29"/>
      <c r="L2018" s="29"/>
      <c r="M2018" s="30">
        <f ca="1">IFERROR(__xludf.DUMMYFUNCTION("""COMPUTED_VALUE"""),6028010007)</f>
        <v>6028010007</v>
      </c>
      <c r="N2018" s="30" t="str">
        <f ca="1">IFERROR(__xludf.DUMMYFUNCTION("""COMPUTED_VALUE"""),"LONGCHAMPS")</f>
        <v>LONGCHAMPS</v>
      </c>
      <c r="O2018" s="30" t="str">
        <f ca="1">IFERROR(__xludf.DUMMYFUNCTION("""COMPUTED_VALUE"""),"#N/A")</f>
        <v>#N/A</v>
      </c>
      <c r="P2018" s="30" t="str">
        <f ca="1">IFERROR(__xludf.DUMMYFUNCTION("""COMPUTED_VALUE"""),"ALMIRANTE BROWN")</f>
        <v>ALMIRANTE BROWN</v>
      </c>
      <c r="Q2018" s="29"/>
      <c r="R2018" s="29"/>
      <c r="S2018" s="30" t="str">
        <f ca="1">IFERROR(__xludf.DUMMYFUNCTION("""COMPUTED_VALUE"""),"Municipal")</f>
        <v>Municipal</v>
      </c>
      <c r="T2018" s="30" t="str">
        <f ca="1">IFERROR(__xludf.DUMMYFUNCTION("""COMPUTED_VALUE"""),"Almirante Brown")</f>
        <v>Almirante Brown</v>
      </c>
    </row>
    <row r="2019" spans="1:20" ht="15.75" customHeight="1" x14ac:dyDescent="0.25">
      <c r="A2019" s="30" t="str">
        <f ca="1">IFERROR(__xludf.DUMMYFUNCTION("""COMPUTED_VALUE"""),"50065602221633")</f>
        <v>50065602221633</v>
      </c>
      <c r="B2019" s="30" t="str">
        <f ca="1">IFERROR(__xludf.DUMMYFUNCTION("""COMPUTED_VALUE"""),"CENTRO DE ATENCION PRIMARIA DE LA SALUD (C.A.P.S.) PARQUE DEL OESTE")</f>
        <v>CENTRO DE ATENCION PRIMARIA DE LA SALUD (C.A.P.S.) PARQUE DEL OESTE</v>
      </c>
      <c r="C2019" s="30" t="str">
        <f ca="1">IFERROR(__xludf.DUMMYFUNCTION("""COMPUTED_VALUE"""),"Buenos Aires")</f>
        <v>Buenos Aires</v>
      </c>
      <c r="D2019" s="30">
        <f ca="1">IFERROR(__xludf.DUMMYFUNCTION("""COMPUTED_VALUE"""),6)</f>
        <v>6</v>
      </c>
      <c r="E2019" s="30" t="str">
        <f ca="1">IFERROR(__xludf.DUMMYFUNCTION("""COMPUTED_VALUE"""),"")</f>
        <v/>
      </c>
      <c r="F2019" s="29"/>
      <c r="G2019" s="29"/>
      <c r="H2019" s="30" t="str">
        <f ca="1">IFERROR(__xludf.DUMMYFUNCTION("""COMPUTED_VALUE"""),"activo")</f>
        <v>activo</v>
      </c>
      <c r="I2019" s="30" t="str">
        <f ca="1">IFERROR(__xludf.DUMMYFUNCTION("""COMPUTED_VALUE"""),"Nota 27/12/2021. Cambió su CI a REFES. El viejo CI era: CI50068402202996")</f>
        <v>Nota 27/12/2021. Cambió su CI a REFES. El viejo CI era: CI50068402202996</v>
      </c>
      <c r="J2019" s="29"/>
      <c r="K2019" s="29"/>
      <c r="L2019" s="29"/>
      <c r="M2019" s="30">
        <f ca="1">IFERROR(__xludf.DUMMYFUNCTION("""COMPUTED_VALUE"""),6560010001)</f>
        <v>6560010001</v>
      </c>
      <c r="N2019" s="30" t="str">
        <f ca="1">IFERROR(__xludf.DUMMYFUNCTION("""COMPUTED_VALUE"""),"CUARTEL V")</f>
        <v>CUARTEL V</v>
      </c>
      <c r="O2019" s="30" t="str">
        <f ca="1">IFERROR(__xludf.DUMMYFUNCTION("""COMPUTED_VALUE"""),"560")</f>
        <v>560</v>
      </c>
      <c r="P2019" s="30" t="str">
        <f ca="1">IFERROR(__xludf.DUMMYFUNCTION("""COMPUTED_VALUE"""),"MORENO")</f>
        <v>MORENO</v>
      </c>
      <c r="Q2019" s="29"/>
      <c r="R2019" s="29"/>
      <c r="S2019" s="30" t="str">
        <f ca="1">IFERROR(__xludf.DUMMYFUNCTION("""COMPUTED_VALUE"""),"Municipal")</f>
        <v>Municipal</v>
      </c>
      <c r="T2019" s="30" t="str">
        <f ca="1">IFERROR(__xludf.DUMMYFUNCTION("""COMPUTED_VALUE"""),"Moreno")</f>
        <v>Moreno</v>
      </c>
    </row>
    <row r="2020" spans="1:20" ht="15.75" customHeight="1" x14ac:dyDescent="0.25">
      <c r="A2020" s="30" t="str">
        <f ca="1">IFERROR(__xludf.DUMMYFUNCTION("""COMPUTED_VALUE"""),"50065682220047")</f>
        <v>50065682220047</v>
      </c>
      <c r="B2020" s="30" t="str">
        <f ca="1">IFERROR(__xludf.DUMMYFUNCTION("""COMPUTED_VALUE"""),"CAPS RENE FAVALORO MORON")</f>
        <v>CAPS RENE FAVALORO MORON</v>
      </c>
      <c r="C2020" s="30" t="str">
        <f ca="1">IFERROR(__xludf.DUMMYFUNCTION("""COMPUTED_VALUE"""),"Buenos Aires")</f>
        <v>Buenos Aires</v>
      </c>
      <c r="D2020" s="30">
        <f ca="1">IFERROR(__xludf.DUMMYFUNCTION("""COMPUTED_VALUE"""),6)</f>
        <v>6</v>
      </c>
      <c r="E2020" s="30" t="str">
        <f ca="1">IFERROR(__xludf.DUMMYFUNCTION("""COMPUTED_VALUE"""),"")</f>
        <v/>
      </c>
      <c r="F2020" s="29"/>
      <c r="G2020" s="29"/>
      <c r="H2020" s="30" t="str">
        <f ca="1">IFERROR(__xludf.DUMMYFUNCTION("""COMPUTED_VALUE"""),"activo")</f>
        <v>activo</v>
      </c>
      <c r="I2020" s="30" t="str">
        <f ca="1">IFERROR(__xludf.DUMMYFUNCTION("""COMPUTED_VALUE"""),"Nota: 27/12/2021. Cambió su CI a REFES. El viejo CI era: CI50068402202992")</f>
        <v>Nota: 27/12/2021. Cambió su CI a REFES. El viejo CI era: CI50068402202992</v>
      </c>
      <c r="J2020" s="29"/>
      <c r="K2020" s="29"/>
      <c r="L2020" s="29"/>
      <c r="M2020" s="30">
        <f ca="1">IFERROR(__xludf.DUMMYFUNCTION("""COMPUTED_VALUE"""),6568010004)</f>
        <v>6568010004</v>
      </c>
      <c r="N2020" s="30" t="str">
        <f ca="1">IFERROR(__xludf.DUMMYFUNCTION("""COMPUTED_VALUE"""),"MORON")</f>
        <v>MORON</v>
      </c>
      <c r="O2020" s="30" t="str">
        <f ca="1">IFERROR(__xludf.DUMMYFUNCTION("""COMPUTED_VALUE"""),"#N/A")</f>
        <v>#N/A</v>
      </c>
      <c r="P2020" s="30" t="str">
        <f ca="1">IFERROR(__xludf.DUMMYFUNCTION("""COMPUTED_VALUE"""),"MORÓN")</f>
        <v>MORÓN</v>
      </c>
      <c r="Q2020" s="29"/>
      <c r="R2020" s="29"/>
      <c r="S2020" s="30" t="str">
        <f ca="1">IFERROR(__xludf.DUMMYFUNCTION("""COMPUTED_VALUE"""),"Municipal")</f>
        <v>Municipal</v>
      </c>
      <c r="T2020" s="30" t="str">
        <f ca="1">IFERROR(__xludf.DUMMYFUNCTION("""COMPUTED_VALUE"""),"MORON")</f>
        <v>MORON</v>
      </c>
    </row>
    <row r="2021" spans="1:20" ht="15.75" customHeight="1" x14ac:dyDescent="0.25">
      <c r="A2021" s="30" t="str">
        <f ca="1">IFERROR(__xludf.DUMMYFUNCTION("""COMPUTED_VALUE"""),"50066582219993")</f>
        <v>50066582219993</v>
      </c>
      <c r="B2021" s="30" t="str">
        <f ca="1">IFERROR(__xludf.DUMMYFUNCTION("""COMPUTED_VALUE"""),"CENTRO INTEGRAL COMUNITARIO SANTO DOMINGO")</f>
        <v>CENTRO INTEGRAL COMUNITARIO SANTO DOMINGO</v>
      </c>
      <c r="C2021" s="30" t="str">
        <f ca="1">IFERROR(__xludf.DUMMYFUNCTION("""COMPUTED_VALUE"""),"Buenos Aires")</f>
        <v>Buenos Aires</v>
      </c>
      <c r="D2021" s="30">
        <f ca="1">IFERROR(__xludf.DUMMYFUNCTION("""COMPUTED_VALUE"""),6)</f>
        <v>6</v>
      </c>
      <c r="E2021" s="30" t="str">
        <f ca="1">IFERROR(__xludf.DUMMYFUNCTION("""COMPUTED_VALUE"""),"")</f>
        <v/>
      </c>
      <c r="F2021" s="29"/>
      <c r="G2021" s="29"/>
      <c r="H2021" s="30" t="str">
        <f ca="1">IFERROR(__xludf.DUMMYFUNCTION("""COMPUTED_VALUE"""),"activo")</f>
        <v>activo</v>
      </c>
      <c r="I2021" s="30" t="str">
        <f ca="1">IFERROR(__xludf.DUMMYFUNCTION("""COMPUTED_VALUE"""),"Nota 27/12/2021. Cambió su CI a REFES. El viejo CI era: CI50068402202994")</f>
        <v>Nota 27/12/2021. Cambió su CI a REFES. El viejo CI era: CI50068402202994</v>
      </c>
      <c r="J2021" s="29"/>
      <c r="K2021" s="29"/>
      <c r="L2021" s="29"/>
      <c r="M2021" s="30">
        <f ca="1">IFERROR(__xludf.DUMMYFUNCTION("""COMPUTED_VALUE"""),6658010002)</f>
        <v>6658010002</v>
      </c>
      <c r="N2021" s="30" t="str">
        <f ca="1">IFERROR(__xludf.DUMMYFUNCTION("""COMPUTED_VALUE"""),"BERNAL OESTE")</f>
        <v>BERNAL OESTE</v>
      </c>
      <c r="O2021" s="30" t="str">
        <f ca="1">IFERROR(__xludf.DUMMYFUNCTION("""COMPUTED_VALUE"""),"#N/A")</f>
        <v>#N/A</v>
      </c>
      <c r="P2021" s="30" t="str">
        <f ca="1">IFERROR(__xludf.DUMMYFUNCTION("""COMPUTED_VALUE"""),"QUILMES")</f>
        <v>QUILMES</v>
      </c>
      <c r="Q2021" s="29"/>
      <c r="R2021" s="29"/>
      <c r="S2021" s="30" t="str">
        <f ca="1">IFERROR(__xludf.DUMMYFUNCTION("""COMPUTED_VALUE"""),"Municipal")</f>
        <v>Municipal</v>
      </c>
      <c r="T2021" s="30" t="str">
        <f ca="1">IFERROR(__xludf.DUMMYFUNCTION("""COMPUTED_VALUE"""),"Quilmes")</f>
        <v>Quilmes</v>
      </c>
    </row>
    <row r="2022" spans="1:20" ht="15.75" customHeight="1" x14ac:dyDescent="0.25">
      <c r="A2022" s="30" t="str">
        <f ca="1">IFERROR(__xludf.DUMMYFUNCTION("""COMPUTED_VALUE"""),"50221402126481")</f>
        <v>50221402126481</v>
      </c>
      <c r="B2022" s="30" t="str">
        <f ca="1">IFERROR(__xludf.DUMMYFUNCTION("""COMPUTED_VALUE"""),"CENTRO DE SALUD VILLA LOS LIRIOS")</f>
        <v>CENTRO DE SALUD VILLA LOS LIRIOS</v>
      </c>
      <c r="C2022" s="30" t="str">
        <f ca="1">IFERROR(__xludf.DUMMYFUNCTION("""COMPUTED_VALUE"""),"Chaco")</f>
        <v>Chaco</v>
      </c>
      <c r="D2022" s="30" t="str">
        <f ca="1">IFERROR(__xludf.DUMMYFUNCTION("""COMPUTED_VALUE"""),"22")</f>
        <v>22</v>
      </c>
      <c r="E2022" s="30" t="str">
        <f ca="1">IFERROR(__xludf.DUMMYFUNCTION("""COMPUTED_VALUE"""),"")</f>
        <v/>
      </c>
      <c r="F2022" s="29"/>
      <c r="G2022" s="29"/>
      <c r="H2022" s="30" t="str">
        <f ca="1">IFERROR(__xludf.DUMMYFUNCTION("""COMPUTED_VALUE"""),"activo")</f>
        <v>activo</v>
      </c>
      <c r="I2022" s="29"/>
      <c r="J2022" s="29"/>
      <c r="K2022" s="29"/>
      <c r="L2022" s="29"/>
      <c r="M2022" s="30" t="str">
        <f ca="1">IFERROR(__xludf.DUMMYFUNCTION("""COMPUTED_VALUE"""),"22140060000")</f>
        <v>22140060000</v>
      </c>
      <c r="N2022" s="30" t="str">
        <f ca="1">IFERROR(__xludf.DUMMYFUNCTION("""COMPUTED_VALUE"""),"RESISTENCIA")</f>
        <v>RESISTENCIA</v>
      </c>
      <c r="O2022" s="30" t="str">
        <f ca="1">IFERROR(__xludf.DUMMYFUNCTION("""COMPUTED_VALUE"""),"22140")</f>
        <v>22140</v>
      </c>
      <c r="P2022" s="30" t="str">
        <f ca="1">IFERROR(__xludf.DUMMYFUNCTION("""COMPUTED_VALUE"""),"San Fernando")</f>
        <v>San Fernando</v>
      </c>
      <c r="Q2022" s="30" t="str">
        <f ca="1">IFERROR(__xludf.DUMMYFUNCTION("""COMPUTED_VALUE"""),"-27.46330922")</f>
        <v>-27.46330922</v>
      </c>
      <c r="R2022" s="30" t="str">
        <f ca="1">IFERROR(__xludf.DUMMYFUNCTION("""COMPUTED_VALUE"""),"-58.9658761")</f>
        <v>-58.9658761</v>
      </c>
      <c r="S2022" s="30" t="str">
        <f ca="1">IFERROR(__xludf.DUMMYFUNCTION("""COMPUTED_VALUE"""),"Provincial")</f>
        <v>Provincial</v>
      </c>
      <c r="T2022" s="29"/>
    </row>
    <row r="2023" spans="1:20" ht="15.75" customHeight="1" x14ac:dyDescent="0.25">
      <c r="A2023" s="30" t="str">
        <f ca="1">IFERROR(__xludf.DUMMYFUNCTION("""COMPUTED_VALUE"""),"10220772126039")</f>
        <v>10220772126039</v>
      </c>
      <c r="B2023" s="30" t="str">
        <f ca="1">IFERROR(__xludf.DUMMYFUNCTION("""COMPUTED_VALUE"""),"HOSPITAL DR. CESPEDES OXLEY")</f>
        <v>HOSPITAL DR. CESPEDES OXLEY</v>
      </c>
      <c r="C2023" s="30" t="str">
        <f ca="1">IFERROR(__xludf.DUMMYFUNCTION("""COMPUTED_VALUE"""),"Chaco")</f>
        <v>Chaco</v>
      </c>
      <c r="D2023" s="30" t="str">
        <f ca="1">IFERROR(__xludf.DUMMYFUNCTION("""COMPUTED_VALUE"""),"22")</f>
        <v>22</v>
      </c>
      <c r="E2023" s="30" t="str">
        <f ca="1">IFERROR(__xludf.DUMMYFUNCTION("""COMPUTED_VALUE"""),"")</f>
        <v/>
      </c>
      <c r="F2023" s="29"/>
      <c r="G2023" s="29"/>
      <c r="H2023" s="30" t="str">
        <f ca="1">IFERROR(__xludf.DUMMYFUNCTION("""COMPUTED_VALUE"""),"activo")</f>
        <v>activo</v>
      </c>
      <c r="I2023" s="29"/>
      <c r="J2023" s="29"/>
      <c r="K2023" s="29"/>
      <c r="L2023" s="29"/>
      <c r="M2023" s="30" t="str">
        <f ca="1">IFERROR(__xludf.DUMMYFUNCTION("""COMPUTED_VALUE"""),"22077040000")</f>
        <v>22077040000</v>
      </c>
      <c r="N2023" s="30" t="str">
        <f ca="1">IFERROR(__xludf.DUMMYFUNCTION("""COMPUTED_VALUE"""),"PUERTO TIROL")</f>
        <v>PUERTO TIROL</v>
      </c>
      <c r="O2023" s="30" t="str">
        <f ca="1">IFERROR(__xludf.DUMMYFUNCTION("""COMPUTED_VALUE"""),"2277")</f>
        <v>2277</v>
      </c>
      <c r="P2023" s="30" t="str">
        <f ca="1">IFERROR(__xludf.DUMMYFUNCTION("""COMPUTED_VALUE"""),"Libertad")</f>
        <v>Libertad</v>
      </c>
      <c r="Q2023" s="30" t="str">
        <f ca="1">IFERROR(__xludf.DUMMYFUNCTION("""COMPUTED_VALUE"""),"-27.3718432")</f>
        <v>-27.3718432</v>
      </c>
      <c r="R2023" s="30" t="str">
        <f ca="1">IFERROR(__xludf.DUMMYFUNCTION("""COMPUTED_VALUE"""),"-59.0894187")</f>
        <v>-59.0894187</v>
      </c>
      <c r="S2023" s="30" t="str">
        <f ca="1">IFERROR(__xludf.DUMMYFUNCTION("""COMPUTED_VALUE"""),"Provincial")</f>
        <v>Provincial</v>
      </c>
      <c r="T2023" s="29"/>
    </row>
    <row r="2024" spans="1:20" ht="15.75" customHeight="1" x14ac:dyDescent="0.25">
      <c r="A2024" s="30" t="str">
        <f ca="1">IFERROR(__xludf.DUMMYFUNCTION("""COMPUTED_VALUE"""),"50060982202605")</f>
        <v>50060982202605</v>
      </c>
      <c r="B2024" s="30" t="str">
        <f ca="1">IFERROR(__xludf.DUMMYFUNCTION("""COMPUTED_VALUE"""),"UNIDAD SANITARIA N° 35 DE BERISSO")</f>
        <v>UNIDAD SANITARIA N° 35 DE BERISSO</v>
      </c>
      <c r="C2024" s="30" t="str">
        <f ca="1">IFERROR(__xludf.DUMMYFUNCTION("""COMPUTED_VALUE"""),"Buenos Aires")</f>
        <v>Buenos Aires</v>
      </c>
      <c r="D2024" s="30" t="str">
        <f ca="1">IFERROR(__xludf.DUMMYFUNCTION("""COMPUTED_VALUE"""),"6")</f>
        <v>6</v>
      </c>
      <c r="E2024" s="30" t="str">
        <f ca="1">IFERROR(__xludf.DUMMYFUNCTION("""COMPUTED_VALUE"""),"")</f>
        <v/>
      </c>
      <c r="F2024" s="29"/>
      <c r="G2024" s="29"/>
      <c r="H2024" s="30" t="str">
        <f ca="1">IFERROR(__xludf.DUMMYFUNCTION("""COMPUTED_VALUE"""),"activo")</f>
        <v>activo</v>
      </c>
      <c r="I2024" s="30" t="str">
        <f ca="1">IFERROR(__xludf.DUMMYFUNCTION("""COMPUTED_VALUE"""),"Se dio de alta según nota del 25/11/2021 de PBA")</f>
        <v>Se dio de alta según nota del 25/11/2021 de PBA</v>
      </c>
      <c r="J2024" s="29"/>
      <c r="K2024" s="29"/>
      <c r="L2024" s="29"/>
      <c r="M2024" s="30" t="str">
        <f ca="1">IFERROR(__xludf.DUMMYFUNCTION("""COMPUTED_VALUE"""),"6098010004")</f>
        <v>6098010004</v>
      </c>
      <c r="N2024" s="30" t="str">
        <f ca="1">IFERROR(__xludf.DUMMYFUNCTION("""COMPUTED_VALUE"""),"BERISSO")</f>
        <v>BERISSO</v>
      </c>
      <c r="O2024" s="30" t="str">
        <f ca="1">IFERROR(__xludf.DUMMYFUNCTION("""COMPUTED_VALUE"""),"698")</f>
        <v>698</v>
      </c>
      <c r="P2024" s="30" t="str">
        <f ca="1">IFERROR(__xludf.DUMMYFUNCTION("""COMPUTED_VALUE"""),"BERISSO")</f>
        <v>BERISSO</v>
      </c>
      <c r="Q2024" s="30" t="str">
        <f ca="1">IFERROR(__xludf.DUMMYFUNCTION("""COMPUTED_VALUE"""),"-34.93308959")</f>
        <v>-34.93308959</v>
      </c>
      <c r="R2024" s="30" t="str">
        <f ca="1">IFERROR(__xludf.DUMMYFUNCTION("""COMPUTED_VALUE"""),"-57.88846493")</f>
        <v>-57.88846493</v>
      </c>
      <c r="S2024" s="30" t="str">
        <f ca="1">IFERROR(__xludf.DUMMYFUNCTION("""COMPUTED_VALUE"""),"Municipal")</f>
        <v>Municipal</v>
      </c>
      <c r="T2024" s="30" t="str">
        <f ca="1">IFERROR(__xludf.DUMMYFUNCTION("""COMPUTED_VALUE"""),"Berisso")</f>
        <v>Berisso</v>
      </c>
    </row>
    <row r="2025" spans="1:20" ht="15.75" customHeight="1" x14ac:dyDescent="0.25">
      <c r="A2025" s="30" t="str">
        <f ca="1">IFERROR(__xludf.DUMMYFUNCTION("""COMPUTED_VALUE"""),"CI50068402203000")</f>
        <v>CI50068402203000</v>
      </c>
      <c r="B2025" s="30" t="str">
        <f ca="1">IFERROR(__xludf.DUMMYFUNCTION("""COMPUTED_VALUE"""),"UNIDAD SANITARIA FRANCISCO  ALVAREZ")</f>
        <v>UNIDAD SANITARIA FRANCISCO  ALVAREZ</v>
      </c>
      <c r="C2025" s="30" t="str">
        <f ca="1">IFERROR(__xludf.DUMMYFUNCTION("""COMPUTED_VALUE"""),"Buenos Aires")</f>
        <v>Buenos Aires</v>
      </c>
      <c r="D2025" s="30" t="str">
        <f ca="1">IFERROR(__xludf.DUMMYFUNCTION("""COMPUTED_VALUE"""),"6")</f>
        <v>6</v>
      </c>
      <c r="E2025" s="30" t="str">
        <f ca="1">IFERROR(__xludf.DUMMYFUNCTION("""COMPUTED_VALUE"""),"")</f>
        <v/>
      </c>
      <c r="F2025" s="29"/>
      <c r="G2025" s="29"/>
      <c r="H2025" s="30" t="str">
        <f ca="1">IFERROR(__xludf.DUMMYFUNCTION("""COMPUTED_VALUE"""),"activo")</f>
        <v>activo</v>
      </c>
      <c r="I2025" s="30" t="str">
        <f ca="1">IFERROR(__xludf.DUMMYFUNCTION("""COMPUTED_VALUE"""),"Se dió de alta según nota del 29/3/2022. Efector sin REFES")</f>
        <v>Se dió de alta según nota del 29/3/2022. Efector sin REFES</v>
      </c>
      <c r="J2025" s="29"/>
      <c r="K2025" s="29"/>
      <c r="L2025" s="29"/>
      <c r="M2025" s="30" t="str">
        <f ca="1">IFERROR(__xludf.DUMMYFUNCTION("""COMPUTED_VALUE"""),"6560010004")</f>
        <v>6560010004</v>
      </c>
      <c r="N2025" s="30" t="str">
        <f ca="1">IFERROR(__xludf.DUMMYFUNCTION("""COMPUTED_VALUE"""),"MORENO")</f>
        <v>MORENO</v>
      </c>
      <c r="O2025" s="30" t="str">
        <f ca="1">IFERROR(__xludf.DUMMYFUNCTION("""COMPUTED_VALUE"""),"560")</f>
        <v>560</v>
      </c>
      <c r="P2025" s="30" t="str">
        <f ca="1">IFERROR(__xludf.DUMMYFUNCTION("""COMPUTED_VALUE"""),"MORENO")</f>
        <v>MORENO</v>
      </c>
      <c r="Q2025" s="30" t="str">
        <f ca="1">IFERROR(__xludf.DUMMYFUNCTION("""COMPUTED_VALUE"""),"-34.63096")</f>
        <v>-34.63096</v>
      </c>
      <c r="R2025" s="30" t="str">
        <f ca="1">IFERROR(__xludf.DUMMYFUNCTION("""COMPUTED_VALUE"""),"-58.850523")</f>
        <v>-58.850523</v>
      </c>
      <c r="S2025" s="30" t="str">
        <f ca="1">IFERROR(__xludf.DUMMYFUNCTION("""COMPUTED_VALUE"""),"Municipal")</f>
        <v>Municipal</v>
      </c>
      <c r="T2025" s="30" t="str">
        <f ca="1">IFERROR(__xludf.DUMMYFUNCTION("""COMPUTED_VALUE"""),"Moreno")</f>
        <v>Moreno</v>
      </c>
    </row>
    <row r="2026" spans="1:20" ht="15.75" customHeight="1" x14ac:dyDescent="0.25">
      <c r="A2026" s="30" t="str">
        <f ca="1">IFERROR(__xludf.DUMMYFUNCTION("""COMPUTED_VALUE"""),"50062742218921")</f>
        <v>50062742218921</v>
      </c>
      <c r="B2026" s="30" t="str">
        <f ca="1">IFERROR(__xludf.DUMMYFUNCTION("""COMPUTED_VALUE"""),"CENTRO DE SALUD MUNICIPAL UNIVERSITARIO PADRE GINO")</f>
        <v>CENTRO DE SALUD MUNICIPAL UNIVERSITARIO PADRE GINO</v>
      </c>
      <c r="C2026" s="30" t="str">
        <f ca="1">IFERROR(__xludf.DUMMYFUNCTION("""COMPUTED_VALUE"""),"Buenos Aires")</f>
        <v>Buenos Aires</v>
      </c>
      <c r="D2026" s="30" t="str">
        <f ca="1">IFERROR(__xludf.DUMMYFUNCTION("""COMPUTED_VALUE"""),"6")</f>
        <v>6</v>
      </c>
      <c r="E2026" s="30" t="str">
        <f ca="1">IFERROR(__xludf.DUMMYFUNCTION("""COMPUTED_VALUE"""),"")</f>
        <v/>
      </c>
      <c r="F2026" s="29"/>
      <c r="G2026" s="29"/>
      <c r="H2026" s="30" t="str">
        <f ca="1">IFERROR(__xludf.DUMMYFUNCTION("""COMPUTED_VALUE"""),"activo")</f>
        <v>activo</v>
      </c>
      <c r="I2026" s="30" t="str">
        <f ca="1">IFERROR(__xludf.DUMMYFUNCTION("""COMPUTED_VALUE"""),"Se dió de alta según nota del 31-3-2022")</f>
        <v>Se dió de alta según nota del 31-3-2022</v>
      </c>
      <c r="J2026" s="29"/>
      <c r="K2026" s="29"/>
      <c r="L2026" s="29"/>
      <c r="M2026" s="30" t="str">
        <f ca="1">IFERROR(__xludf.DUMMYFUNCTION("""COMPUTED_VALUE"""),"6274010003")</f>
        <v>6274010003</v>
      </c>
      <c r="N2026" s="30" t="str">
        <f ca="1">IFERROR(__xludf.DUMMYFUNCTION("""COMPUTED_VALUE"""),"FLORENCIO VARELA")</f>
        <v>FLORENCIO VARELA</v>
      </c>
      <c r="O2026" s="30" t="str">
        <f ca="1">IFERROR(__xludf.DUMMYFUNCTION("""COMPUTED_VALUE"""),"6274")</f>
        <v>6274</v>
      </c>
      <c r="P2026" s="30" t="str">
        <f ca="1">IFERROR(__xludf.DUMMYFUNCTION("""COMPUTED_VALUE"""),"FLORENCIO VARELA")</f>
        <v>FLORENCIO VARELA</v>
      </c>
      <c r="Q2026" s="29"/>
      <c r="R2026" s="29"/>
      <c r="S2026" s="30" t="str">
        <f ca="1">IFERROR(__xludf.DUMMYFUNCTION("""COMPUTED_VALUE"""),"Municipal")</f>
        <v>Municipal</v>
      </c>
      <c r="T2026" s="29"/>
    </row>
    <row r="2027" spans="1:20" ht="15.75" customHeight="1" x14ac:dyDescent="0.25">
      <c r="A2027" s="30" t="str">
        <f ca="1">IFERROR(__xludf.DUMMYFUNCTION("""COMPUTED_VALUE"""),"50060352202471")</f>
        <v>50060352202471</v>
      </c>
      <c r="B2027" s="30" t="str">
        <f ca="1">IFERROR(__xludf.DUMMYFUNCTION("""COMPUTED_VALUE"""),"UNIDAD SANITARIA N° 10 DE AVELLANEDA")</f>
        <v>UNIDAD SANITARIA N° 10 DE AVELLANEDA</v>
      </c>
      <c r="C2027" s="30" t="str">
        <f ca="1">IFERROR(__xludf.DUMMYFUNCTION("""COMPUTED_VALUE"""),"Buenos Aires")</f>
        <v>Buenos Aires</v>
      </c>
      <c r="D2027" s="30" t="str">
        <f ca="1">IFERROR(__xludf.DUMMYFUNCTION("""COMPUTED_VALUE"""),"6")</f>
        <v>6</v>
      </c>
      <c r="E2027" s="30" t="str">
        <f ca="1">IFERROR(__xludf.DUMMYFUNCTION("""COMPUTED_VALUE"""),"")</f>
        <v/>
      </c>
      <c r="F2027" s="29"/>
      <c r="G2027" s="29"/>
      <c r="H2027" s="30" t="str">
        <f ca="1">IFERROR(__xludf.DUMMYFUNCTION("""COMPUTED_VALUE"""),"activo")</f>
        <v>activo</v>
      </c>
      <c r="I2027" s="30" t="str">
        <f ca="1">IFERROR(__xludf.DUMMYFUNCTION("""COMPUTED_VALUE"""),"Se dió de alta según nota del 31-3-2022")</f>
        <v>Se dió de alta según nota del 31-3-2022</v>
      </c>
      <c r="J2027" s="29"/>
      <c r="K2027" s="29"/>
      <c r="L2027" s="29"/>
      <c r="M2027" s="30" t="str">
        <f ca="1">IFERROR(__xludf.DUMMYFUNCTION("""COMPUTED_VALUE"""),"6035010005")</f>
        <v>6035010005</v>
      </c>
      <c r="N2027" s="30" t="str">
        <f ca="1">IFERROR(__xludf.DUMMYFUNCTION("""COMPUTED_VALUE"""),"GERLI")</f>
        <v>GERLI</v>
      </c>
      <c r="O2027" s="30" t="str">
        <f ca="1">IFERROR(__xludf.DUMMYFUNCTION("""COMPUTED_VALUE"""),"635")</f>
        <v>635</v>
      </c>
      <c r="P2027" s="30" t="str">
        <f ca="1">IFERROR(__xludf.DUMMYFUNCTION("""COMPUTED_VALUE"""),"AVELLANEDA")</f>
        <v>AVELLANEDA</v>
      </c>
      <c r="Q2027" s="30" t="str">
        <f ca="1">IFERROR(__xludf.DUMMYFUNCTION("""COMPUTED_VALUE"""),"-34.712844")</f>
        <v>-34.712844</v>
      </c>
      <c r="R2027" s="30" t="str">
        <f ca="1">IFERROR(__xludf.DUMMYFUNCTION("""COMPUTED_VALUE"""),"-58.345345")</f>
        <v>-58.345345</v>
      </c>
      <c r="S2027" s="30" t="str">
        <f ca="1">IFERROR(__xludf.DUMMYFUNCTION("""COMPUTED_VALUE"""),"Municipal")</f>
        <v>Municipal</v>
      </c>
      <c r="T2027" s="29"/>
    </row>
    <row r="2028" spans="1:20" ht="15.75" customHeight="1" x14ac:dyDescent="0.25">
      <c r="A2028" s="30" t="str">
        <f ca="1">IFERROR(__xludf.DUMMYFUNCTION("""COMPUTED_VALUE"""),"50060352202628")</f>
        <v>50060352202628</v>
      </c>
      <c r="B2028" s="30" t="str">
        <f ca="1">IFERROR(__xludf.DUMMYFUNCTION("""COMPUTED_VALUE"""),"UNIDAD SANITARIA N° 5 DE AVELLANEDA")</f>
        <v>UNIDAD SANITARIA N° 5 DE AVELLANEDA</v>
      </c>
      <c r="C2028" s="30" t="str">
        <f ca="1">IFERROR(__xludf.DUMMYFUNCTION("""COMPUTED_VALUE"""),"Buenos Aires")</f>
        <v>Buenos Aires</v>
      </c>
      <c r="D2028" s="30" t="str">
        <f ca="1">IFERROR(__xludf.DUMMYFUNCTION("""COMPUTED_VALUE"""),"6")</f>
        <v>6</v>
      </c>
      <c r="E2028" s="30" t="str">
        <f ca="1">IFERROR(__xludf.DUMMYFUNCTION("""COMPUTED_VALUE"""),"")</f>
        <v/>
      </c>
      <c r="F2028" s="29"/>
      <c r="G2028" s="29"/>
      <c r="H2028" s="30" t="str">
        <f ca="1">IFERROR(__xludf.DUMMYFUNCTION("""COMPUTED_VALUE"""),"activo")</f>
        <v>activo</v>
      </c>
      <c r="I2028" s="30" t="str">
        <f ca="1">IFERROR(__xludf.DUMMYFUNCTION("""COMPUTED_VALUE"""),"Se dió de alta según nota del 31-3-2022")</f>
        <v>Se dió de alta según nota del 31-3-2022</v>
      </c>
      <c r="J2028" s="29"/>
      <c r="K2028" s="29"/>
      <c r="L2028" s="29"/>
      <c r="M2028" s="30" t="str">
        <f ca="1">IFERROR(__xludf.DUMMYFUNCTION("""COMPUTED_VALUE"""),"6035010009")</f>
        <v>6035010009</v>
      </c>
      <c r="N2028" s="30" t="str">
        <f ca="1">IFERROR(__xludf.DUMMYFUNCTION("""COMPUTED_VALUE"""),"WILDE")</f>
        <v>WILDE</v>
      </c>
      <c r="O2028" s="30" t="str">
        <f ca="1">IFERROR(__xludf.DUMMYFUNCTION("""COMPUTED_VALUE"""),"635")</f>
        <v>635</v>
      </c>
      <c r="P2028" s="30" t="str">
        <f ca="1">IFERROR(__xludf.DUMMYFUNCTION("""COMPUTED_VALUE"""),"AVELLANEDA")</f>
        <v>AVELLANEDA</v>
      </c>
      <c r="Q2028" s="30" t="str">
        <f ca="1">IFERROR(__xludf.DUMMYFUNCTION("""COMPUTED_VALUE"""),"-34.6836544")</f>
        <v>-34.6836544</v>
      </c>
      <c r="R2028" s="30" t="str">
        <f ca="1">IFERROR(__xludf.DUMMYFUNCTION("""COMPUTED_VALUE"""),"-58.3858452")</f>
        <v>-58.3858452</v>
      </c>
      <c r="S2028" s="30" t="str">
        <f ca="1">IFERROR(__xludf.DUMMYFUNCTION("""COMPUTED_VALUE"""),"Municipal")</f>
        <v>Municipal</v>
      </c>
      <c r="T2028" s="29"/>
    </row>
    <row r="2029" spans="1:20" ht="15.75" customHeight="1" x14ac:dyDescent="0.25">
      <c r="A2029" s="30" t="str">
        <f ca="1">IFERROR(__xludf.DUMMYFUNCTION("""COMPUTED_VALUE"""),"50064972201463")</f>
        <v>50064972201463</v>
      </c>
      <c r="B2029" s="30" t="str">
        <f ca="1">IFERROR(__xludf.DUMMYFUNCTION("""COMPUTED_VALUE"""),"CENTRO PERIFERICO DE SALUD PARQUE LASA")</f>
        <v>CENTRO PERIFERICO DE SALUD PARQUE LASA</v>
      </c>
      <c r="C2029" s="30" t="str">
        <f ca="1">IFERROR(__xludf.DUMMYFUNCTION("""COMPUTED_VALUE"""),"Buenos Aires")</f>
        <v>Buenos Aires</v>
      </c>
      <c r="D2029" s="30" t="str">
        <f ca="1">IFERROR(__xludf.DUMMYFUNCTION("""COMPUTED_VALUE"""),"6")</f>
        <v>6</v>
      </c>
      <c r="E2029" s="30" t="str">
        <f ca="1">IFERROR(__xludf.DUMMYFUNCTION("""COMPUTED_VALUE"""),"")</f>
        <v/>
      </c>
      <c r="F2029" s="29"/>
      <c r="G2029" s="29"/>
      <c r="H2029" s="30" t="str">
        <f ca="1">IFERROR(__xludf.DUMMYFUNCTION("""COMPUTED_VALUE"""),"activo")</f>
        <v>activo</v>
      </c>
      <c r="I2029" s="30" t="str">
        <f ca="1">IFERROR(__xludf.DUMMYFUNCTION("""COMPUTED_VALUE"""),"Se dió de alta según nota del 31-3-2022")</f>
        <v>Se dió de alta según nota del 31-3-2022</v>
      </c>
      <c r="J2029" s="29"/>
      <c r="K2029" s="29"/>
      <c r="L2029" s="29"/>
      <c r="M2029" s="30" t="str">
        <f ca="1">IFERROR(__xludf.DUMMYFUNCTION("""COMPUTED_VALUE"""),"6497060000")</f>
        <v>6497060000</v>
      </c>
      <c r="N2029" s="30" t="str">
        <f ca="1">IFERROR(__xludf.DUMMYFUNCTION("""COMPUTED_VALUE"""),"LUJAN")</f>
        <v>LUJAN</v>
      </c>
      <c r="O2029" s="30" t="str">
        <f ca="1">IFERROR(__xludf.DUMMYFUNCTION("""COMPUTED_VALUE"""),"6497")</f>
        <v>6497</v>
      </c>
      <c r="P2029" s="30" t="str">
        <f ca="1">IFERROR(__xludf.DUMMYFUNCTION("""COMPUTED_VALUE"""),"LUJÁN")</f>
        <v>LUJÁN</v>
      </c>
      <c r="Q2029" s="30" t="str">
        <f ca="1">IFERROR(__xludf.DUMMYFUNCTION("""COMPUTED_VALUE"""),"-34.582816")</f>
        <v>-34.582816</v>
      </c>
      <c r="R2029" s="30" t="str">
        <f ca="1">IFERROR(__xludf.DUMMYFUNCTION("""COMPUTED_VALUE"""),"-59.09454")</f>
        <v>-59.09454</v>
      </c>
      <c r="S2029" s="30" t="str">
        <f ca="1">IFERROR(__xludf.DUMMYFUNCTION("""COMPUTED_VALUE"""),"Municipal")</f>
        <v>Municipal</v>
      </c>
      <c r="T2029" s="29"/>
    </row>
    <row r="2030" spans="1:20" ht="15.75" customHeight="1" x14ac:dyDescent="0.25">
      <c r="A2030" s="30" t="str">
        <f ca="1">IFERROR(__xludf.DUMMYFUNCTION("""COMPUTED_VALUE"""),"50064972202390")</f>
        <v>50064972202390</v>
      </c>
      <c r="B2030" s="30" t="str">
        <f ca="1">IFERROR(__xludf.DUMMYFUNCTION("""COMPUTED_VALUE"""),"UNIDAD SANITARIA LANUSSE")</f>
        <v>UNIDAD SANITARIA LANUSSE</v>
      </c>
      <c r="C2030" s="30" t="str">
        <f ca="1">IFERROR(__xludf.DUMMYFUNCTION("""COMPUTED_VALUE"""),"Buenos Aires")</f>
        <v>Buenos Aires</v>
      </c>
      <c r="D2030" s="30" t="str">
        <f ca="1">IFERROR(__xludf.DUMMYFUNCTION("""COMPUTED_VALUE"""),"6")</f>
        <v>6</v>
      </c>
      <c r="E2030" s="30" t="str">
        <f ca="1">IFERROR(__xludf.DUMMYFUNCTION("""COMPUTED_VALUE"""),"")</f>
        <v/>
      </c>
      <c r="F2030" s="29"/>
      <c r="G2030" s="29"/>
      <c r="H2030" s="30" t="str">
        <f ca="1">IFERROR(__xludf.DUMMYFUNCTION("""COMPUTED_VALUE"""),"activo")</f>
        <v>activo</v>
      </c>
      <c r="I2030" s="30" t="str">
        <f ca="1">IFERROR(__xludf.DUMMYFUNCTION("""COMPUTED_VALUE"""),"Se dió de alta según nota del 31-3-2022")</f>
        <v>Se dió de alta según nota del 31-3-2022</v>
      </c>
      <c r="J2030" s="29"/>
      <c r="K2030" s="29"/>
      <c r="L2030" s="29"/>
      <c r="M2030" s="30" t="str">
        <f ca="1">IFERROR(__xludf.DUMMYFUNCTION("""COMPUTED_VALUE"""),"6497060000")</f>
        <v>6497060000</v>
      </c>
      <c r="N2030" s="30" t="str">
        <f ca="1">IFERROR(__xludf.DUMMYFUNCTION("""COMPUTED_VALUE"""),"LUJAN")</f>
        <v>LUJAN</v>
      </c>
      <c r="O2030" s="30" t="str">
        <f ca="1">IFERROR(__xludf.DUMMYFUNCTION("""COMPUTED_VALUE"""),"6497")</f>
        <v>6497</v>
      </c>
      <c r="P2030" s="30" t="str">
        <f ca="1">IFERROR(__xludf.DUMMYFUNCTION("""COMPUTED_VALUE"""),"LUJÁN")</f>
        <v>LUJÁN</v>
      </c>
      <c r="Q2030" s="30" t="str">
        <f ca="1">IFERROR(__xludf.DUMMYFUNCTION("""COMPUTED_VALUE"""),"-34.57335971")</f>
        <v>-34.57335971</v>
      </c>
      <c r="R2030" s="30" t="str">
        <f ca="1">IFERROR(__xludf.DUMMYFUNCTION("""COMPUTED_VALUE"""),"-59.08791447")</f>
        <v>-59.08791447</v>
      </c>
      <c r="S2030" s="30" t="str">
        <f ca="1">IFERROR(__xludf.DUMMYFUNCTION("""COMPUTED_VALUE"""),"Municipal")</f>
        <v>Municipal</v>
      </c>
      <c r="T2030" s="29"/>
    </row>
    <row r="2031" spans="1:20" ht="15.75" customHeight="1" x14ac:dyDescent="0.25">
      <c r="A2031" s="30" t="str">
        <f ca="1">IFERROR(__xludf.DUMMYFUNCTION("""COMPUTED_VALUE"""),"50063292202728")</f>
        <v>50063292202728</v>
      </c>
      <c r="B2031" s="30" t="str">
        <f ca="1">IFERROR(__xludf.DUMMYFUNCTION("""COMPUTED_VALUE"""),"UNIDAD SANITARIA PLOMER")</f>
        <v>UNIDAD SANITARIA PLOMER</v>
      </c>
      <c r="C2031" s="30" t="str">
        <f ca="1">IFERROR(__xludf.DUMMYFUNCTION("""COMPUTED_VALUE"""),"Buenos Aires")</f>
        <v>Buenos Aires</v>
      </c>
      <c r="D2031" s="30" t="str">
        <f ca="1">IFERROR(__xludf.DUMMYFUNCTION("""COMPUTED_VALUE"""),"6")</f>
        <v>6</v>
      </c>
      <c r="E2031" s="30" t="str">
        <f ca="1">IFERROR(__xludf.DUMMYFUNCTION("""COMPUTED_VALUE"""),"")</f>
        <v/>
      </c>
      <c r="F2031" s="29"/>
      <c r="G2031" s="29"/>
      <c r="H2031" s="30" t="str">
        <f ca="1">IFERROR(__xludf.DUMMYFUNCTION("""COMPUTED_VALUE"""),"activo")</f>
        <v>activo</v>
      </c>
      <c r="I2031" s="30" t="str">
        <f ca="1">IFERROR(__xludf.DUMMYFUNCTION("""COMPUTED_VALUE"""),"Se dió de alta según nota del 31-3-2022")</f>
        <v>Se dió de alta según nota del 31-3-2022</v>
      </c>
      <c r="J2031" s="29"/>
      <c r="K2031" s="29"/>
      <c r="L2031" s="29"/>
      <c r="M2031" s="30" t="str">
        <f ca="1">IFERROR(__xludf.DUMMYFUNCTION("""COMPUTED_VALUE"""),"6329050000")</f>
        <v>6329050000</v>
      </c>
      <c r="N2031" s="30" t="str">
        <f ca="1">IFERROR(__xludf.DUMMYFUNCTION("""COMPUTED_VALUE"""),"PLOMER")</f>
        <v>PLOMER</v>
      </c>
      <c r="O2031" s="30" t="str">
        <f ca="1">IFERROR(__xludf.DUMMYFUNCTION("""COMPUTED_VALUE"""),"6329")</f>
        <v>6329</v>
      </c>
      <c r="P2031" s="30" t="str">
        <f ca="1">IFERROR(__xludf.DUMMYFUNCTION("""COMPUTED_VALUE"""),"GENERAL LAS HERAS")</f>
        <v>GENERAL LAS HERAS</v>
      </c>
      <c r="Q2031" s="30" t="str">
        <f ca="1">IFERROR(__xludf.DUMMYFUNCTION("""COMPUTED_VALUE"""),"-34.79375978")</f>
        <v>-34.79375978</v>
      </c>
      <c r="R2031" s="30" t="str">
        <f ca="1">IFERROR(__xludf.DUMMYFUNCTION("""COMPUTED_VALUE"""),"-59.04114533")</f>
        <v>-59.04114533</v>
      </c>
      <c r="S2031" s="30" t="str">
        <f ca="1">IFERROR(__xludf.DUMMYFUNCTION("""COMPUTED_VALUE"""),"Municipal")</f>
        <v>Municipal</v>
      </c>
      <c r="T2031" s="29"/>
    </row>
    <row r="2032" spans="1:20" ht="15.75" customHeight="1" x14ac:dyDescent="0.25">
      <c r="A2032" s="30" t="str">
        <f ca="1">IFERROR(__xludf.DUMMYFUNCTION("""COMPUTED_VALUE"""),"50063292201904")</f>
        <v>50063292201904</v>
      </c>
      <c r="B2032" s="30" t="str">
        <f ca="1">IFERROR(__xludf.DUMMYFUNCTION("""COMPUTED_VALUE"""),"SALA DE PRIMEROS AUXILIOS VILLARS")</f>
        <v>SALA DE PRIMEROS AUXILIOS VILLARS</v>
      </c>
      <c r="C2032" s="30" t="str">
        <f ca="1">IFERROR(__xludf.DUMMYFUNCTION("""COMPUTED_VALUE"""),"Buenos Aires")</f>
        <v>Buenos Aires</v>
      </c>
      <c r="D2032" s="30" t="str">
        <f ca="1">IFERROR(__xludf.DUMMYFUNCTION("""COMPUTED_VALUE"""),"6")</f>
        <v>6</v>
      </c>
      <c r="E2032" s="30" t="str">
        <f ca="1">IFERROR(__xludf.DUMMYFUNCTION("""COMPUTED_VALUE"""),"")</f>
        <v/>
      </c>
      <c r="F2032" s="29"/>
      <c r="G2032" s="29"/>
      <c r="H2032" s="30" t="str">
        <f ca="1">IFERROR(__xludf.DUMMYFUNCTION("""COMPUTED_VALUE"""),"activo")</f>
        <v>activo</v>
      </c>
      <c r="I2032" s="30" t="str">
        <f ca="1">IFERROR(__xludf.DUMMYFUNCTION("""COMPUTED_VALUE"""),"Se dió de alta según nota del 31-3-2022")</f>
        <v>Se dió de alta según nota del 31-3-2022</v>
      </c>
      <c r="J2032" s="29"/>
      <c r="K2032" s="29"/>
      <c r="L2032" s="29"/>
      <c r="M2032" s="30" t="str">
        <f ca="1">IFERROR(__xludf.DUMMYFUNCTION("""COMPUTED_VALUE"""),"6329060000")</f>
        <v>6329060000</v>
      </c>
      <c r="N2032" s="30" t="str">
        <f ca="1">IFERROR(__xludf.DUMMYFUNCTION("""COMPUTED_VALUE"""),"VILLARS")</f>
        <v>VILLARS</v>
      </c>
      <c r="O2032" s="30" t="str">
        <f ca="1">IFERROR(__xludf.DUMMYFUNCTION("""COMPUTED_VALUE"""),"6329")</f>
        <v>6329</v>
      </c>
      <c r="P2032" s="30" t="str">
        <f ca="1">IFERROR(__xludf.DUMMYFUNCTION("""COMPUTED_VALUE"""),"GENERAL LAS HERAS")</f>
        <v>GENERAL LAS HERAS</v>
      </c>
      <c r="Q2032" s="30" t="str">
        <f ca="1">IFERROR(__xludf.DUMMYFUNCTION("""COMPUTED_VALUE"""),"-34.83124934")</f>
        <v>-34.83124934</v>
      </c>
      <c r="R2032" s="30" t="str">
        <f ca="1">IFERROR(__xludf.DUMMYFUNCTION("""COMPUTED_VALUE"""),"-58.9336853")</f>
        <v>-58.9336853</v>
      </c>
      <c r="S2032" s="30" t="str">
        <f ca="1">IFERROR(__xludf.DUMMYFUNCTION("""COMPUTED_VALUE"""),"Municipal")</f>
        <v>Municipal</v>
      </c>
      <c r="T2032" s="29"/>
    </row>
    <row r="2033" spans="1:20" ht="15.75" customHeight="1" x14ac:dyDescent="0.25">
      <c r="A2033" s="30" t="str">
        <f ca="1">IFERROR(__xludf.DUMMYFUNCTION("""COMPUTED_VALUE"""),"50063642202645")</f>
        <v>50063642202645</v>
      </c>
      <c r="B2033" s="30" t="str">
        <f ca="1">IFERROR(__xludf.DUMMYFUNCTION("""COMPUTED_VALUE"""),"UNIDAD SANITARIA N° 6 DE GENERAL RODRIGUEZ")</f>
        <v>UNIDAD SANITARIA N° 6 DE GENERAL RODRIGUEZ</v>
      </c>
      <c r="C2033" s="30" t="str">
        <f ca="1">IFERROR(__xludf.DUMMYFUNCTION("""COMPUTED_VALUE"""),"Buenos Aires")</f>
        <v>Buenos Aires</v>
      </c>
      <c r="D2033" s="30" t="str">
        <f ca="1">IFERROR(__xludf.DUMMYFUNCTION("""COMPUTED_VALUE"""),"6")</f>
        <v>6</v>
      </c>
      <c r="E2033" s="30" t="str">
        <f ca="1">IFERROR(__xludf.DUMMYFUNCTION("""COMPUTED_VALUE"""),"")</f>
        <v/>
      </c>
      <c r="F2033" s="29"/>
      <c r="G2033" s="29"/>
      <c r="H2033" s="30" t="str">
        <f ca="1">IFERROR(__xludf.DUMMYFUNCTION("""COMPUTED_VALUE"""),"activo")</f>
        <v>activo</v>
      </c>
      <c r="I2033" s="30" t="str">
        <f ca="1">IFERROR(__xludf.DUMMYFUNCTION("""COMPUTED_VALUE"""),"Se dió de alta según nota del 31-3-2022")</f>
        <v>Se dió de alta según nota del 31-3-2022</v>
      </c>
      <c r="J2033" s="29"/>
      <c r="K2033" s="29"/>
      <c r="L2033" s="29"/>
      <c r="M2033" s="30" t="str">
        <f ca="1">IFERROR(__xludf.DUMMYFUNCTION("""COMPUTED_VALUE"""),"6364030000")</f>
        <v>6364030000</v>
      </c>
      <c r="N2033" s="30" t="str">
        <f ca="1">IFERROR(__xludf.DUMMYFUNCTION("""COMPUTED_VALUE"""),"GENERAL RODRIGUEZ")</f>
        <v>GENERAL RODRIGUEZ</v>
      </c>
      <c r="O2033" s="30" t="str">
        <f ca="1">IFERROR(__xludf.DUMMYFUNCTION("""COMPUTED_VALUE"""),"6364")</f>
        <v>6364</v>
      </c>
      <c r="P2033" s="30" t="str">
        <f ca="1">IFERROR(__xludf.DUMMYFUNCTION("""COMPUTED_VALUE"""),"GENERAL RODRÍGUEZ")</f>
        <v>GENERAL RODRÍGUEZ</v>
      </c>
      <c r="Q2033" s="30" t="str">
        <f ca="1">IFERROR(__xludf.DUMMYFUNCTION("""COMPUTED_VALUE"""),"-34.6115258")</f>
        <v>-34.6115258</v>
      </c>
      <c r="R2033" s="30" t="str">
        <f ca="1">IFERROR(__xludf.DUMMYFUNCTION("""COMPUTED_VALUE"""),"-58.9697626")</f>
        <v>-58.9697626</v>
      </c>
      <c r="S2033" s="30" t="str">
        <f ca="1">IFERROR(__xludf.DUMMYFUNCTION("""COMPUTED_VALUE"""),"Municipal")</f>
        <v>Municipal</v>
      </c>
      <c r="T2033" s="29"/>
    </row>
    <row r="2034" spans="1:20" ht="15.75" customHeight="1" x14ac:dyDescent="0.25">
      <c r="A2034" s="30" t="str">
        <f ca="1">IFERROR(__xludf.DUMMYFUNCTION("""COMPUTED_VALUE"""),"50062742202733")</f>
        <v>50062742202733</v>
      </c>
      <c r="B2034" s="30" t="str">
        <f ca="1">IFERROR(__xludf.DUMMYFUNCTION("""COMPUTED_VALUE"""),"UNIDAD SANITARIA PRESIDENTE PERON BARRIO PEPSI DE FLORENCIO VARELA")</f>
        <v>UNIDAD SANITARIA PRESIDENTE PERON BARRIO PEPSI DE FLORENCIO VARELA</v>
      </c>
      <c r="C2034" s="30" t="str">
        <f ca="1">IFERROR(__xludf.DUMMYFUNCTION("""COMPUTED_VALUE"""),"Buenos Aires")</f>
        <v>Buenos Aires</v>
      </c>
      <c r="D2034" s="30" t="str">
        <f ca="1">IFERROR(__xludf.DUMMYFUNCTION("""COMPUTED_VALUE"""),"6")</f>
        <v>6</v>
      </c>
      <c r="E2034" s="30" t="str">
        <f ca="1">IFERROR(__xludf.DUMMYFUNCTION("""COMPUTED_VALUE"""),"")</f>
        <v/>
      </c>
      <c r="F2034" s="29"/>
      <c r="G2034" s="29"/>
      <c r="H2034" s="30" t="str">
        <f ca="1">IFERROR(__xludf.DUMMYFUNCTION("""COMPUTED_VALUE"""),"activo")</f>
        <v>activo</v>
      </c>
      <c r="I2034" s="30" t="str">
        <f ca="1">IFERROR(__xludf.DUMMYFUNCTION("""COMPUTED_VALUE"""),"Se dió de alta según nota del 31-3-2022")</f>
        <v>Se dió de alta según nota del 31-3-2022</v>
      </c>
      <c r="J2034" s="29"/>
      <c r="K2034" s="29"/>
      <c r="L2034" s="29"/>
      <c r="M2034" s="30" t="str">
        <f ca="1">IFERROR(__xludf.DUMMYFUNCTION("""COMPUTED_VALUE"""),"6274010001")</f>
        <v>6274010001</v>
      </c>
      <c r="N2034" s="30" t="str">
        <f ca="1">IFERROR(__xludf.DUMMYFUNCTION("""COMPUTED_VALUE"""),"BOSQUES")</f>
        <v>BOSQUES</v>
      </c>
      <c r="O2034" s="30" t="str">
        <f ca="1">IFERROR(__xludf.DUMMYFUNCTION("""COMPUTED_VALUE"""),"6274")</f>
        <v>6274</v>
      </c>
      <c r="P2034" s="30" t="str">
        <f ca="1">IFERROR(__xludf.DUMMYFUNCTION("""COMPUTED_VALUE"""),"FLORENCIO VARELA")</f>
        <v>FLORENCIO VARELA</v>
      </c>
      <c r="Q2034" s="30" t="str">
        <f ca="1">IFERROR(__xludf.DUMMYFUNCTION("""COMPUTED_VALUE"""),"-34.8192")</f>
        <v>-34.8192</v>
      </c>
      <c r="R2034" s="30" t="str">
        <f ca="1">IFERROR(__xludf.DUMMYFUNCTION("""COMPUTED_VALUE"""),"-58.23")</f>
        <v>-58.23</v>
      </c>
      <c r="S2034" s="30" t="str">
        <f ca="1">IFERROR(__xludf.DUMMYFUNCTION("""COMPUTED_VALUE"""),"Municipal")</f>
        <v>Municipal</v>
      </c>
      <c r="T2034" s="29"/>
    </row>
    <row r="2035" spans="1:20" ht="15.75" customHeight="1" x14ac:dyDescent="0.25">
      <c r="A2035" s="30" t="str">
        <f ca="1">IFERROR(__xludf.DUMMYFUNCTION("""COMPUTED_VALUE"""),"50900982196116")</f>
        <v>50900982196116</v>
      </c>
      <c r="B2035" s="30" t="str">
        <f ca="1">IFERROR(__xludf.DUMMYFUNCTION("""COMPUTED_VALUE"""),"CAPS COLALAO DEL VALLE")</f>
        <v>CAPS COLALAO DEL VALLE</v>
      </c>
      <c r="C2035" s="30" t="str">
        <f ca="1">IFERROR(__xludf.DUMMYFUNCTION("""COMPUTED_VALUE"""),"Tucumán")</f>
        <v>Tucumán</v>
      </c>
      <c r="D2035" s="30" t="str">
        <f ca="1">IFERROR(__xludf.DUMMYFUNCTION("""COMPUTED_VALUE"""),"90")</f>
        <v>90</v>
      </c>
      <c r="E2035" s="30" t="str">
        <f ca="1">IFERROR(__xludf.DUMMYFUNCTION("""COMPUTED_VALUE"""),"si")</f>
        <v>si</v>
      </c>
      <c r="F2035" s="29"/>
      <c r="G2035" s="29"/>
      <c r="H2035" s="30" t="str">
        <f ca="1">IFERROR(__xludf.DUMMYFUNCTION("""COMPUTED_VALUE"""),"activo")</f>
        <v>activo</v>
      </c>
      <c r="I2035" s="30" t="str">
        <f ca="1">IFERROR(__xludf.DUMMYFUNCTION("""COMPUTED_VALUE"""),"Se dió de alta según nota del 31-3-2022")</f>
        <v>Se dió de alta según nota del 31-3-2022</v>
      </c>
      <c r="J2035" s="29"/>
      <c r="K2035" s="29"/>
      <c r="L2035" s="29"/>
      <c r="M2035" s="30" t="str">
        <f ca="1">IFERROR(__xludf.DUMMYFUNCTION("""COMPUTED_VALUE"""),"90098020000")</f>
        <v>90098020000</v>
      </c>
      <c r="N2035" s="30" t="str">
        <f ca="1">IFERROR(__xludf.DUMMYFUNCTION("""COMPUTED_VALUE"""),"COLALAO DEL VALLE")</f>
        <v>COLALAO DEL VALLE</v>
      </c>
      <c r="O2035" s="30" t="str">
        <f ca="1">IFERROR(__xludf.DUMMYFUNCTION("""COMPUTED_VALUE"""),"9098")</f>
        <v>9098</v>
      </c>
      <c r="P2035" s="30" t="str">
        <f ca="1">IFERROR(__xludf.DUMMYFUNCTION("""COMPUTED_VALUE"""),"TAFÍ DEL VALLE")</f>
        <v>TAFÍ DEL VALLE</v>
      </c>
      <c r="Q2035" s="30" t="str">
        <f ca="1">IFERROR(__xludf.DUMMYFUNCTION("""COMPUTED_VALUE"""),"-26.361574")</f>
        <v>-26.361574</v>
      </c>
      <c r="R2035" s="30" t="str">
        <f ca="1">IFERROR(__xludf.DUMMYFUNCTION("""COMPUTED_VALUE"""),"-65.956432")</f>
        <v>-65.956432</v>
      </c>
      <c r="S2035" s="30" t="str">
        <f ca="1">IFERROR(__xludf.DUMMYFUNCTION("""COMPUTED_VALUE"""),"Provincial")</f>
        <v>Provincial</v>
      </c>
      <c r="T2035" s="29"/>
    </row>
    <row r="2036" spans="1:20" ht="15.75" customHeight="1" x14ac:dyDescent="0.25">
      <c r="A2036" s="30" t="str">
        <f ca="1">IFERROR(__xludf.DUMMYFUNCTION("""COMPUTED_VALUE"""),"50100492124441")</f>
        <v>50100492124441</v>
      </c>
      <c r="B2036" s="30" t="str">
        <f ca="1">IFERROR(__xludf.DUMMYFUNCTION("""COMPUTED_VALUE"""),"ESTABLECIMIENTO SANITARIO PERIFERICO CARLOS A HERRERA -920 VIVIENDAS")</f>
        <v>ESTABLECIMIENTO SANITARIO PERIFERICO CARLOS A HERRERA -920 VIVIENDAS</v>
      </c>
      <c r="C2036" s="30" t="str">
        <f ca="1">IFERROR(__xludf.DUMMYFUNCTION("""COMPUTED_VALUE"""),"Catamarca")</f>
        <v>Catamarca</v>
      </c>
      <c r="D2036" s="30" t="str">
        <f ca="1">IFERROR(__xludf.DUMMYFUNCTION("""COMPUTED_VALUE"""),"10")</f>
        <v>10</v>
      </c>
      <c r="E2036" s="30" t="str">
        <f ca="1">IFERROR(__xludf.DUMMYFUNCTION("""COMPUTED_VALUE"""),"")</f>
        <v/>
      </c>
      <c r="F2036" s="29"/>
      <c r="G2036" s="29"/>
      <c r="H2036" s="30" t="str">
        <f ca="1">IFERROR(__xludf.DUMMYFUNCTION("""COMPUTED_VALUE"""),"activo")</f>
        <v>activo</v>
      </c>
      <c r="I2036" s="30" t="str">
        <f ca="1">IFERROR(__xludf.DUMMYFUNCTION("""COMPUTED_VALUE"""),"Se dio de alta según nota del 5-4-2022")</f>
        <v>Se dio de alta según nota del 5-4-2022</v>
      </c>
      <c r="J2036" s="29"/>
      <c r="K2036" s="29"/>
      <c r="L2036" s="29"/>
      <c r="M2036" s="30" t="str">
        <f ca="1">IFERROR(__xludf.DUMMYFUNCTION("""COMPUTED_VALUE"""),"10049030000")</f>
        <v>10049030000</v>
      </c>
      <c r="N2036" s="30" t="str">
        <f ca="1">IFERROR(__xludf.DUMMYFUNCTION("""COMPUTED_VALUE"""),"SAN FERNANDO DEL VALLE DE CATAMARCA")</f>
        <v>SAN FERNANDO DEL VALLE DE CATAMARCA</v>
      </c>
      <c r="O2036" s="30" t="str">
        <f ca="1">IFERROR(__xludf.DUMMYFUNCTION("""COMPUTED_VALUE"""),"1049")</f>
        <v>1049</v>
      </c>
      <c r="P2036" s="30" t="str">
        <f ca="1">IFERROR(__xludf.DUMMYFUNCTION("""COMPUTED_VALUE"""),"CAPITAL")</f>
        <v>CAPITAL</v>
      </c>
      <c r="Q2036" s="30" t="str">
        <f ca="1">IFERROR(__xludf.DUMMYFUNCTION("""COMPUTED_VALUE"""),"-28.467794")</f>
        <v>-28.467794</v>
      </c>
      <c r="R2036" s="30" t="str">
        <f ca="1">IFERROR(__xludf.DUMMYFUNCTION("""COMPUTED_VALUE"""),"-65.808265")</f>
        <v>-65.808265</v>
      </c>
      <c r="S2036" s="30" t="str">
        <f ca="1">IFERROR(__xludf.DUMMYFUNCTION("""COMPUTED_VALUE"""),"Provincial")</f>
        <v>Provincial</v>
      </c>
      <c r="T2036" s="29"/>
    </row>
    <row r="2037" spans="1:20" ht="15.75" customHeight="1" x14ac:dyDescent="0.25">
      <c r="A2037" s="30" t="str">
        <f ca="1">IFERROR(__xludf.DUMMYFUNCTION("""COMPUTED_VALUE"""),"50820842284466")</f>
        <v>50820842284466</v>
      </c>
      <c r="B2037" s="30" t="str">
        <f ca="1">IFERROR(__xludf.DUMMYFUNCTION("""COMPUTED_VALUE"""),"CENTRO DE SALUD SOLDINI")</f>
        <v>CENTRO DE SALUD SOLDINI</v>
      </c>
      <c r="C2037" s="30" t="str">
        <f ca="1">IFERROR(__xludf.DUMMYFUNCTION("""COMPUTED_VALUE"""),"Santa Fe")</f>
        <v>Santa Fe</v>
      </c>
      <c r="D2037" s="30" t="str">
        <f ca="1">IFERROR(__xludf.DUMMYFUNCTION("""COMPUTED_VALUE"""),"82")</f>
        <v>82</v>
      </c>
      <c r="E2037" s="30" t="str">
        <f ca="1">IFERROR(__xludf.DUMMYFUNCTION("""COMPUTED_VALUE"""),"")</f>
        <v/>
      </c>
      <c r="F2037" s="29"/>
      <c r="G2037" s="29"/>
      <c r="H2037" s="30" t="str">
        <f ca="1">IFERROR(__xludf.DUMMYFUNCTION("""COMPUTED_VALUE"""),"activo")</f>
        <v>activo</v>
      </c>
      <c r="I2037" s="30" t="str">
        <f ca="1">IFERROR(__xludf.DUMMYFUNCTION("""COMPUTED_VALUE"""),"Se dio de alta según nota del 6-4-2022")</f>
        <v>Se dio de alta según nota del 6-4-2022</v>
      </c>
      <c r="J2037" s="29"/>
      <c r="K2037" s="29"/>
      <c r="L2037" s="29"/>
      <c r="M2037" s="30" t="str">
        <f ca="1">IFERROR(__xludf.DUMMYFUNCTION("""COMPUTED_VALUE"""),"82084280000")</f>
        <v>82084280000</v>
      </c>
      <c r="N2037" s="30" t="str">
        <f ca="1">IFERROR(__xludf.DUMMYFUNCTION("""COMPUTED_VALUE"""),"SOLDINI")</f>
        <v>SOLDINI</v>
      </c>
      <c r="O2037" s="30" t="str">
        <f ca="1">IFERROR(__xludf.DUMMYFUNCTION("""COMPUTED_VALUE"""),"8284")</f>
        <v>8284</v>
      </c>
      <c r="P2037" s="30" t="str">
        <f ca="1">IFERROR(__xludf.DUMMYFUNCTION("""COMPUTED_VALUE"""),"ROSARIO")</f>
        <v>ROSARIO</v>
      </c>
      <c r="Q2037" s="30" t="str">
        <f ca="1">IFERROR(__xludf.DUMMYFUNCTION("""COMPUTED_VALUE"""),"-32.9524398")</f>
        <v>-32.9524398</v>
      </c>
      <c r="R2037" s="30" t="str">
        <f ca="1">IFERROR(__xludf.DUMMYFUNCTION("""COMPUTED_VALUE"""),"-60.6381131")</f>
        <v>-60.6381131</v>
      </c>
      <c r="S2037" s="30" t="str">
        <f ca="1">IFERROR(__xludf.DUMMYFUNCTION("""COMPUTED_VALUE"""),"Municipal")</f>
        <v>Municipal</v>
      </c>
      <c r="T2037" s="29"/>
    </row>
    <row r="2038" spans="1:20" ht="15.75" customHeight="1" x14ac:dyDescent="0.25">
      <c r="A2038" s="30" t="str">
        <f ca="1">IFERROR(__xludf.DUMMYFUNCTION("""COMPUTED_VALUE"""),"50820842184632")</f>
        <v>50820842184632</v>
      </c>
      <c r="B2038" s="30" t="str">
        <f ca="1">IFERROR(__xludf.DUMMYFUNCTION("""COMPUTED_VALUE"""),"SAMCO CORONEL BOGADO")</f>
        <v>SAMCO CORONEL BOGADO</v>
      </c>
      <c r="C2038" s="30" t="str">
        <f ca="1">IFERROR(__xludf.DUMMYFUNCTION("""COMPUTED_VALUE"""),"Santa Fe")</f>
        <v>Santa Fe</v>
      </c>
      <c r="D2038" s="30" t="str">
        <f ca="1">IFERROR(__xludf.DUMMYFUNCTION("""COMPUTED_VALUE"""),"82")</f>
        <v>82</v>
      </c>
      <c r="E2038" s="30" t="str">
        <f ca="1">IFERROR(__xludf.DUMMYFUNCTION("""COMPUTED_VALUE"""),"")</f>
        <v/>
      </c>
      <c r="F2038" s="29"/>
      <c r="G2038" s="29"/>
      <c r="H2038" s="30" t="str">
        <f ca="1">IFERROR(__xludf.DUMMYFUNCTION("""COMPUTED_VALUE"""),"activo")</f>
        <v>activo</v>
      </c>
      <c r="I2038" s="30" t="str">
        <f ca="1">IFERROR(__xludf.DUMMYFUNCTION("""COMPUTED_VALUE"""),"Se dio de alta según nota del 6-4-2022")</f>
        <v>Se dio de alta según nota del 6-4-2022</v>
      </c>
      <c r="J2038" s="29"/>
      <c r="K2038" s="29"/>
      <c r="L2038" s="29"/>
      <c r="M2038" s="30" t="str">
        <f ca="1">IFERROR(__xludf.DUMMYFUNCTION("""COMPUTED_VALUE"""),"82084090000")</f>
        <v>82084090000</v>
      </c>
      <c r="N2038" s="30" t="str">
        <f ca="1">IFERROR(__xludf.DUMMYFUNCTION("""COMPUTED_VALUE"""),"CORONEL BOGADO")</f>
        <v>CORONEL BOGADO</v>
      </c>
      <c r="O2038" s="30" t="str">
        <f ca="1">IFERROR(__xludf.DUMMYFUNCTION("""COMPUTED_VALUE"""),"8284")</f>
        <v>8284</v>
      </c>
      <c r="P2038" s="30" t="str">
        <f ca="1">IFERROR(__xludf.DUMMYFUNCTION("""COMPUTED_VALUE"""),"ROSARIO")</f>
        <v>ROSARIO</v>
      </c>
      <c r="Q2038" s="30" t="str">
        <f ca="1">IFERROR(__xludf.DUMMYFUNCTION("""COMPUTED_VALUE"""),"-33.31452")</f>
        <v>-33.31452</v>
      </c>
      <c r="R2038" s="30" t="str">
        <f ca="1">IFERROR(__xludf.DUMMYFUNCTION("""COMPUTED_VALUE"""),"-60.60415")</f>
        <v>-60.60415</v>
      </c>
      <c r="S2038" s="30" t="str">
        <f ca="1">IFERROR(__xludf.DUMMYFUNCTION("""COMPUTED_VALUE"""),"Provincial")</f>
        <v>Provincial</v>
      </c>
      <c r="T2038" s="29"/>
    </row>
    <row r="2039" spans="1:20" ht="15.75" customHeight="1" x14ac:dyDescent="0.25">
      <c r="A2039" s="30" t="str">
        <f ca="1">IFERROR(__xludf.DUMMYFUNCTION("""COMPUTED_VALUE"""),"50820422184581")</f>
        <v>50820422184581</v>
      </c>
      <c r="B2039" s="30" t="str">
        <f ca="1">IFERROR(__xludf.DUMMYFUNCTION("""COMPUTED_VALUE"""),"CENTRO DE SALUD CAFFERATA")</f>
        <v>CENTRO DE SALUD CAFFERATA</v>
      </c>
      <c r="C2039" s="30" t="str">
        <f ca="1">IFERROR(__xludf.DUMMYFUNCTION("""COMPUTED_VALUE"""),"Santa Fe")</f>
        <v>Santa Fe</v>
      </c>
      <c r="D2039" s="30" t="str">
        <f ca="1">IFERROR(__xludf.DUMMYFUNCTION("""COMPUTED_VALUE"""),"82")</f>
        <v>82</v>
      </c>
      <c r="E2039" s="30" t="str">
        <f ca="1">IFERROR(__xludf.DUMMYFUNCTION("""COMPUTED_VALUE"""),"")</f>
        <v/>
      </c>
      <c r="F2039" s="29"/>
      <c r="G2039" s="29"/>
      <c r="H2039" s="30" t="str">
        <f ca="1">IFERROR(__xludf.DUMMYFUNCTION("""COMPUTED_VALUE"""),"activo")</f>
        <v>activo</v>
      </c>
      <c r="I2039" s="30" t="str">
        <f ca="1">IFERROR(__xludf.DUMMYFUNCTION("""COMPUTED_VALUE"""),"Se dio de alta según nota del 6-4-2022")</f>
        <v>Se dio de alta según nota del 6-4-2022</v>
      </c>
      <c r="J2039" s="29"/>
      <c r="K2039" s="29"/>
      <c r="L2039" s="29"/>
      <c r="M2039" s="30" t="str">
        <f ca="1">IFERROR(__xludf.DUMMYFUNCTION("""COMPUTED_VALUE"""),"82042030000")</f>
        <v>82042030000</v>
      </c>
      <c r="N2039" s="30" t="str">
        <f ca="1">IFERROR(__xludf.DUMMYFUNCTION("""COMPUTED_VALUE"""),"CAFFERATA")</f>
        <v>CAFFERATA</v>
      </c>
      <c r="O2039" s="30" t="str">
        <f ca="1">IFERROR(__xludf.DUMMYFUNCTION("""COMPUTED_VALUE"""),"8242")</f>
        <v>8242</v>
      </c>
      <c r="P2039" s="30" t="str">
        <f ca="1">IFERROR(__xludf.DUMMYFUNCTION("""COMPUTED_VALUE"""),"GENERAL LÓPEZ")</f>
        <v>GENERAL LÓPEZ</v>
      </c>
      <c r="Q2039" s="30" t="str">
        <f ca="1">IFERROR(__xludf.DUMMYFUNCTION("""COMPUTED_VALUE"""),"-33.43882783")</f>
        <v>-33.43882783</v>
      </c>
      <c r="R2039" s="30" t="str">
        <f ca="1">IFERROR(__xludf.DUMMYFUNCTION("""COMPUTED_VALUE"""),"-62.08687305")</f>
        <v>-62.08687305</v>
      </c>
      <c r="S2039" s="30" t="str">
        <f ca="1">IFERROR(__xludf.DUMMYFUNCTION("""COMPUTED_VALUE"""),"Provincial")</f>
        <v>Provincial</v>
      </c>
      <c r="T2039" s="29"/>
    </row>
    <row r="2040" spans="1:20" ht="15.75" customHeight="1" x14ac:dyDescent="0.25">
      <c r="A2040" s="30" t="str">
        <f ca="1">IFERROR(__xludf.DUMMYFUNCTION("""COMPUTED_VALUE"""),"50821192184766")</f>
        <v>50821192184766</v>
      </c>
      <c r="B2040" s="30" t="str">
        <f ca="1">IFERROR(__xludf.DUMMYFUNCTION("""COMPUTED_VALUE"""),"SAMCO LUIS PALACIOS")</f>
        <v>SAMCO LUIS PALACIOS</v>
      </c>
      <c r="C2040" s="30" t="str">
        <f ca="1">IFERROR(__xludf.DUMMYFUNCTION("""COMPUTED_VALUE"""),"Santa Fe")</f>
        <v>Santa Fe</v>
      </c>
      <c r="D2040" s="30" t="str">
        <f ca="1">IFERROR(__xludf.DUMMYFUNCTION("""COMPUTED_VALUE"""),"82")</f>
        <v>82</v>
      </c>
      <c r="E2040" s="30" t="str">
        <f ca="1">IFERROR(__xludf.DUMMYFUNCTION("""COMPUTED_VALUE"""),"")</f>
        <v/>
      </c>
      <c r="F2040" s="29"/>
      <c r="G2040" s="29"/>
      <c r="H2040" s="30" t="str">
        <f ca="1">IFERROR(__xludf.DUMMYFUNCTION("""COMPUTED_VALUE"""),"activo")</f>
        <v>activo</v>
      </c>
      <c r="I2040" s="30" t="str">
        <f ca="1">IFERROR(__xludf.DUMMYFUNCTION("""COMPUTED_VALUE"""),"Se dio de alta según nota del 6-4-2022")</f>
        <v>Se dio de alta según nota del 6-4-2022</v>
      </c>
      <c r="J2040" s="29"/>
      <c r="K2040" s="29"/>
      <c r="L2040" s="29"/>
      <c r="M2040" s="30" t="str">
        <f ca="1">IFERROR(__xludf.DUMMYFUNCTION("""COMPUTED_VALUE"""),"82119070000")</f>
        <v>82119070000</v>
      </c>
      <c r="N2040" s="30" t="str">
        <f ca="1">IFERROR(__xludf.DUMMYFUNCTION("""COMPUTED_VALUE"""),"LUIS PALACIOS")</f>
        <v>LUIS PALACIOS</v>
      </c>
      <c r="O2040" s="30" t="str">
        <f ca="1">IFERROR(__xludf.DUMMYFUNCTION("""COMPUTED_VALUE"""),"82119")</f>
        <v>82119</v>
      </c>
      <c r="P2040" s="30" t="str">
        <f ca="1">IFERROR(__xludf.DUMMYFUNCTION("""COMPUTED_VALUE"""),"SAN LORENZO")</f>
        <v>SAN LORENZO</v>
      </c>
      <c r="Q2040" s="30" t="str">
        <f ca="1">IFERROR(__xludf.DUMMYFUNCTION("""COMPUTED_VALUE"""),"-32.785677")</f>
        <v>-32.785677</v>
      </c>
      <c r="R2040" s="30" t="str">
        <f ca="1">IFERROR(__xludf.DUMMYFUNCTION("""COMPUTED_VALUE"""),"-60.90472")</f>
        <v>-60.90472</v>
      </c>
      <c r="S2040" s="30" t="str">
        <f ca="1">IFERROR(__xludf.DUMMYFUNCTION("""COMPUTED_VALUE"""),"Provincial")</f>
        <v>Provincial</v>
      </c>
      <c r="T2040" s="29"/>
    </row>
    <row r="2041" spans="1:20" ht="15.75" customHeight="1" x14ac:dyDescent="0.25">
      <c r="A2041" s="30" t="str">
        <f ca="1">IFERROR(__xludf.DUMMYFUNCTION("""COMPUTED_VALUE"""),"50340142147951")</f>
        <v>50340142147951</v>
      </c>
      <c r="B2041" s="30" t="str">
        <f ca="1">IFERROR(__xludf.DUMMYFUNCTION("""COMPUTED_VALUE"""),"CENTRO DE SALUD LA NUEVA FORMOSA")</f>
        <v>CENTRO DE SALUD LA NUEVA FORMOSA</v>
      </c>
      <c r="C2041" s="30" t="str">
        <f ca="1">IFERROR(__xludf.DUMMYFUNCTION("""COMPUTED_VALUE"""),"Formosa")</f>
        <v>Formosa</v>
      </c>
      <c r="D2041" s="30">
        <f ca="1">IFERROR(__xludf.DUMMYFUNCTION("""COMPUTED_VALUE"""),34)</f>
        <v>34</v>
      </c>
      <c r="E2041" s="30" t="str">
        <f ca="1">IFERROR(__xludf.DUMMYFUNCTION("""COMPUTED_VALUE"""),"")</f>
        <v/>
      </c>
      <c r="F2041" s="29"/>
      <c r="G2041" s="29"/>
      <c r="H2041" s="30" t="str">
        <f ca="1">IFERROR(__xludf.DUMMYFUNCTION("""COMPUTED_VALUE"""),"activo")</f>
        <v>activo</v>
      </c>
      <c r="I2041" s="30" t="str">
        <f ca="1">IFERROR(__xludf.DUMMYFUNCTION("""COMPUTED_VALUE"""),"casilla monitoreo: mail 18/04/2022")</f>
        <v>casilla monitoreo: mail 18/04/2022</v>
      </c>
      <c r="J2041" s="29"/>
      <c r="K2041" s="29"/>
      <c r="L2041" s="29"/>
      <c r="M2041" s="30">
        <f ca="1">IFERROR(__xludf.DUMMYFUNCTION("""COMPUTED_VALUE"""),34014020000)</f>
        <v>34014020000</v>
      </c>
      <c r="N2041" s="30" t="str">
        <f ca="1">IFERROR(__xludf.DUMMYFUNCTION("""COMPUTED_VALUE"""),"FORMOSA")</f>
        <v>FORMOSA</v>
      </c>
      <c r="O2041" s="30" t="str">
        <f ca="1">IFERROR(__xludf.DUMMYFUNCTION("""COMPUTED_VALUE"""),"#N/A")</f>
        <v>#N/A</v>
      </c>
      <c r="P2041" s="30" t="str">
        <f ca="1">IFERROR(__xludf.DUMMYFUNCTION("""COMPUTED_VALUE"""),"Formosa")</f>
        <v>Formosa</v>
      </c>
      <c r="Q2041" s="29"/>
      <c r="R2041" s="29"/>
      <c r="S2041" s="30" t="str">
        <f ca="1">IFERROR(__xludf.DUMMYFUNCTION("""COMPUTED_VALUE"""),"Provincial")</f>
        <v>Provincial</v>
      </c>
      <c r="T2041" s="29"/>
    </row>
    <row r="2042" spans="1:20" ht="15.75" customHeight="1" x14ac:dyDescent="0.25">
      <c r="A2042" s="30" t="str">
        <f ca="1">IFERROR(__xludf.DUMMYFUNCTION("""COMPUTED_VALUE"""),"50540282164017")</f>
        <v>50540282164017</v>
      </c>
      <c r="B2042" s="30" t="str">
        <f ca="1">IFERROR(__xludf.DUMMYFUNCTION("""COMPUTED_VALUE"""),"C.A.P.S. Nº 15 ALTA GRACIA")</f>
        <v>C.A.P.S. Nº 15 ALTA GRACIA</v>
      </c>
      <c r="C2042" s="30" t="str">
        <f ca="1">IFERROR(__xludf.DUMMYFUNCTION("""COMPUTED_VALUE"""),"Misiones")</f>
        <v>Misiones</v>
      </c>
      <c r="D2042" s="30" t="str">
        <f ca="1">IFERROR(__xludf.DUMMYFUNCTION("""COMPUTED_VALUE"""),"54")</f>
        <v>54</v>
      </c>
      <c r="E2042" s="30" t="str">
        <f ca="1">IFERROR(__xludf.DUMMYFUNCTION("""COMPUTED_VALUE"""),"")</f>
        <v/>
      </c>
      <c r="F2042" s="29"/>
      <c r="G2042" s="29"/>
      <c r="H2042" s="30" t="str">
        <f ca="1">IFERROR(__xludf.DUMMYFUNCTION("""COMPUTED_VALUE"""),"activo")</f>
        <v>activo</v>
      </c>
      <c r="I2042" s="30" t="str">
        <f ca="1">IFERROR(__xludf.DUMMYFUNCTION("""COMPUTED_VALUE"""),"Se dio de alta según nota del 27-7-2022")</f>
        <v>Se dio de alta según nota del 27-7-2022</v>
      </c>
      <c r="J2042" s="29"/>
      <c r="K2042" s="29"/>
      <c r="L2042" s="29"/>
      <c r="M2042" s="30" t="str">
        <f ca="1">IFERROR(__xludf.DUMMYFUNCTION("""COMPUTED_VALUE"""),"54028030")</f>
        <v>54028030</v>
      </c>
      <c r="N2042" s="30" t="str">
        <f ca="1">IFERROR(__xludf.DUMMYFUNCTION("""COMPUTED_VALUE"""),"POSADAS (MUNICIPIO DE POSADAS)")</f>
        <v>POSADAS (MUNICIPIO DE POSADAS)</v>
      </c>
      <c r="O2042" s="30" t="str">
        <f ca="1">IFERROR(__xludf.DUMMYFUNCTION("""COMPUTED_VALUE"""),"5428")</f>
        <v>5428</v>
      </c>
      <c r="P2042" s="30" t="str">
        <f ca="1">IFERROR(__xludf.DUMMYFUNCTION("""COMPUTED_VALUE"""),"CAPITAL")</f>
        <v>CAPITAL</v>
      </c>
      <c r="Q2042" s="30" t="str">
        <f ca="1">IFERROR(__xludf.DUMMYFUNCTION("""COMPUTED_VALUE"""),"-27.39528325")</f>
        <v>-27.39528325</v>
      </c>
      <c r="R2042" s="30" t="str">
        <f ca="1">IFERROR(__xludf.DUMMYFUNCTION("""COMPUTED_VALUE"""),"-55.91686553")</f>
        <v>-55.91686553</v>
      </c>
      <c r="S2042" s="29"/>
      <c r="T2042" s="29"/>
    </row>
    <row r="2043" spans="1:20" ht="15.75" customHeight="1" x14ac:dyDescent="0.25">
      <c r="A2043" s="30" t="str">
        <f ca="1">IFERROR(__xludf.DUMMYFUNCTION("""COMPUTED_VALUE"""),"50540282164019")</f>
        <v>50540282164019</v>
      </c>
      <c r="B2043" s="30" t="str">
        <f ca="1">IFERROR(__xludf.DUMMYFUNCTION("""COMPUTED_VALUE"""),"C.A.P.S. Nº 12 VILLA FLOR")</f>
        <v>C.A.P.S. Nº 12 VILLA FLOR</v>
      </c>
      <c r="C2043" s="30" t="str">
        <f ca="1">IFERROR(__xludf.DUMMYFUNCTION("""COMPUTED_VALUE"""),"Misiones")</f>
        <v>Misiones</v>
      </c>
      <c r="D2043" s="30" t="str">
        <f ca="1">IFERROR(__xludf.DUMMYFUNCTION("""COMPUTED_VALUE"""),"54")</f>
        <v>54</v>
      </c>
      <c r="E2043" s="30" t="str">
        <f ca="1">IFERROR(__xludf.DUMMYFUNCTION("""COMPUTED_VALUE"""),"si")</f>
        <v>si</v>
      </c>
      <c r="F2043" s="29"/>
      <c r="G2043" s="29"/>
      <c r="H2043" s="30" t="str">
        <f ca="1">IFERROR(__xludf.DUMMYFUNCTION("""COMPUTED_VALUE"""),"activo")</f>
        <v>activo</v>
      </c>
      <c r="I2043" s="30" t="str">
        <f ca="1">IFERROR(__xludf.DUMMYFUNCTION("""COMPUTED_VALUE"""),"Se dio de alta según nota del 27-7-2022")</f>
        <v>Se dio de alta según nota del 27-7-2022</v>
      </c>
      <c r="J2043" s="29"/>
      <c r="K2043" s="29"/>
      <c r="L2043" s="29"/>
      <c r="M2043" s="30" t="str">
        <f ca="1">IFERROR(__xludf.DUMMYFUNCTION("""COMPUTED_VALUE"""),"54028030")</f>
        <v>54028030</v>
      </c>
      <c r="N2043" s="30" t="str">
        <f ca="1">IFERROR(__xludf.DUMMYFUNCTION("""COMPUTED_VALUE"""),"POSADAS (MUNICIPIO DE POSADAS)")</f>
        <v>POSADAS (MUNICIPIO DE POSADAS)</v>
      </c>
      <c r="O2043" s="30" t="str">
        <f ca="1">IFERROR(__xludf.DUMMYFUNCTION("""COMPUTED_VALUE"""),"5428")</f>
        <v>5428</v>
      </c>
      <c r="P2043" s="30" t="str">
        <f ca="1">IFERROR(__xludf.DUMMYFUNCTION("""COMPUTED_VALUE"""),"CAPITAL")</f>
        <v>CAPITAL</v>
      </c>
      <c r="Q2043" s="30" t="str">
        <f ca="1">IFERROR(__xludf.DUMMYFUNCTION("""COMPUTED_VALUE"""),"-27.39782")</f>
        <v>-27.39782</v>
      </c>
      <c r="R2043" s="30" t="str">
        <f ca="1">IFERROR(__xludf.DUMMYFUNCTION("""COMPUTED_VALUE"""),"-55.89732")</f>
        <v>-55.89732</v>
      </c>
      <c r="S2043" s="29"/>
      <c r="T2043" s="29"/>
    </row>
    <row r="2044" spans="1:20" ht="15.75" customHeight="1" x14ac:dyDescent="0.25">
      <c r="A2044" s="30" t="str">
        <f ca="1">IFERROR(__xludf.DUMMYFUNCTION("""COMPUTED_VALUE"""),"50540282164023")</f>
        <v>50540282164023</v>
      </c>
      <c r="B2044" s="30" t="str">
        <f ca="1">IFERROR(__xludf.DUMMYFUNCTION("""COMPUTED_VALUE"""),"C.A.P.S. Nº 6 VILLA BLOSSETT")</f>
        <v>C.A.P.S. Nº 6 VILLA BLOSSETT</v>
      </c>
      <c r="C2044" s="30" t="str">
        <f ca="1">IFERROR(__xludf.DUMMYFUNCTION("""COMPUTED_VALUE"""),"Misiones")</f>
        <v>Misiones</v>
      </c>
      <c r="D2044" s="30" t="str">
        <f ca="1">IFERROR(__xludf.DUMMYFUNCTION("""COMPUTED_VALUE"""),"54")</f>
        <v>54</v>
      </c>
      <c r="E2044" s="30" t="str">
        <f ca="1">IFERROR(__xludf.DUMMYFUNCTION("""COMPUTED_VALUE"""),"")</f>
        <v/>
      </c>
      <c r="F2044" s="29"/>
      <c r="G2044" s="29"/>
      <c r="H2044" s="30" t="str">
        <f ca="1">IFERROR(__xludf.DUMMYFUNCTION("""COMPUTED_VALUE"""),"activo")</f>
        <v>activo</v>
      </c>
      <c r="I2044" s="30" t="str">
        <f ca="1">IFERROR(__xludf.DUMMYFUNCTION("""COMPUTED_VALUE"""),"Se dio de alta según nota del 27-7-2022")</f>
        <v>Se dio de alta según nota del 27-7-2022</v>
      </c>
      <c r="J2044" s="29"/>
      <c r="K2044" s="29"/>
      <c r="L2044" s="29"/>
      <c r="M2044" s="30" t="str">
        <f ca="1">IFERROR(__xludf.DUMMYFUNCTION("""COMPUTED_VALUE"""),"54028030")</f>
        <v>54028030</v>
      </c>
      <c r="N2044" s="30" t="str">
        <f ca="1">IFERROR(__xludf.DUMMYFUNCTION("""COMPUTED_VALUE"""),"POSADAS (MUNICIPIO DE POSADAS)")</f>
        <v>POSADAS (MUNICIPIO DE POSADAS)</v>
      </c>
      <c r="O2044" s="30" t="str">
        <f ca="1">IFERROR(__xludf.DUMMYFUNCTION("""COMPUTED_VALUE"""),"5428")</f>
        <v>5428</v>
      </c>
      <c r="P2044" s="30" t="str">
        <f ca="1">IFERROR(__xludf.DUMMYFUNCTION("""COMPUTED_VALUE"""),"CAPITAL")</f>
        <v>CAPITAL</v>
      </c>
      <c r="Q2044" s="30" t="str">
        <f ca="1">IFERROR(__xludf.DUMMYFUNCTION("""COMPUTED_VALUE"""),"-27.36707011")</f>
        <v>-27.36707011</v>
      </c>
      <c r="R2044" s="30" t="str">
        <f ca="1">IFERROR(__xludf.DUMMYFUNCTION("""COMPUTED_VALUE"""),"-55.88547748")</f>
        <v>-55.88547748</v>
      </c>
      <c r="S2044" s="29"/>
      <c r="T2044" s="29"/>
    </row>
    <row r="2045" spans="1:20" ht="15.75" customHeight="1" x14ac:dyDescent="0.25">
      <c r="A2045" s="30" t="str">
        <f ca="1">IFERROR(__xludf.DUMMYFUNCTION("""COMPUTED_VALUE"""),"50540282164027")</f>
        <v>50540282164027</v>
      </c>
      <c r="B2045" s="30" t="str">
        <f ca="1">IFERROR(__xludf.DUMMYFUNCTION("""COMPUTED_VALUE"""),"C.A.P.S. Nº 1 SAN MIGUEL")</f>
        <v>C.A.P.S. Nº 1 SAN MIGUEL</v>
      </c>
      <c r="C2045" s="30" t="str">
        <f ca="1">IFERROR(__xludf.DUMMYFUNCTION("""COMPUTED_VALUE"""),"Misiones")</f>
        <v>Misiones</v>
      </c>
      <c r="D2045" s="30" t="str">
        <f ca="1">IFERROR(__xludf.DUMMYFUNCTION("""COMPUTED_VALUE"""),"54")</f>
        <v>54</v>
      </c>
      <c r="E2045" s="30" t="str">
        <f ca="1">IFERROR(__xludf.DUMMYFUNCTION("""COMPUTED_VALUE"""),"")</f>
        <v/>
      </c>
      <c r="F2045" s="29"/>
      <c r="G2045" s="29"/>
      <c r="H2045" s="30" t="str">
        <f ca="1">IFERROR(__xludf.DUMMYFUNCTION("""COMPUTED_VALUE"""),"activo")</f>
        <v>activo</v>
      </c>
      <c r="I2045" s="30" t="str">
        <f ca="1">IFERROR(__xludf.DUMMYFUNCTION("""COMPUTED_VALUE"""),"Se dio de alta según nota del 27-7-2022")</f>
        <v>Se dio de alta según nota del 27-7-2022</v>
      </c>
      <c r="J2045" s="29"/>
      <c r="K2045" s="29"/>
      <c r="L2045" s="29"/>
      <c r="M2045" s="30" t="str">
        <f ca="1">IFERROR(__xludf.DUMMYFUNCTION("""COMPUTED_VALUE"""),"54028030")</f>
        <v>54028030</v>
      </c>
      <c r="N2045" s="30" t="str">
        <f ca="1">IFERROR(__xludf.DUMMYFUNCTION("""COMPUTED_VALUE"""),"POSADAS (MUNICIPIO DE POSADAS)")</f>
        <v>POSADAS (MUNICIPIO DE POSADAS)</v>
      </c>
      <c r="O2045" s="30" t="str">
        <f ca="1">IFERROR(__xludf.DUMMYFUNCTION("""COMPUTED_VALUE"""),"5428")</f>
        <v>5428</v>
      </c>
      <c r="P2045" s="30" t="str">
        <f ca="1">IFERROR(__xludf.DUMMYFUNCTION("""COMPUTED_VALUE"""),"CAPITAL")</f>
        <v>CAPITAL</v>
      </c>
      <c r="Q2045" s="30" t="str">
        <f ca="1">IFERROR(__xludf.DUMMYFUNCTION("""COMPUTED_VALUE"""),"-27.3640498")</f>
        <v>-27.3640498</v>
      </c>
      <c r="R2045" s="30" t="str">
        <f ca="1">IFERROR(__xludf.DUMMYFUNCTION("""COMPUTED_VALUE"""),"-55.93147578")</f>
        <v>-55.93147578</v>
      </c>
      <c r="S2045" s="29"/>
      <c r="T2045" s="29"/>
    </row>
    <row r="2046" spans="1:20" ht="15.75" customHeight="1" x14ac:dyDescent="0.25">
      <c r="A2046" s="30" t="str">
        <f ca="1">IFERROR(__xludf.DUMMYFUNCTION("""COMPUTED_VALUE"""),"50540282164008")</f>
        <v>50540282164008</v>
      </c>
      <c r="B2046" s="30" t="str">
        <f ca="1">IFERROR(__xludf.DUMMYFUNCTION("""COMPUTED_VALUE"""),"C.A.P.S. Nº 29 CHACRA 32-33")</f>
        <v>C.A.P.S. Nº 29 CHACRA 32-33</v>
      </c>
      <c r="C2046" s="30" t="str">
        <f ca="1">IFERROR(__xludf.DUMMYFUNCTION("""COMPUTED_VALUE"""),"Misiones")</f>
        <v>Misiones</v>
      </c>
      <c r="D2046" s="30" t="str">
        <f ca="1">IFERROR(__xludf.DUMMYFUNCTION("""COMPUTED_VALUE"""),"54")</f>
        <v>54</v>
      </c>
      <c r="E2046" s="30" t="str">
        <f ca="1">IFERROR(__xludf.DUMMYFUNCTION("""COMPUTED_VALUE"""),"")</f>
        <v/>
      </c>
      <c r="F2046" s="29"/>
      <c r="G2046" s="29"/>
      <c r="H2046" s="30" t="str">
        <f ca="1">IFERROR(__xludf.DUMMYFUNCTION("""COMPUTED_VALUE"""),"activo")</f>
        <v>activo</v>
      </c>
      <c r="I2046" s="30" t="str">
        <f ca="1">IFERROR(__xludf.DUMMYFUNCTION("""COMPUTED_VALUE"""),"Se dio de alta según nota del 27-7-2022")</f>
        <v>Se dio de alta según nota del 27-7-2022</v>
      </c>
      <c r="J2046" s="29"/>
      <c r="K2046" s="29"/>
      <c r="L2046" s="29"/>
      <c r="M2046" s="30" t="str">
        <f ca="1">IFERROR(__xludf.DUMMYFUNCTION("""COMPUTED_VALUE"""),"54028030")</f>
        <v>54028030</v>
      </c>
      <c r="N2046" s="30" t="str">
        <f ca="1">IFERROR(__xludf.DUMMYFUNCTION("""COMPUTED_VALUE"""),"POSADAS (MUNICIPIO DE POSADAS)")</f>
        <v>POSADAS (MUNICIPIO DE POSADAS)</v>
      </c>
      <c r="O2046" s="30" t="str">
        <f ca="1">IFERROR(__xludf.DUMMYFUNCTION("""COMPUTED_VALUE"""),"5428")</f>
        <v>5428</v>
      </c>
      <c r="P2046" s="30" t="str">
        <f ca="1">IFERROR(__xludf.DUMMYFUNCTION("""COMPUTED_VALUE"""),"CAPITAL")</f>
        <v>CAPITAL</v>
      </c>
      <c r="Q2046" s="30" t="str">
        <f ca="1">IFERROR(__xludf.DUMMYFUNCTION("""COMPUTED_VALUE"""),"-27.39665042")</f>
        <v>-27.39665042</v>
      </c>
      <c r="R2046" s="30" t="str">
        <f ca="1">IFERROR(__xludf.DUMMYFUNCTION("""COMPUTED_VALUE"""),"-55.90677411")</f>
        <v>-55.90677411</v>
      </c>
      <c r="S2046" s="29"/>
      <c r="T2046" s="29"/>
    </row>
    <row r="2047" spans="1:20" ht="15.75" customHeight="1" x14ac:dyDescent="0.25">
      <c r="A2047" s="30" t="str">
        <f ca="1">IFERROR(__xludf.DUMMYFUNCTION("""COMPUTED_VALUE"""),"10181332139024")</f>
        <v>10181332139024</v>
      </c>
      <c r="B2047" s="30" t="str">
        <f ca="1">IFERROR(__xludf.DUMMYFUNCTION("""COMPUTED_VALUE"""),"HOSPITAL  JULIO C. RIVERO")</f>
        <v>HOSPITAL  JULIO C. RIVERO</v>
      </c>
      <c r="C2047" s="30" t="str">
        <f ca="1">IFERROR(__xludf.DUMMYFUNCTION("""COMPUTED_VALUE"""),"Corrientes")</f>
        <v>Corrientes</v>
      </c>
      <c r="D2047" s="30" t="str">
        <f ca="1">IFERROR(__xludf.DUMMYFUNCTION("""COMPUTED_VALUE"""),"18")</f>
        <v>18</v>
      </c>
      <c r="E2047" s="30" t="str">
        <f ca="1">IFERROR(__xludf.DUMMYFUNCTION("""COMPUTED_VALUE"""),"")</f>
        <v/>
      </c>
      <c r="F2047" s="29"/>
      <c r="G2047" s="29"/>
      <c r="H2047" s="30" t="str">
        <f ca="1">IFERROR(__xludf.DUMMYFUNCTION("""COMPUTED_VALUE"""),"activo")</f>
        <v>activo</v>
      </c>
      <c r="I2047" s="30" t="str">
        <f ca="1">IFERROR(__xludf.DUMMYFUNCTION("""COMPUTED_VALUE"""),"Se dio de alta según nota del 28-7-2022")</f>
        <v>Se dio de alta según nota del 28-7-2022</v>
      </c>
      <c r="J2047" s="29"/>
      <c r="K2047" s="29"/>
      <c r="L2047" s="29"/>
      <c r="M2047" s="30" t="str">
        <f ca="1">IFERROR(__xludf.DUMMYFUNCTION("""COMPUTED_VALUE"""),"18133030000")</f>
        <v>18133030000</v>
      </c>
      <c r="N2047" s="30" t="str">
        <f ca="1">IFERROR(__xludf.DUMMYFUNCTION("""COMPUTED_VALUE"""),"SAN COSME")</f>
        <v>SAN COSME</v>
      </c>
      <c r="O2047" s="30" t="str">
        <f ca="1">IFERROR(__xludf.DUMMYFUNCTION("""COMPUTED_VALUE"""),"18133")</f>
        <v>18133</v>
      </c>
      <c r="P2047" s="30" t="str">
        <f ca="1">IFERROR(__xludf.DUMMYFUNCTION("""COMPUTED_VALUE"""),"SAN COSME")</f>
        <v>SAN COSME</v>
      </c>
      <c r="Q2047" s="30" t="str">
        <f ca="1">IFERROR(__xludf.DUMMYFUNCTION("""COMPUTED_VALUE"""),"-27.37058404")</f>
        <v>-27.37058404</v>
      </c>
      <c r="R2047" s="30" t="str">
        <f ca="1">IFERROR(__xludf.DUMMYFUNCTION("""COMPUTED_VALUE"""),"-58.51156767")</f>
        <v>-58.51156767</v>
      </c>
      <c r="S2047" s="29"/>
      <c r="T2047" s="29"/>
    </row>
    <row r="2048" spans="1:20" ht="15.75" customHeight="1" x14ac:dyDescent="0.25">
      <c r="A2048" s="30" t="str">
        <f ca="1">IFERROR(__xludf.DUMMYFUNCTION("""COMPUTED_VALUE"""),"10180282139060")</f>
        <v>10180282139060</v>
      </c>
      <c r="B2048" s="30" t="str">
        <f ca="1">IFERROR(__xludf.DUMMYFUNCTION("""COMPUTED_VALUE"""),"HOSPITAL VIRGEN DE ITATI TABAY")</f>
        <v>HOSPITAL VIRGEN DE ITATI TABAY</v>
      </c>
      <c r="C2048" s="30" t="str">
        <f ca="1">IFERROR(__xludf.DUMMYFUNCTION("""COMPUTED_VALUE"""),"Corrientes")</f>
        <v>Corrientes</v>
      </c>
      <c r="D2048" s="30" t="str">
        <f ca="1">IFERROR(__xludf.DUMMYFUNCTION("""COMPUTED_VALUE"""),"18")</f>
        <v>18</v>
      </c>
      <c r="E2048" s="30" t="str">
        <f ca="1">IFERROR(__xludf.DUMMYFUNCTION("""COMPUTED_VALUE"""),"")</f>
        <v/>
      </c>
      <c r="F2048" s="29"/>
      <c r="G2048" s="29"/>
      <c r="H2048" s="30" t="str">
        <f ca="1">IFERROR(__xludf.DUMMYFUNCTION("""COMPUTED_VALUE"""),"activo")</f>
        <v>activo</v>
      </c>
      <c r="I2048" s="30" t="str">
        <f ca="1">IFERROR(__xludf.DUMMYFUNCTION("""COMPUTED_VALUE"""),"Se dio de alta según nota del 28-7-2022")</f>
        <v>Se dio de alta según nota del 28-7-2022</v>
      </c>
      <c r="J2048" s="29"/>
      <c r="K2048" s="29"/>
      <c r="L2048" s="29"/>
      <c r="M2048" s="30" t="str">
        <f ca="1">IFERROR(__xludf.DUMMYFUNCTION("""COMPUTED_VALUE"""),"18028030000")</f>
        <v>18028030000</v>
      </c>
      <c r="N2048" s="30" t="str">
        <f ca="1">IFERROR(__xludf.DUMMYFUNCTION("""COMPUTED_VALUE"""),"TABAY")</f>
        <v>TABAY</v>
      </c>
      <c r="O2048" s="30" t="str">
        <f ca="1">IFERROR(__xludf.DUMMYFUNCTION("""COMPUTED_VALUE"""),"1828")</f>
        <v>1828</v>
      </c>
      <c r="P2048" s="30" t="str">
        <f ca="1">IFERROR(__xludf.DUMMYFUNCTION("""COMPUTED_VALUE"""),"CONCEPCIÓN")</f>
        <v>CONCEPCIÓN</v>
      </c>
      <c r="Q2048" s="30" t="str">
        <f ca="1">IFERROR(__xludf.DUMMYFUNCTION("""COMPUTED_VALUE"""),"-28.31065036")</f>
        <v>-28.31065036</v>
      </c>
      <c r="R2048" s="30" t="str">
        <f ca="1">IFERROR(__xludf.DUMMYFUNCTION("""COMPUTED_VALUE"""),"-58.29024951")</f>
        <v>-58.29024951</v>
      </c>
      <c r="S2048" s="29"/>
      <c r="T2048" s="29"/>
    </row>
    <row r="2049" spans="1:20" ht="15.75" customHeight="1" x14ac:dyDescent="0.25">
      <c r="A2049" s="30" t="str">
        <f ca="1">IFERROR(__xludf.DUMMYFUNCTION("""COMPUTED_VALUE"""),"10820842184161")</f>
        <v>10820842184161</v>
      </c>
      <c r="B2049" s="30" t="str">
        <f ca="1">IFERROR(__xludf.DUMMYFUNCTION("""COMPUTED_VALUE"""),"SAMCO GENERAL SAN MARTIN - ARROYO SECO")</f>
        <v>SAMCO GENERAL SAN MARTIN - ARROYO SECO</v>
      </c>
      <c r="C2049" s="30" t="str">
        <f ca="1">IFERROR(__xludf.DUMMYFUNCTION("""COMPUTED_VALUE"""),"Santa Fe")</f>
        <v>Santa Fe</v>
      </c>
      <c r="D2049" s="30" t="str">
        <f ca="1">IFERROR(__xludf.DUMMYFUNCTION("""COMPUTED_VALUE"""),"82")</f>
        <v>82</v>
      </c>
      <c r="E2049" s="30" t="str">
        <f ca="1">IFERROR(__xludf.DUMMYFUNCTION("""COMPUTED_VALUE"""),"")</f>
        <v/>
      </c>
      <c r="F2049" s="29"/>
      <c r="G2049" s="29"/>
      <c r="H2049" s="30" t="str">
        <f ca="1">IFERROR(__xludf.DUMMYFUNCTION("""COMPUTED_VALUE"""),"activo")</f>
        <v>activo</v>
      </c>
      <c r="I2049" s="30" t="str">
        <f ca="1">IFERROR(__xludf.DUMMYFUNCTION("""COMPUTED_VALUE"""),"se dio de alta el 28-7-2022 según nota de la provincia")</f>
        <v>se dio de alta el 28-7-2022 según nota de la provincia</v>
      </c>
      <c r="J2049" s="29"/>
      <c r="K2049" s="29"/>
      <c r="L2049" s="29"/>
      <c r="M2049" s="30" t="str">
        <f ca="1">IFERROR(__xludf.DUMMYFUNCTION("""COMPUTED_VALUE"""),"82084070000")</f>
        <v>82084070000</v>
      </c>
      <c r="N2049" s="30" t="str">
        <f ca="1">IFERROR(__xludf.DUMMYFUNCTION("""COMPUTED_VALUE"""),"ARROYO SECO")</f>
        <v>ARROYO SECO</v>
      </c>
      <c r="O2049" s="30" t="str">
        <f ca="1">IFERROR(__xludf.DUMMYFUNCTION("""COMPUTED_VALUE"""),"8284")</f>
        <v>8284</v>
      </c>
      <c r="P2049" s="30" t="str">
        <f ca="1">IFERROR(__xludf.DUMMYFUNCTION("""COMPUTED_VALUE"""),"ROSARIO")</f>
        <v>ROSARIO</v>
      </c>
      <c r="Q2049" s="30" t="str">
        <f ca="1">IFERROR(__xludf.DUMMYFUNCTION("""COMPUTED_VALUE"""),"-33.16054698")</f>
        <v>-33.16054698</v>
      </c>
      <c r="R2049" s="30" t="str">
        <f ca="1">IFERROR(__xludf.DUMMYFUNCTION("""COMPUTED_VALUE"""),"-60.50994873")</f>
        <v>-60.50994873</v>
      </c>
      <c r="S2049" s="29"/>
      <c r="T2049" s="29"/>
    </row>
    <row r="2050" spans="1:20" ht="15.75" customHeight="1" x14ac:dyDescent="0.25">
      <c r="A2050" s="30" t="str">
        <f ca="1">IFERROR(__xludf.DUMMYFUNCTION("""COMPUTED_VALUE"""),"10820142184127")</f>
        <v>10820142184127</v>
      </c>
      <c r="B2050" s="30" t="str">
        <f ca="1">IFERROR(__xludf.DUMMYFUNCTION("""COMPUTED_VALUE"""),"SAMCO BIGAND")</f>
        <v>SAMCO BIGAND</v>
      </c>
      <c r="C2050" s="30" t="str">
        <f ca="1">IFERROR(__xludf.DUMMYFUNCTION("""COMPUTED_VALUE"""),"Santa Fe")</f>
        <v>Santa Fe</v>
      </c>
      <c r="D2050" s="30" t="str">
        <f ca="1">IFERROR(__xludf.DUMMYFUNCTION("""COMPUTED_VALUE"""),"82")</f>
        <v>82</v>
      </c>
      <c r="E2050" s="30" t="str">
        <f ca="1">IFERROR(__xludf.DUMMYFUNCTION("""COMPUTED_VALUE"""),"")</f>
        <v/>
      </c>
      <c r="F2050" s="29"/>
      <c r="G2050" s="29"/>
      <c r="H2050" s="30" t="str">
        <f ca="1">IFERROR(__xludf.DUMMYFUNCTION("""COMPUTED_VALUE"""),"activo")</f>
        <v>activo</v>
      </c>
      <c r="I2050" s="30" t="str">
        <f ca="1">IFERROR(__xludf.DUMMYFUNCTION("""COMPUTED_VALUE"""),"se dio de alta el 28-7-2022 según nota de la provincia")</f>
        <v>se dio de alta el 28-7-2022 según nota de la provincia</v>
      </c>
      <c r="J2050" s="29"/>
      <c r="K2050" s="29"/>
      <c r="L2050" s="29"/>
      <c r="M2050" s="30" t="str">
        <f ca="1">IFERROR(__xludf.DUMMYFUNCTION("""COMPUTED_VALUE"""),"82014040000")</f>
        <v>82014040000</v>
      </c>
      <c r="N2050" s="30" t="str">
        <f ca="1">IFERROR(__xludf.DUMMYFUNCTION("""COMPUTED_VALUE"""),"BIGAND")</f>
        <v>BIGAND</v>
      </c>
      <c r="O2050" s="30" t="str">
        <f ca="1">IFERROR(__xludf.DUMMYFUNCTION("""COMPUTED_VALUE"""),"8214")</f>
        <v>8214</v>
      </c>
      <c r="P2050" s="30" t="str">
        <f ca="1">IFERROR(__xludf.DUMMYFUNCTION("""COMPUTED_VALUE"""),"CASEROS")</f>
        <v>CASEROS</v>
      </c>
      <c r="Q2050" s="30" t="str">
        <f ca="1">IFERROR(__xludf.DUMMYFUNCTION("""COMPUTED_VALUE"""),"-33.374712")</f>
        <v>-33.374712</v>
      </c>
      <c r="R2050" s="30" t="str">
        <f ca="1">IFERROR(__xludf.DUMMYFUNCTION("""COMPUTED_VALUE"""),"-61.180163")</f>
        <v>-61.180163</v>
      </c>
      <c r="S2050" s="29"/>
      <c r="T2050" s="29"/>
    </row>
    <row r="2051" spans="1:20" ht="15.75" customHeight="1" x14ac:dyDescent="0.25">
      <c r="A2051" s="30" t="str">
        <f ca="1">IFERROR(__xludf.DUMMYFUNCTION("""COMPUTED_VALUE"""),"10820142184169")</f>
        <v>10820142184169</v>
      </c>
      <c r="B2051" s="30" t="str">
        <f ca="1">IFERROR(__xludf.DUMMYFUNCTION("""COMPUTED_VALUE"""),"SAMCO ISLAS MALVINAS")</f>
        <v>SAMCO ISLAS MALVINAS</v>
      </c>
      <c r="C2051" s="30" t="str">
        <f ca="1">IFERROR(__xludf.DUMMYFUNCTION("""COMPUTED_VALUE"""),"Santa Fe")</f>
        <v>Santa Fe</v>
      </c>
      <c r="D2051" s="30" t="str">
        <f ca="1">IFERROR(__xludf.DUMMYFUNCTION("""COMPUTED_VALUE"""),"82")</f>
        <v>82</v>
      </c>
      <c r="E2051" s="30" t="str">
        <f ca="1">IFERROR(__xludf.DUMMYFUNCTION("""COMPUTED_VALUE"""),"")</f>
        <v/>
      </c>
      <c r="F2051" s="29"/>
      <c r="G2051" s="29"/>
      <c r="H2051" s="30" t="str">
        <f ca="1">IFERROR(__xludf.DUMMYFUNCTION("""COMPUTED_VALUE"""),"activo")</f>
        <v>activo</v>
      </c>
      <c r="I2051" s="30" t="str">
        <f ca="1">IFERROR(__xludf.DUMMYFUNCTION("""COMPUTED_VALUE"""),"se dio de alta el 28-7-2022 según nota de la provincia")</f>
        <v>se dio de alta el 28-7-2022 según nota de la provincia</v>
      </c>
      <c r="J2051" s="29"/>
      <c r="K2051" s="29"/>
      <c r="L2051" s="29"/>
      <c r="M2051" s="30" t="str">
        <f ca="1">IFERROR(__xludf.DUMMYFUNCTION("""COMPUTED_VALUE"""),"82014080000")</f>
        <v>82014080000</v>
      </c>
      <c r="N2051" s="30" t="str">
        <f ca="1">IFERROR(__xludf.DUMMYFUNCTION("""COMPUTED_VALUE"""),"GODEKEN")</f>
        <v>GODEKEN</v>
      </c>
      <c r="O2051" s="30" t="str">
        <f ca="1">IFERROR(__xludf.DUMMYFUNCTION("""COMPUTED_VALUE"""),"8214")</f>
        <v>8214</v>
      </c>
      <c r="P2051" s="30" t="str">
        <f ca="1">IFERROR(__xludf.DUMMYFUNCTION("""COMPUTED_VALUE"""),"CASEROS")</f>
        <v>CASEROS</v>
      </c>
      <c r="Q2051" s="30" t="str">
        <f ca="1">IFERROR(__xludf.DUMMYFUNCTION("""COMPUTED_VALUE"""),"-33.38241851")</f>
        <v>-33.38241851</v>
      </c>
      <c r="R2051" s="30" t="str">
        <f ca="1">IFERROR(__xludf.DUMMYFUNCTION("""COMPUTED_VALUE"""),"-61.83313179")</f>
        <v>-61.83313179</v>
      </c>
      <c r="S2051" s="29"/>
      <c r="T2051" s="29"/>
    </row>
    <row r="2052" spans="1:20" ht="15.75" customHeight="1" x14ac:dyDescent="0.25">
      <c r="A2052" s="29"/>
      <c r="B2052" s="29"/>
      <c r="C2052" s="29"/>
      <c r="D2052" s="29"/>
      <c r="E2052" s="29"/>
      <c r="F2052" s="29"/>
      <c r="G2052" s="29"/>
      <c r="H2052" s="29"/>
      <c r="I2052" s="29"/>
      <c r="J2052" s="29"/>
      <c r="K2052" s="29"/>
      <c r="L2052" s="29"/>
      <c r="M2052" s="29"/>
      <c r="N2052" s="29"/>
      <c r="O2052" s="29"/>
      <c r="P2052" s="29"/>
      <c r="Q2052" s="29"/>
      <c r="R2052" s="29"/>
      <c r="S2052" s="29"/>
      <c r="T2052" s="29"/>
    </row>
    <row r="2053" spans="1:20" ht="15.75" customHeight="1" x14ac:dyDescent="0.25">
      <c r="A2053" s="29"/>
      <c r="B2053" s="29"/>
      <c r="C2053" s="29"/>
      <c r="D2053" s="29"/>
      <c r="E2053" s="29"/>
      <c r="F2053" s="29"/>
      <c r="G2053" s="29"/>
      <c r="H2053" s="29"/>
      <c r="I2053" s="29"/>
      <c r="J2053" s="29"/>
      <c r="K2053" s="29"/>
      <c r="L2053" s="29"/>
      <c r="M2053" s="29"/>
      <c r="N2053" s="29"/>
      <c r="O2053" s="29"/>
      <c r="P2053" s="29"/>
      <c r="Q2053" s="29"/>
      <c r="R2053" s="29"/>
      <c r="S2053" s="29"/>
      <c r="T2053" s="29"/>
    </row>
    <row r="2054" spans="1:20" ht="15.75" customHeight="1" x14ac:dyDescent="0.25">
      <c r="A2054" s="29"/>
      <c r="B2054" s="29"/>
      <c r="C2054" s="29"/>
      <c r="D2054" s="29"/>
      <c r="E2054" s="29"/>
      <c r="F2054" s="29"/>
      <c r="G2054" s="29"/>
      <c r="H2054" s="29"/>
      <c r="I2054" s="29"/>
      <c r="J2054" s="29"/>
      <c r="K2054" s="29"/>
      <c r="L2054" s="29"/>
      <c r="M2054" s="29"/>
      <c r="N2054" s="29"/>
      <c r="O2054" s="29"/>
      <c r="P2054" s="29"/>
      <c r="Q2054" s="29"/>
      <c r="R2054" s="29"/>
      <c r="S2054" s="29"/>
      <c r="T2054" s="29"/>
    </row>
    <row r="2055" spans="1:20" ht="15.75" customHeight="1" x14ac:dyDescent="0.25">
      <c r="A2055" s="29"/>
      <c r="B2055" s="29"/>
      <c r="C2055" s="29"/>
      <c r="D2055" s="29"/>
      <c r="E2055" s="29"/>
      <c r="F2055" s="29"/>
      <c r="G2055" s="29"/>
      <c r="H2055" s="29"/>
      <c r="I2055" s="29"/>
      <c r="J2055" s="29"/>
      <c r="K2055" s="29"/>
      <c r="L2055" s="29"/>
      <c r="M2055" s="29"/>
      <c r="N2055" s="29"/>
      <c r="O2055" s="29"/>
      <c r="P2055" s="29"/>
      <c r="Q2055" s="29"/>
      <c r="R2055" s="29"/>
      <c r="S2055" s="29"/>
      <c r="T2055" s="29"/>
    </row>
    <row r="2056" spans="1:20" ht="15.75" customHeight="1" x14ac:dyDescent="0.25">
      <c r="A2056" s="29"/>
      <c r="B2056" s="29"/>
      <c r="C2056" s="29"/>
      <c r="D2056" s="29"/>
      <c r="E2056" s="29"/>
      <c r="F2056" s="29"/>
      <c r="G2056" s="29"/>
      <c r="H2056" s="29"/>
      <c r="I2056" s="29"/>
      <c r="J2056" s="29"/>
      <c r="K2056" s="29"/>
      <c r="L2056" s="29"/>
      <c r="M2056" s="29"/>
      <c r="N2056" s="29"/>
      <c r="O2056" s="29"/>
      <c r="P2056" s="29"/>
      <c r="Q2056" s="29"/>
      <c r="R2056" s="29"/>
      <c r="S2056" s="29"/>
      <c r="T2056" s="29"/>
    </row>
    <row r="2057" spans="1:20" ht="15.75" customHeight="1" x14ac:dyDescent="0.25">
      <c r="A2057" s="29"/>
      <c r="B2057" s="29"/>
      <c r="C2057" s="29"/>
      <c r="D2057" s="29"/>
      <c r="E2057" s="29"/>
      <c r="F2057" s="29"/>
      <c r="G2057" s="29"/>
      <c r="H2057" s="29"/>
      <c r="I2057" s="29"/>
      <c r="J2057" s="29"/>
      <c r="K2057" s="29"/>
      <c r="L2057" s="29"/>
      <c r="M2057" s="29"/>
      <c r="N2057" s="29"/>
      <c r="O2057" s="29"/>
      <c r="P2057" s="29"/>
      <c r="Q2057" s="29"/>
      <c r="R2057" s="29"/>
      <c r="S2057" s="29"/>
      <c r="T2057" s="29"/>
    </row>
    <row r="2058" spans="1:20" ht="15.75" customHeight="1" x14ac:dyDescent="0.25">
      <c r="A2058" s="29"/>
      <c r="B2058" s="29"/>
      <c r="C2058" s="29"/>
      <c r="D2058" s="29"/>
      <c r="E2058" s="29"/>
      <c r="F2058" s="29"/>
      <c r="G2058" s="29"/>
      <c r="H2058" s="29"/>
      <c r="I2058" s="29"/>
      <c r="J2058" s="29"/>
      <c r="K2058" s="29"/>
      <c r="L2058" s="29"/>
      <c r="M2058" s="29"/>
      <c r="N2058" s="29"/>
      <c r="O2058" s="29"/>
      <c r="P2058" s="29"/>
      <c r="Q2058" s="29"/>
      <c r="R2058" s="29"/>
      <c r="S2058" s="29"/>
      <c r="T2058" s="29"/>
    </row>
    <row r="2059" spans="1:20" ht="15.75" customHeight="1" x14ac:dyDescent="0.25">
      <c r="A2059" s="29"/>
      <c r="B2059" s="29"/>
      <c r="C2059" s="29"/>
      <c r="D2059" s="29"/>
      <c r="E2059" s="29"/>
      <c r="F2059" s="29"/>
      <c r="G2059" s="29"/>
      <c r="H2059" s="29"/>
      <c r="I2059" s="29"/>
      <c r="J2059" s="29"/>
      <c r="K2059" s="29"/>
      <c r="L2059" s="29"/>
      <c r="M2059" s="29"/>
      <c r="N2059" s="29"/>
      <c r="O2059" s="29"/>
      <c r="P2059" s="29"/>
      <c r="Q2059" s="29"/>
      <c r="R2059" s="29"/>
      <c r="S2059" s="29"/>
      <c r="T2059" s="29"/>
    </row>
    <row r="2060" spans="1:20" ht="15.75" customHeight="1" x14ac:dyDescent="0.25">
      <c r="A2060" s="29"/>
      <c r="B2060" s="29"/>
      <c r="C2060" s="29"/>
      <c r="D2060" s="29"/>
      <c r="E2060" s="29"/>
      <c r="F2060" s="29"/>
      <c r="G2060" s="29"/>
      <c r="H2060" s="29"/>
      <c r="I2060" s="29"/>
      <c r="J2060" s="29"/>
      <c r="K2060" s="29"/>
      <c r="L2060" s="29"/>
      <c r="M2060" s="29"/>
      <c r="N2060" s="29"/>
      <c r="O2060" s="29"/>
      <c r="P2060" s="29"/>
      <c r="Q2060" s="29"/>
      <c r="R2060" s="29"/>
      <c r="S2060" s="29"/>
      <c r="T2060" s="29"/>
    </row>
    <row r="2061" spans="1:20" ht="15.75" customHeight="1" x14ac:dyDescent="0.25">
      <c r="A2061" s="29"/>
      <c r="B2061" s="29"/>
      <c r="C2061" s="29"/>
      <c r="D2061" s="29"/>
      <c r="E2061" s="29"/>
      <c r="F2061" s="29"/>
      <c r="G2061" s="29"/>
      <c r="H2061" s="29"/>
      <c r="I2061" s="29"/>
      <c r="J2061" s="29"/>
      <c r="K2061" s="29"/>
      <c r="L2061" s="29"/>
      <c r="M2061" s="29"/>
      <c r="N2061" s="29"/>
      <c r="O2061" s="29"/>
      <c r="P2061" s="29"/>
      <c r="Q2061" s="29"/>
      <c r="R2061" s="29"/>
      <c r="S2061" s="29"/>
      <c r="T2061" s="29"/>
    </row>
    <row r="2062" spans="1:20" ht="15.75" customHeight="1" x14ac:dyDescent="0.25">
      <c r="A2062" s="29"/>
      <c r="B2062" s="29"/>
      <c r="C2062" s="29"/>
      <c r="D2062" s="29"/>
      <c r="E2062" s="29"/>
      <c r="F2062" s="29"/>
      <c r="G2062" s="29"/>
      <c r="H2062" s="29"/>
      <c r="I2062" s="29"/>
      <c r="J2062" s="29"/>
      <c r="K2062" s="29"/>
      <c r="L2062" s="29"/>
      <c r="M2062" s="29"/>
      <c r="N2062" s="29"/>
      <c r="O2062" s="29"/>
      <c r="P2062" s="29"/>
      <c r="Q2062" s="29"/>
      <c r="R2062" s="29"/>
      <c r="S2062" s="29"/>
      <c r="T2062" s="29"/>
    </row>
    <row r="2063" spans="1:20" ht="15.75" customHeight="1" x14ac:dyDescent="0.25">
      <c r="A2063" s="29"/>
      <c r="B2063" s="29"/>
      <c r="C2063" s="29"/>
      <c r="D2063" s="29"/>
      <c r="E2063" s="29"/>
      <c r="F2063" s="29"/>
      <c r="G2063" s="29"/>
      <c r="H2063" s="29"/>
      <c r="I2063" s="29"/>
      <c r="J2063" s="29"/>
      <c r="K2063" s="29"/>
      <c r="L2063" s="29"/>
      <c r="M2063" s="29"/>
      <c r="N2063" s="29"/>
      <c r="O2063" s="29"/>
      <c r="P2063" s="29"/>
      <c r="Q2063" s="29"/>
      <c r="R2063" s="29"/>
      <c r="S2063" s="29"/>
      <c r="T2063" s="29"/>
    </row>
    <row r="2064" spans="1:20" ht="15.75" customHeight="1" x14ac:dyDescent="0.25">
      <c r="A2064" s="29"/>
      <c r="B2064" s="29"/>
      <c r="C2064" s="29"/>
      <c r="D2064" s="29"/>
      <c r="E2064" s="29"/>
      <c r="F2064" s="29"/>
      <c r="G2064" s="29"/>
      <c r="H2064" s="29"/>
      <c r="I2064" s="29"/>
      <c r="J2064" s="29"/>
      <c r="K2064" s="29"/>
      <c r="L2064" s="29"/>
      <c r="M2064" s="29"/>
      <c r="N2064" s="29"/>
      <c r="O2064" s="29"/>
      <c r="P2064" s="29"/>
      <c r="Q2064" s="29"/>
      <c r="R2064" s="29"/>
      <c r="S2064" s="29"/>
      <c r="T2064" s="29"/>
    </row>
    <row r="2065" spans="1:20" ht="15.75" customHeight="1" x14ac:dyDescent="0.25">
      <c r="A2065" s="29"/>
      <c r="B2065" s="29"/>
      <c r="C2065" s="29"/>
      <c r="D2065" s="29"/>
      <c r="E2065" s="29"/>
      <c r="F2065" s="29"/>
      <c r="G2065" s="29"/>
      <c r="H2065" s="29"/>
      <c r="I2065" s="29"/>
      <c r="J2065" s="29"/>
      <c r="K2065" s="29"/>
      <c r="L2065" s="29"/>
      <c r="M2065" s="29"/>
      <c r="N2065" s="29"/>
      <c r="O2065" s="29"/>
      <c r="P2065" s="29"/>
      <c r="Q2065" s="29"/>
      <c r="R2065" s="29"/>
      <c r="S2065" s="29"/>
      <c r="T2065" s="29"/>
    </row>
    <row r="2066" spans="1:20" ht="15.75" customHeight="1" x14ac:dyDescent="0.25">
      <c r="A2066" s="29"/>
      <c r="B2066" s="29"/>
      <c r="C2066" s="29"/>
      <c r="D2066" s="29"/>
      <c r="E2066" s="29"/>
      <c r="F2066" s="29"/>
      <c r="G2066" s="29"/>
      <c r="H2066" s="29"/>
      <c r="I2066" s="29"/>
      <c r="J2066" s="29"/>
      <c r="K2066" s="29"/>
      <c r="L2066" s="29"/>
      <c r="M2066" s="29"/>
      <c r="N2066" s="29"/>
      <c r="O2066" s="29"/>
      <c r="P2066" s="29"/>
      <c r="Q2066" s="29"/>
      <c r="R2066" s="29"/>
      <c r="S2066" s="29"/>
      <c r="T2066" s="29"/>
    </row>
    <row r="2067" spans="1:20" ht="15.75" customHeight="1" x14ac:dyDescent="0.25">
      <c r="A2067" s="29"/>
      <c r="B2067" s="29"/>
      <c r="C2067" s="29"/>
      <c r="D2067" s="29"/>
      <c r="E2067" s="29"/>
      <c r="F2067" s="29"/>
      <c r="G2067" s="29"/>
      <c r="H2067" s="29"/>
      <c r="I2067" s="29"/>
      <c r="J2067" s="29"/>
      <c r="K2067" s="29"/>
      <c r="L2067" s="29"/>
      <c r="M2067" s="29"/>
      <c r="N2067" s="29"/>
      <c r="O2067" s="29"/>
      <c r="P2067" s="29"/>
      <c r="Q2067" s="29"/>
      <c r="R2067" s="29"/>
      <c r="S2067" s="29"/>
      <c r="T2067" s="29"/>
    </row>
    <row r="2068" spans="1:20" ht="15.75" customHeight="1" x14ac:dyDescent="0.25">
      <c r="A2068" s="29"/>
      <c r="B2068" s="29"/>
      <c r="C2068" s="29"/>
      <c r="D2068" s="29"/>
      <c r="E2068" s="29"/>
      <c r="F2068" s="29"/>
      <c r="G2068" s="29"/>
      <c r="H2068" s="29"/>
      <c r="I2068" s="29"/>
      <c r="J2068" s="29"/>
      <c r="K2068" s="29"/>
      <c r="L2068" s="29"/>
      <c r="M2068" s="29"/>
      <c r="N2068" s="29"/>
      <c r="O2068" s="29"/>
      <c r="P2068" s="29"/>
      <c r="Q2068" s="29"/>
      <c r="R2068" s="29"/>
      <c r="S2068" s="29"/>
      <c r="T2068" s="29"/>
    </row>
    <row r="2069" spans="1:20" ht="15.75" customHeight="1" x14ac:dyDescent="0.25">
      <c r="A2069" s="29"/>
      <c r="B2069" s="29"/>
      <c r="C2069" s="29"/>
      <c r="D2069" s="29"/>
      <c r="E2069" s="29"/>
      <c r="F2069" s="29"/>
      <c r="G2069" s="29"/>
      <c r="H2069" s="29"/>
      <c r="I2069" s="29"/>
      <c r="J2069" s="29"/>
      <c r="K2069" s="29"/>
      <c r="L2069" s="29"/>
      <c r="M2069" s="29"/>
      <c r="N2069" s="29"/>
      <c r="O2069" s="29"/>
      <c r="P2069" s="29"/>
      <c r="Q2069" s="29"/>
      <c r="R2069" s="29"/>
      <c r="S2069" s="29"/>
      <c r="T2069" s="29"/>
    </row>
    <row r="2070" spans="1:20" ht="15.75" customHeight="1" x14ac:dyDescent="0.25">
      <c r="A2070" s="29"/>
      <c r="B2070" s="29"/>
      <c r="C2070" s="29"/>
      <c r="D2070" s="29"/>
      <c r="E2070" s="29"/>
      <c r="F2070" s="29"/>
      <c r="G2070" s="29"/>
      <c r="H2070" s="29"/>
      <c r="I2070" s="29"/>
      <c r="J2070" s="29"/>
      <c r="K2070" s="29"/>
      <c r="L2070" s="29"/>
      <c r="M2070" s="29"/>
      <c r="N2070" s="29"/>
      <c r="O2070" s="29"/>
      <c r="P2070" s="29"/>
      <c r="Q2070" s="29"/>
      <c r="R2070" s="29"/>
      <c r="S2070" s="29"/>
      <c r="T2070" s="29"/>
    </row>
    <row r="2071" spans="1:20" ht="15.75" customHeight="1" x14ac:dyDescent="0.25">
      <c r="A2071" s="29"/>
      <c r="B2071" s="29"/>
      <c r="C2071" s="29"/>
      <c r="D2071" s="29"/>
      <c r="E2071" s="29"/>
      <c r="F2071" s="29"/>
      <c r="G2071" s="29"/>
      <c r="H2071" s="29"/>
      <c r="I2071" s="29"/>
      <c r="J2071" s="29"/>
      <c r="K2071" s="29"/>
      <c r="L2071" s="29"/>
      <c r="M2071" s="29"/>
      <c r="N2071" s="29"/>
      <c r="O2071" s="29"/>
      <c r="P2071" s="29"/>
      <c r="Q2071" s="29"/>
      <c r="R2071" s="29"/>
      <c r="S2071" s="29"/>
      <c r="T2071" s="29"/>
    </row>
    <row r="2072" spans="1:20" ht="15.75" customHeight="1" x14ac:dyDescent="0.25">
      <c r="A2072" s="29"/>
      <c r="B2072" s="29"/>
      <c r="C2072" s="29"/>
      <c r="D2072" s="29"/>
      <c r="E2072" s="29"/>
      <c r="F2072" s="29"/>
      <c r="G2072" s="29"/>
      <c r="H2072" s="29"/>
      <c r="I2072" s="29"/>
      <c r="J2072" s="29"/>
      <c r="K2072" s="29"/>
      <c r="L2072" s="29"/>
      <c r="M2072" s="29"/>
      <c r="N2072" s="29"/>
      <c r="O2072" s="29"/>
      <c r="P2072" s="29"/>
      <c r="Q2072" s="29"/>
      <c r="R2072" s="29"/>
      <c r="S2072" s="29"/>
      <c r="T2072" s="29"/>
    </row>
    <row r="2073" spans="1:20" ht="15.75" customHeight="1" x14ac:dyDescent="0.25">
      <c r="A2073" s="29"/>
      <c r="B2073" s="29"/>
      <c r="C2073" s="29"/>
      <c r="D2073" s="29"/>
      <c r="E2073" s="29"/>
      <c r="F2073" s="29"/>
      <c r="G2073" s="29"/>
      <c r="H2073" s="29"/>
      <c r="I2073" s="29"/>
      <c r="J2073" s="29"/>
      <c r="K2073" s="29"/>
      <c r="L2073" s="29"/>
      <c r="M2073" s="29"/>
      <c r="N2073" s="29"/>
      <c r="O2073" s="29"/>
      <c r="P2073" s="29"/>
      <c r="Q2073" s="29"/>
      <c r="R2073" s="29"/>
      <c r="S2073" s="29"/>
      <c r="T2073" s="29"/>
    </row>
    <row r="2074" spans="1:20" ht="15.75" customHeight="1" x14ac:dyDescent="0.25">
      <c r="A2074" s="29"/>
      <c r="B2074" s="29"/>
      <c r="C2074" s="29"/>
      <c r="D2074" s="29"/>
      <c r="E2074" s="29"/>
      <c r="F2074" s="29"/>
      <c r="G2074" s="29"/>
      <c r="H2074" s="29"/>
      <c r="I2074" s="29"/>
      <c r="J2074" s="29"/>
      <c r="K2074" s="29"/>
      <c r="L2074" s="29"/>
      <c r="M2074" s="29"/>
      <c r="N2074" s="29"/>
      <c r="O2074" s="29"/>
      <c r="P2074" s="29"/>
      <c r="Q2074" s="29"/>
      <c r="R2074" s="29"/>
      <c r="S2074" s="29"/>
      <c r="T2074" s="29"/>
    </row>
    <row r="2075" spans="1:20" ht="15.75" customHeight="1" x14ac:dyDescent="0.25">
      <c r="A2075" s="29"/>
      <c r="B2075" s="29"/>
      <c r="C2075" s="29"/>
      <c r="D2075" s="29"/>
      <c r="E2075" s="29"/>
      <c r="F2075" s="29"/>
      <c r="G2075" s="29"/>
      <c r="H2075" s="29"/>
      <c r="I2075" s="29"/>
      <c r="J2075" s="29"/>
      <c r="K2075" s="29"/>
      <c r="L2075" s="29"/>
      <c r="M2075" s="29"/>
      <c r="N2075" s="29"/>
      <c r="O2075" s="29"/>
      <c r="P2075" s="29"/>
      <c r="Q2075" s="29"/>
      <c r="R2075" s="29"/>
      <c r="S2075" s="29"/>
      <c r="T2075" s="29"/>
    </row>
    <row r="2076" spans="1:20" ht="15.75" customHeight="1" x14ac:dyDescent="0.25">
      <c r="A2076" s="29"/>
      <c r="B2076" s="29"/>
      <c r="C2076" s="29"/>
      <c r="D2076" s="29"/>
      <c r="E2076" s="29"/>
      <c r="F2076" s="29"/>
      <c r="G2076" s="29"/>
      <c r="H2076" s="29"/>
      <c r="I2076" s="29"/>
      <c r="J2076" s="29"/>
      <c r="K2076" s="29"/>
      <c r="L2076" s="29"/>
      <c r="M2076" s="29"/>
      <c r="N2076" s="29"/>
      <c r="O2076" s="29"/>
      <c r="P2076" s="29"/>
      <c r="Q2076" s="29"/>
      <c r="R2076" s="29"/>
      <c r="S2076" s="29"/>
      <c r="T2076" s="29"/>
    </row>
    <row r="2077" spans="1:20" ht="15.75" customHeight="1" x14ac:dyDescent="0.25">
      <c r="A2077" s="29"/>
      <c r="B2077" s="29"/>
      <c r="C2077" s="29"/>
      <c r="D2077" s="29"/>
      <c r="E2077" s="29"/>
      <c r="F2077" s="29"/>
      <c r="G2077" s="29"/>
      <c r="H2077" s="29"/>
      <c r="I2077" s="29"/>
      <c r="J2077" s="29"/>
      <c r="K2077" s="29"/>
      <c r="L2077" s="29"/>
      <c r="M2077" s="29"/>
      <c r="N2077" s="29"/>
      <c r="O2077" s="29"/>
      <c r="P2077" s="29"/>
      <c r="Q2077" s="29"/>
      <c r="R2077" s="29"/>
      <c r="S2077" s="29"/>
      <c r="T2077" s="29"/>
    </row>
    <row r="2078" spans="1:20" ht="15.75" customHeight="1" x14ac:dyDescent="0.25">
      <c r="A2078" s="29"/>
      <c r="B2078" s="29"/>
      <c r="C2078" s="29"/>
      <c r="D2078" s="29"/>
      <c r="E2078" s="29"/>
      <c r="F2078" s="29"/>
      <c r="G2078" s="29"/>
      <c r="H2078" s="29"/>
      <c r="I2078" s="29"/>
      <c r="J2078" s="29"/>
      <c r="K2078" s="29"/>
      <c r="L2078" s="29"/>
      <c r="M2078" s="29"/>
      <c r="N2078" s="29"/>
      <c r="O2078" s="29"/>
      <c r="P2078" s="29"/>
      <c r="Q2078" s="29"/>
      <c r="R2078" s="29"/>
      <c r="S2078" s="29"/>
      <c r="T2078" s="29"/>
    </row>
    <row r="2079" spans="1:20" ht="15.75" customHeight="1" x14ac:dyDescent="0.25">
      <c r="A2079" s="29"/>
      <c r="B2079" s="29"/>
      <c r="C2079" s="29"/>
      <c r="D2079" s="29"/>
      <c r="E2079" s="29"/>
      <c r="F2079" s="29"/>
      <c r="G2079" s="29"/>
      <c r="H2079" s="29"/>
      <c r="I2079" s="29"/>
      <c r="J2079" s="29"/>
      <c r="K2079" s="29"/>
      <c r="L2079" s="29"/>
      <c r="M2079" s="29"/>
      <c r="N2079" s="29"/>
      <c r="O2079" s="29"/>
      <c r="P2079" s="29"/>
      <c r="Q2079" s="29"/>
      <c r="R2079" s="29"/>
      <c r="S2079" s="29"/>
      <c r="T2079" s="29"/>
    </row>
    <row r="2080" spans="1:20" ht="15.75" customHeight="1" x14ac:dyDescent="0.25">
      <c r="A2080" s="29"/>
      <c r="B2080" s="29"/>
      <c r="C2080" s="29"/>
      <c r="D2080" s="29"/>
      <c r="E2080" s="29"/>
      <c r="F2080" s="29"/>
      <c r="G2080" s="29"/>
      <c r="H2080" s="29"/>
      <c r="I2080" s="29"/>
      <c r="J2080" s="29"/>
      <c r="K2080" s="29"/>
      <c r="L2080" s="29"/>
      <c r="M2080" s="29"/>
      <c r="N2080" s="29"/>
      <c r="O2080" s="29"/>
      <c r="P2080" s="29"/>
      <c r="Q2080" s="29"/>
      <c r="R2080" s="29"/>
      <c r="S2080" s="29"/>
      <c r="T2080" s="29"/>
    </row>
    <row r="2081" spans="1:20" ht="15.75" customHeight="1" x14ac:dyDescent="0.25">
      <c r="A2081" s="29"/>
      <c r="B2081" s="29"/>
      <c r="C2081" s="29"/>
      <c r="D2081" s="29"/>
      <c r="E2081" s="29"/>
      <c r="F2081" s="29"/>
      <c r="G2081" s="29"/>
      <c r="H2081" s="29"/>
      <c r="I2081" s="29"/>
      <c r="J2081" s="29"/>
      <c r="K2081" s="29"/>
      <c r="L2081" s="29"/>
      <c r="M2081" s="29"/>
      <c r="N2081" s="29"/>
      <c r="O2081" s="29"/>
      <c r="P2081" s="29"/>
      <c r="Q2081" s="29"/>
      <c r="R2081" s="29"/>
      <c r="S2081" s="29"/>
      <c r="T2081" s="29"/>
    </row>
    <row r="2082" spans="1:20" ht="15.75" customHeight="1" x14ac:dyDescent="0.25">
      <c r="A2082" s="29"/>
      <c r="B2082" s="29"/>
      <c r="C2082" s="29"/>
      <c r="D2082" s="29"/>
      <c r="E2082" s="29"/>
      <c r="F2082" s="29"/>
      <c r="G2082" s="29"/>
      <c r="H2082" s="29"/>
      <c r="I2082" s="29"/>
      <c r="J2082" s="29"/>
      <c r="K2082" s="29"/>
      <c r="L2082" s="29"/>
      <c r="M2082" s="29"/>
      <c r="N2082" s="29"/>
      <c r="O2082" s="29"/>
      <c r="P2082" s="29"/>
      <c r="Q2082" s="29"/>
      <c r="R2082" s="29"/>
      <c r="S2082" s="29"/>
      <c r="T2082" s="29"/>
    </row>
    <row r="2083" spans="1:20" ht="15.75" customHeight="1" x14ac:dyDescent="0.25">
      <c r="A2083" s="29"/>
      <c r="B2083" s="29"/>
      <c r="C2083" s="29"/>
      <c r="D2083" s="29"/>
      <c r="E2083" s="29"/>
      <c r="F2083" s="29"/>
      <c r="G2083" s="29"/>
      <c r="H2083" s="29"/>
      <c r="I2083" s="29"/>
      <c r="J2083" s="29"/>
      <c r="K2083" s="29"/>
      <c r="L2083" s="29"/>
      <c r="M2083" s="29"/>
      <c r="N2083" s="29"/>
      <c r="O2083" s="29"/>
      <c r="P2083" s="29"/>
      <c r="Q2083" s="29"/>
      <c r="R2083" s="29"/>
      <c r="S2083" s="29"/>
      <c r="T2083" s="29"/>
    </row>
    <row r="2084" spans="1:20" ht="15.75" customHeight="1" x14ac:dyDescent="0.25">
      <c r="A2084" s="29"/>
      <c r="B2084" s="29"/>
      <c r="C2084" s="29"/>
      <c r="D2084" s="29"/>
      <c r="E2084" s="29"/>
      <c r="F2084" s="29"/>
      <c r="G2084" s="29"/>
      <c r="H2084" s="29"/>
      <c r="I2084" s="29"/>
      <c r="J2084" s="29"/>
      <c r="K2084" s="29"/>
      <c r="L2084" s="29"/>
      <c r="M2084" s="29"/>
      <c r="N2084" s="29"/>
      <c r="O2084" s="29"/>
      <c r="P2084" s="29"/>
      <c r="Q2084" s="29"/>
      <c r="R2084" s="29"/>
      <c r="S2084" s="29"/>
      <c r="T2084" s="29"/>
    </row>
    <row r="2085" spans="1:20" ht="15.75" customHeight="1" x14ac:dyDescent="0.25">
      <c r="A2085" s="29"/>
      <c r="B2085" s="29"/>
      <c r="C2085" s="29"/>
      <c r="D2085" s="29"/>
      <c r="E2085" s="29"/>
      <c r="F2085" s="29"/>
      <c r="G2085" s="29"/>
      <c r="H2085" s="29"/>
      <c r="I2085" s="29"/>
      <c r="J2085" s="29"/>
      <c r="K2085" s="29"/>
      <c r="L2085" s="29"/>
      <c r="M2085" s="29"/>
      <c r="N2085" s="29"/>
      <c r="O2085" s="29"/>
      <c r="P2085" s="29"/>
      <c r="Q2085" s="29"/>
      <c r="R2085" s="29"/>
      <c r="S2085" s="29"/>
      <c r="T2085" s="29"/>
    </row>
    <row r="2086" spans="1:20" ht="15.75" customHeight="1" x14ac:dyDescent="0.25">
      <c r="A2086" s="29"/>
      <c r="B2086" s="29"/>
      <c r="C2086" s="29"/>
      <c r="D2086" s="29"/>
      <c r="E2086" s="29"/>
      <c r="F2086" s="29"/>
      <c r="G2086" s="29"/>
      <c r="H2086" s="29"/>
      <c r="I2086" s="29"/>
      <c r="J2086" s="29"/>
      <c r="K2086" s="29"/>
      <c r="L2086" s="29"/>
      <c r="M2086" s="29"/>
      <c r="N2086" s="29"/>
      <c r="O2086" s="29"/>
      <c r="P2086" s="29"/>
      <c r="Q2086" s="29"/>
      <c r="R2086" s="29"/>
      <c r="S2086" s="29"/>
      <c r="T2086" s="29"/>
    </row>
    <row r="2087" spans="1:20" ht="15.75" customHeight="1" x14ac:dyDescent="0.25">
      <c r="A2087" s="29"/>
      <c r="B2087" s="29"/>
      <c r="C2087" s="29"/>
      <c r="D2087" s="29"/>
      <c r="E2087" s="29"/>
      <c r="F2087" s="29"/>
      <c r="G2087" s="29"/>
      <c r="H2087" s="29"/>
      <c r="I2087" s="29"/>
      <c r="J2087" s="29"/>
      <c r="K2087" s="29"/>
      <c r="L2087" s="29"/>
      <c r="M2087" s="29"/>
      <c r="N2087" s="29"/>
      <c r="O2087" s="29"/>
      <c r="P2087" s="29"/>
      <c r="Q2087" s="29"/>
      <c r="R2087" s="29"/>
      <c r="S2087" s="29"/>
      <c r="T2087" s="29"/>
    </row>
    <row r="2088" spans="1:20" ht="15.75" customHeight="1" x14ac:dyDescent="0.25">
      <c r="A2088" s="29"/>
      <c r="B2088" s="29"/>
      <c r="C2088" s="29"/>
      <c r="D2088" s="29"/>
      <c r="E2088" s="29"/>
      <c r="F2088" s="29"/>
      <c r="G2088" s="29"/>
      <c r="H2088" s="29"/>
      <c r="I2088" s="29"/>
      <c r="J2088" s="29"/>
      <c r="K2088" s="29"/>
      <c r="L2088" s="29"/>
      <c r="M2088" s="29"/>
      <c r="N2088" s="29"/>
      <c r="O2088" s="29"/>
      <c r="P2088" s="29"/>
      <c r="Q2088" s="29"/>
      <c r="R2088" s="29"/>
      <c r="S2088" s="29"/>
      <c r="T2088" s="29"/>
    </row>
    <row r="2089" spans="1:20" ht="15.75" customHeight="1" x14ac:dyDescent="0.25">
      <c r="A2089" s="29"/>
      <c r="B2089" s="29"/>
      <c r="C2089" s="29"/>
      <c r="D2089" s="29"/>
      <c r="E2089" s="29"/>
      <c r="F2089" s="29"/>
      <c r="G2089" s="29"/>
      <c r="H2089" s="29"/>
      <c r="I2089" s="29"/>
      <c r="J2089" s="29"/>
      <c r="K2089" s="29"/>
      <c r="L2089" s="29"/>
      <c r="M2089" s="29"/>
      <c r="N2089" s="29"/>
      <c r="O2089" s="29"/>
      <c r="P2089" s="29"/>
      <c r="Q2089" s="29"/>
      <c r="R2089" s="29"/>
      <c r="S2089" s="29"/>
      <c r="T2089" s="29"/>
    </row>
    <row r="2090" spans="1:20" ht="15.75" customHeight="1" x14ac:dyDescent="0.25">
      <c r="A2090" s="29"/>
      <c r="B2090" s="29"/>
      <c r="C2090" s="29"/>
      <c r="D2090" s="29"/>
      <c r="E2090" s="29"/>
      <c r="F2090" s="29"/>
      <c r="G2090" s="29"/>
      <c r="H2090" s="29"/>
      <c r="I2090" s="29"/>
      <c r="J2090" s="29"/>
      <c r="K2090" s="29"/>
      <c r="L2090" s="29"/>
      <c r="M2090" s="29"/>
      <c r="N2090" s="29"/>
      <c r="O2090" s="29"/>
      <c r="P2090" s="29"/>
      <c r="Q2090" s="29"/>
      <c r="R2090" s="29"/>
      <c r="S2090" s="29"/>
      <c r="T2090" s="29"/>
    </row>
    <row r="2091" spans="1:20" ht="15.75" customHeight="1" x14ac:dyDescent="0.25">
      <c r="A2091" s="29"/>
      <c r="B2091" s="29"/>
      <c r="C2091" s="29"/>
      <c r="D2091" s="29"/>
      <c r="E2091" s="29"/>
      <c r="F2091" s="29"/>
      <c r="G2091" s="29"/>
      <c r="H2091" s="29"/>
      <c r="I2091" s="29"/>
      <c r="J2091" s="29"/>
      <c r="K2091" s="29"/>
      <c r="L2091" s="29"/>
      <c r="M2091" s="29"/>
      <c r="N2091" s="29"/>
      <c r="O2091" s="29"/>
      <c r="P2091" s="29"/>
      <c r="Q2091" s="29"/>
      <c r="R2091" s="29"/>
      <c r="S2091" s="29"/>
      <c r="T2091" s="29"/>
    </row>
    <row r="2092" spans="1:20" ht="15.75" customHeight="1" x14ac:dyDescent="0.25">
      <c r="A2092" s="29"/>
      <c r="B2092" s="29"/>
      <c r="C2092" s="29"/>
      <c r="D2092" s="29"/>
      <c r="E2092" s="29"/>
      <c r="F2092" s="29"/>
      <c r="G2092" s="29"/>
      <c r="H2092" s="29"/>
      <c r="I2092" s="29"/>
      <c r="J2092" s="29"/>
      <c r="K2092" s="29"/>
      <c r="L2092" s="29"/>
      <c r="M2092" s="29"/>
      <c r="N2092" s="29"/>
      <c r="O2092" s="29"/>
      <c r="P2092" s="29"/>
      <c r="Q2092" s="29"/>
      <c r="R2092" s="29"/>
      <c r="S2092" s="29"/>
      <c r="T2092" s="29"/>
    </row>
    <row r="2093" spans="1:20" ht="15.75" customHeight="1" x14ac:dyDescent="0.25">
      <c r="A2093" s="29"/>
      <c r="B2093" s="29"/>
      <c r="C2093" s="29"/>
      <c r="D2093" s="29"/>
      <c r="E2093" s="29"/>
      <c r="F2093" s="29"/>
      <c r="G2093" s="29"/>
      <c r="H2093" s="29"/>
      <c r="I2093" s="29"/>
      <c r="J2093" s="29"/>
      <c r="K2093" s="29"/>
      <c r="L2093" s="29"/>
      <c r="M2093" s="29"/>
      <c r="N2093" s="29"/>
      <c r="O2093" s="29"/>
      <c r="P2093" s="29"/>
      <c r="Q2093" s="29"/>
      <c r="R2093" s="29"/>
      <c r="S2093" s="29"/>
      <c r="T2093" s="29"/>
    </row>
    <row r="2094" spans="1:20" ht="15.75" customHeight="1" x14ac:dyDescent="0.25">
      <c r="A2094" s="29"/>
      <c r="B2094" s="29"/>
      <c r="C2094" s="29"/>
      <c r="D2094" s="29"/>
      <c r="E2094" s="29"/>
      <c r="F2094" s="29"/>
      <c r="G2094" s="29"/>
      <c r="H2094" s="29"/>
      <c r="I2094" s="29"/>
      <c r="J2094" s="29"/>
      <c r="K2094" s="29"/>
      <c r="L2094" s="29"/>
      <c r="M2094" s="29"/>
      <c r="N2094" s="29"/>
      <c r="O2094" s="29"/>
      <c r="P2094" s="29"/>
      <c r="Q2094" s="29"/>
      <c r="R2094" s="29"/>
      <c r="S2094" s="29"/>
      <c r="T2094" s="29"/>
    </row>
    <row r="2095" spans="1:20" ht="15.75" customHeight="1" x14ac:dyDescent="0.25">
      <c r="A2095" s="29"/>
      <c r="B2095" s="29"/>
      <c r="C2095" s="29"/>
      <c r="D2095" s="29"/>
      <c r="E2095" s="29"/>
      <c r="F2095" s="29"/>
      <c r="G2095" s="29"/>
      <c r="H2095" s="29"/>
      <c r="I2095" s="29"/>
      <c r="J2095" s="29"/>
      <c r="K2095" s="29"/>
      <c r="L2095" s="29"/>
      <c r="M2095" s="29"/>
      <c r="N2095" s="29"/>
      <c r="O2095" s="29"/>
      <c r="P2095" s="29"/>
      <c r="Q2095" s="29"/>
      <c r="R2095" s="29"/>
      <c r="S2095" s="29"/>
      <c r="T2095" s="29"/>
    </row>
    <row r="2096" spans="1:20" ht="15.75" customHeight="1" x14ac:dyDescent="0.25">
      <c r="A2096" s="29"/>
      <c r="B2096" s="29"/>
      <c r="C2096" s="29"/>
      <c r="D2096" s="29"/>
      <c r="E2096" s="29"/>
      <c r="F2096" s="29"/>
      <c r="G2096" s="29"/>
      <c r="H2096" s="29"/>
      <c r="I2096" s="29"/>
      <c r="J2096" s="29"/>
      <c r="K2096" s="29"/>
      <c r="L2096" s="29"/>
      <c r="M2096" s="29"/>
      <c r="N2096" s="29"/>
      <c r="O2096" s="29"/>
      <c r="P2096" s="29"/>
      <c r="Q2096" s="29"/>
      <c r="R2096" s="29"/>
      <c r="S2096" s="29"/>
      <c r="T2096" s="29"/>
    </row>
    <row r="2097" spans="1:20" ht="15.75" customHeight="1" x14ac:dyDescent="0.25">
      <c r="A2097" s="29"/>
      <c r="B2097" s="29"/>
      <c r="C2097" s="29"/>
      <c r="D2097" s="29"/>
      <c r="E2097" s="29"/>
      <c r="F2097" s="29"/>
      <c r="G2097" s="29"/>
      <c r="H2097" s="29"/>
      <c r="I2097" s="29"/>
      <c r="J2097" s="29"/>
      <c r="K2097" s="29"/>
      <c r="L2097" s="29"/>
      <c r="M2097" s="29"/>
      <c r="N2097" s="29"/>
      <c r="O2097" s="29"/>
      <c r="P2097" s="29"/>
      <c r="Q2097" s="29"/>
      <c r="R2097" s="29"/>
      <c r="S2097" s="29"/>
      <c r="T2097" s="29"/>
    </row>
    <row r="2098" spans="1:20" ht="15.75" customHeight="1" x14ac:dyDescent="0.25">
      <c r="A2098" s="29"/>
      <c r="B2098" s="29"/>
      <c r="C2098" s="29"/>
      <c r="D2098" s="29"/>
      <c r="E2098" s="29"/>
      <c r="F2098" s="29"/>
      <c r="G2098" s="29"/>
      <c r="H2098" s="29"/>
      <c r="I2098" s="29"/>
      <c r="J2098" s="29"/>
      <c r="K2098" s="29"/>
      <c r="L2098" s="29"/>
      <c r="M2098" s="29"/>
      <c r="N2098" s="29"/>
      <c r="O2098" s="29"/>
      <c r="P2098" s="29"/>
      <c r="Q2098" s="29"/>
      <c r="R2098" s="29"/>
      <c r="S2098" s="29"/>
      <c r="T2098" s="29"/>
    </row>
    <row r="2099" spans="1:20" ht="15.75" customHeight="1" x14ac:dyDescent="0.25">
      <c r="A2099" s="29"/>
      <c r="B2099" s="29"/>
      <c r="C2099" s="29"/>
      <c r="D2099" s="29"/>
      <c r="E2099" s="29"/>
      <c r="F2099" s="29"/>
      <c r="G2099" s="29"/>
      <c r="H2099" s="29"/>
      <c r="I2099" s="29"/>
      <c r="J2099" s="29"/>
      <c r="K2099" s="29"/>
      <c r="L2099" s="29"/>
      <c r="M2099" s="29"/>
      <c r="N2099" s="29"/>
      <c r="O2099" s="29"/>
      <c r="P2099" s="29"/>
      <c r="Q2099" s="29"/>
      <c r="R2099" s="29"/>
      <c r="S2099" s="29"/>
      <c r="T2099" s="29"/>
    </row>
    <row r="2100" spans="1:20" ht="15.75" customHeight="1" x14ac:dyDescent="0.25">
      <c r="A2100" s="29"/>
      <c r="B2100" s="29"/>
      <c r="C2100" s="29"/>
      <c r="D2100" s="29"/>
      <c r="E2100" s="29"/>
      <c r="F2100" s="29"/>
      <c r="G2100" s="29"/>
      <c r="H2100" s="29"/>
      <c r="I2100" s="29"/>
      <c r="J2100" s="29"/>
      <c r="K2100" s="29"/>
      <c r="L2100" s="29"/>
      <c r="M2100" s="29"/>
      <c r="N2100" s="29"/>
      <c r="O2100" s="29"/>
      <c r="P2100" s="29"/>
      <c r="Q2100" s="29"/>
      <c r="R2100" s="29"/>
      <c r="S2100" s="29"/>
      <c r="T2100" s="29"/>
    </row>
    <row r="2101" spans="1:20" ht="15.75" customHeight="1" x14ac:dyDescent="0.25">
      <c r="A2101" s="29"/>
      <c r="B2101" s="29"/>
      <c r="C2101" s="29"/>
      <c r="D2101" s="29"/>
      <c r="E2101" s="29"/>
      <c r="F2101" s="29"/>
      <c r="G2101" s="29"/>
      <c r="H2101" s="29"/>
      <c r="I2101" s="29"/>
      <c r="J2101" s="29"/>
      <c r="K2101" s="29"/>
      <c r="L2101" s="29"/>
      <c r="M2101" s="29"/>
      <c r="N2101" s="29"/>
      <c r="O2101" s="29"/>
      <c r="P2101" s="29"/>
      <c r="Q2101" s="29"/>
      <c r="R2101" s="29"/>
      <c r="S2101" s="29"/>
      <c r="T2101" s="29"/>
    </row>
    <row r="2102" spans="1:20" ht="15.75" customHeight="1" x14ac:dyDescent="0.25">
      <c r="A2102" s="29"/>
      <c r="B2102" s="29"/>
      <c r="C2102" s="29"/>
      <c r="D2102" s="29"/>
      <c r="E2102" s="29"/>
      <c r="F2102" s="29"/>
      <c r="G2102" s="29"/>
      <c r="H2102" s="29"/>
      <c r="I2102" s="29"/>
      <c r="J2102" s="29"/>
      <c r="K2102" s="29"/>
      <c r="L2102" s="29"/>
      <c r="M2102" s="29"/>
      <c r="N2102" s="29"/>
      <c r="O2102" s="29"/>
      <c r="P2102" s="29"/>
      <c r="Q2102" s="29"/>
      <c r="R2102" s="29"/>
      <c r="S2102" s="29"/>
      <c r="T2102" s="29"/>
    </row>
    <row r="2103" spans="1:20" ht="15.75" customHeight="1" x14ac:dyDescent="0.25">
      <c r="A2103" s="29"/>
      <c r="B2103" s="29"/>
      <c r="C2103" s="29"/>
      <c r="D2103" s="29"/>
      <c r="E2103" s="29"/>
      <c r="F2103" s="29"/>
      <c r="G2103" s="29"/>
      <c r="H2103" s="29"/>
      <c r="I2103" s="29"/>
      <c r="J2103" s="29"/>
      <c r="K2103" s="29"/>
      <c r="L2103" s="29"/>
      <c r="M2103" s="29"/>
      <c r="N2103" s="29"/>
      <c r="O2103" s="29"/>
      <c r="P2103" s="29"/>
      <c r="Q2103" s="29"/>
      <c r="R2103" s="29"/>
      <c r="S2103" s="29"/>
      <c r="T2103" s="29"/>
    </row>
    <row r="2104" spans="1:20" ht="15.75" customHeight="1" x14ac:dyDescent="0.25">
      <c r="A2104" s="29"/>
      <c r="B2104" s="29"/>
      <c r="C2104" s="29"/>
      <c r="D2104" s="29"/>
      <c r="E2104" s="29"/>
      <c r="F2104" s="29"/>
      <c r="G2104" s="29"/>
      <c r="H2104" s="29"/>
      <c r="I2104" s="29"/>
      <c r="J2104" s="29"/>
      <c r="K2104" s="29"/>
      <c r="L2104" s="29"/>
      <c r="M2104" s="29"/>
      <c r="N2104" s="29"/>
      <c r="O2104" s="29"/>
      <c r="P2104" s="29"/>
      <c r="Q2104" s="29"/>
      <c r="R2104" s="29"/>
      <c r="S2104" s="29"/>
      <c r="T2104" s="29"/>
    </row>
    <row r="2105" spans="1:20" ht="15.75" customHeight="1" x14ac:dyDescent="0.25">
      <c r="A2105" s="29"/>
      <c r="B2105" s="29"/>
      <c r="C2105" s="29"/>
      <c r="D2105" s="29"/>
      <c r="E2105" s="29"/>
      <c r="F2105" s="29"/>
      <c r="G2105" s="29"/>
      <c r="H2105" s="29"/>
      <c r="I2105" s="29"/>
      <c r="J2105" s="29"/>
      <c r="K2105" s="29"/>
      <c r="L2105" s="29"/>
      <c r="M2105" s="29"/>
      <c r="N2105" s="29"/>
      <c r="O2105" s="29"/>
      <c r="P2105" s="29"/>
      <c r="Q2105" s="29"/>
      <c r="R2105" s="29"/>
      <c r="S2105" s="29"/>
      <c r="T2105" s="29"/>
    </row>
    <row r="2106" spans="1:20" ht="15.75" customHeight="1" x14ac:dyDescent="0.25">
      <c r="A2106" s="29"/>
      <c r="B2106" s="29"/>
      <c r="C2106" s="29"/>
      <c r="D2106" s="29"/>
      <c r="E2106" s="29"/>
      <c r="F2106" s="29"/>
      <c r="G2106" s="29"/>
      <c r="H2106" s="29"/>
      <c r="I2106" s="29"/>
      <c r="J2106" s="29"/>
      <c r="K2106" s="29"/>
      <c r="L2106" s="29"/>
      <c r="M2106" s="29"/>
      <c r="N2106" s="29"/>
      <c r="O2106" s="29"/>
      <c r="P2106" s="29"/>
      <c r="Q2106" s="29"/>
      <c r="R2106" s="29"/>
      <c r="S2106" s="29"/>
      <c r="T2106" s="29"/>
    </row>
    <row r="2107" spans="1:20" ht="15.75" customHeight="1" x14ac:dyDescent="0.25">
      <c r="A2107" s="29"/>
      <c r="B2107" s="29"/>
      <c r="C2107" s="29"/>
      <c r="D2107" s="29"/>
      <c r="E2107" s="29"/>
      <c r="F2107" s="29"/>
      <c r="G2107" s="29"/>
      <c r="H2107" s="29"/>
      <c r="I2107" s="29"/>
      <c r="J2107" s="29"/>
      <c r="K2107" s="29"/>
      <c r="L2107" s="29"/>
      <c r="M2107" s="29"/>
      <c r="N2107" s="29"/>
      <c r="O2107" s="29"/>
      <c r="P2107" s="29"/>
      <c r="Q2107" s="29"/>
      <c r="R2107" s="29"/>
      <c r="S2107" s="29"/>
      <c r="T2107" s="29"/>
    </row>
    <row r="2108" spans="1:20" ht="15.75" customHeight="1" x14ac:dyDescent="0.25">
      <c r="A2108" s="29"/>
      <c r="B2108" s="29"/>
      <c r="C2108" s="29"/>
      <c r="D2108" s="29"/>
      <c r="E2108" s="29"/>
      <c r="F2108" s="29"/>
      <c r="G2108" s="29"/>
      <c r="H2108" s="29"/>
      <c r="I2108" s="29"/>
      <c r="J2108" s="29"/>
      <c r="K2108" s="29"/>
      <c r="L2108" s="29"/>
      <c r="M2108" s="29"/>
      <c r="N2108" s="29"/>
      <c r="O2108" s="29"/>
      <c r="P2108" s="29"/>
      <c r="Q2108" s="29"/>
      <c r="R2108" s="29"/>
      <c r="S2108" s="29"/>
      <c r="T2108" s="29"/>
    </row>
    <row r="2109" spans="1:20" ht="15.75" customHeight="1" x14ac:dyDescent="0.25">
      <c r="A2109" s="29"/>
      <c r="B2109" s="29"/>
      <c r="C2109" s="29"/>
      <c r="D2109" s="29"/>
      <c r="E2109" s="29"/>
      <c r="F2109" s="29"/>
      <c r="G2109" s="29"/>
      <c r="H2109" s="29"/>
      <c r="I2109" s="29"/>
      <c r="J2109" s="29"/>
      <c r="K2109" s="29"/>
      <c r="L2109" s="29"/>
      <c r="M2109" s="29"/>
      <c r="N2109" s="29"/>
      <c r="O2109" s="29"/>
      <c r="P2109" s="29"/>
      <c r="Q2109" s="29"/>
      <c r="R2109" s="29"/>
      <c r="S2109" s="29"/>
      <c r="T2109" s="29"/>
    </row>
    <row r="2110" spans="1:20" ht="15.75" customHeight="1" x14ac:dyDescent="0.25">
      <c r="A2110" s="29"/>
      <c r="B2110" s="29"/>
      <c r="C2110" s="29"/>
      <c r="D2110" s="29"/>
      <c r="E2110" s="29"/>
      <c r="F2110" s="29"/>
      <c r="G2110" s="29"/>
      <c r="H2110" s="29"/>
      <c r="I2110" s="29"/>
      <c r="J2110" s="29"/>
      <c r="K2110" s="29"/>
      <c r="L2110" s="29"/>
      <c r="M2110" s="29"/>
      <c r="N2110" s="29"/>
      <c r="O2110" s="29"/>
      <c r="P2110" s="29"/>
      <c r="Q2110" s="29"/>
      <c r="R2110" s="29"/>
      <c r="S2110" s="29"/>
      <c r="T2110" s="29"/>
    </row>
    <row r="2111" spans="1:20" ht="15.75" customHeight="1" x14ac:dyDescent="0.25">
      <c r="A2111" s="29"/>
      <c r="B2111" s="29"/>
      <c r="C2111" s="29"/>
      <c r="D2111" s="29"/>
      <c r="E2111" s="29"/>
      <c r="F2111" s="29"/>
      <c r="G2111" s="29"/>
      <c r="H2111" s="29"/>
      <c r="I2111" s="29"/>
      <c r="J2111" s="29"/>
      <c r="K2111" s="29"/>
      <c r="L2111" s="29"/>
      <c r="M2111" s="29"/>
      <c r="N2111" s="29"/>
      <c r="O2111" s="29"/>
      <c r="P2111" s="29"/>
      <c r="Q2111" s="29"/>
      <c r="R2111" s="29"/>
      <c r="S2111" s="29"/>
      <c r="T2111" s="29"/>
    </row>
    <row r="2112" spans="1:20" ht="15.75" customHeight="1" x14ac:dyDescent="0.25">
      <c r="A2112" s="29"/>
      <c r="B2112" s="29"/>
      <c r="C2112" s="29"/>
      <c r="D2112" s="29"/>
      <c r="E2112" s="29"/>
      <c r="F2112" s="29"/>
      <c r="G2112" s="29"/>
      <c r="H2112" s="29"/>
      <c r="I2112" s="29"/>
      <c r="J2112" s="29"/>
      <c r="K2112" s="29"/>
      <c r="L2112" s="29"/>
      <c r="M2112" s="29"/>
      <c r="N2112" s="29"/>
      <c r="O2112" s="29"/>
      <c r="P2112" s="29"/>
      <c r="Q2112" s="29"/>
      <c r="R2112" s="29"/>
      <c r="S2112" s="29"/>
      <c r="T2112" s="29"/>
    </row>
    <row r="2113" spans="1:20" ht="15.75" customHeight="1" x14ac:dyDescent="0.25">
      <c r="A2113" s="29"/>
      <c r="B2113" s="29"/>
      <c r="C2113" s="29"/>
      <c r="D2113" s="29"/>
      <c r="E2113" s="29"/>
      <c r="F2113" s="29"/>
      <c r="G2113" s="29"/>
      <c r="H2113" s="29"/>
      <c r="I2113" s="29"/>
      <c r="J2113" s="29"/>
      <c r="K2113" s="29"/>
      <c r="L2113" s="29"/>
      <c r="M2113" s="29"/>
      <c r="N2113" s="29"/>
      <c r="O2113" s="29"/>
      <c r="P2113" s="29"/>
      <c r="Q2113" s="29"/>
      <c r="R2113" s="29"/>
      <c r="S2113" s="29"/>
      <c r="T2113" s="29"/>
    </row>
    <row r="2114" spans="1:20" ht="15.75" customHeight="1" x14ac:dyDescent="0.25">
      <c r="A2114" s="29"/>
      <c r="B2114" s="29"/>
      <c r="C2114" s="29"/>
      <c r="D2114" s="29"/>
      <c r="E2114" s="29"/>
      <c r="F2114" s="29"/>
      <c r="G2114" s="29"/>
      <c r="H2114" s="29"/>
      <c r="I2114" s="29"/>
      <c r="J2114" s="29"/>
      <c r="K2114" s="29"/>
      <c r="L2114" s="29"/>
      <c r="M2114" s="29"/>
      <c r="N2114" s="29"/>
      <c r="O2114" s="29"/>
      <c r="P2114" s="29"/>
      <c r="Q2114" s="29"/>
      <c r="R2114" s="29"/>
      <c r="S2114" s="29"/>
      <c r="T2114" s="29"/>
    </row>
    <row r="2115" spans="1:20" ht="15.75" customHeight="1" x14ac:dyDescent="0.25">
      <c r="A2115" s="29"/>
      <c r="B2115" s="29"/>
      <c r="C2115" s="29"/>
      <c r="D2115" s="29"/>
      <c r="E2115" s="29"/>
      <c r="F2115" s="29"/>
      <c r="G2115" s="29"/>
      <c r="H2115" s="29"/>
      <c r="I2115" s="29"/>
      <c r="J2115" s="29"/>
      <c r="K2115" s="29"/>
      <c r="L2115" s="29"/>
      <c r="M2115" s="29"/>
      <c r="N2115" s="29"/>
      <c r="O2115" s="29"/>
      <c r="P2115" s="29"/>
      <c r="Q2115" s="29"/>
      <c r="R2115" s="29"/>
      <c r="S2115" s="29"/>
      <c r="T2115" s="29"/>
    </row>
    <row r="2116" spans="1:20" ht="15.75" customHeight="1" x14ac:dyDescent="0.25">
      <c r="A2116" s="29"/>
      <c r="B2116" s="29"/>
      <c r="C2116" s="29"/>
      <c r="D2116" s="29"/>
      <c r="E2116" s="29"/>
      <c r="F2116" s="29"/>
      <c r="G2116" s="29"/>
      <c r="H2116" s="29"/>
      <c r="I2116" s="29"/>
      <c r="J2116" s="29"/>
      <c r="K2116" s="29"/>
      <c r="L2116" s="29"/>
      <c r="M2116" s="29"/>
      <c r="N2116" s="29"/>
      <c r="O2116" s="29"/>
      <c r="P2116" s="29"/>
      <c r="Q2116" s="29"/>
      <c r="R2116" s="29"/>
      <c r="S2116" s="29"/>
      <c r="T2116" s="29"/>
    </row>
    <row r="2117" spans="1:20" ht="15.75" customHeight="1" x14ac:dyDescent="0.25">
      <c r="A2117" s="29"/>
      <c r="B2117" s="29"/>
      <c r="C2117" s="29"/>
      <c r="D2117" s="29"/>
      <c r="E2117" s="29"/>
      <c r="F2117" s="29"/>
      <c r="G2117" s="29"/>
      <c r="H2117" s="29"/>
      <c r="I2117" s="29"/>
      <c r="J2117" s="29"/>
      <c r="K2117" s="29"/>
      <c r="L2117" s="29"/>
      <c r="M2117" s="29"/>
      <c r="N2117" s="29"/>
      <c r="O2117" s="29"/>
      <c r="P2117" s="29"/>
      <c r="Q2117" s="29"/>
      <c r="R2117" s="29"/>
      <c r="S2117" s="29"/>
      <c r="T2117" s="29"/>
    </row>
    <row r="2118" spans="1:20" ht="15.75" customHeight="1" x14ac:dyDescent="0.25">
      <c r="A2118" s="29"/>
      <c r="B2118" s="29"/>
      <c r="C2118" s="29"/>
      <c r="D2118" s="29"/>
      <c r="E2118" s="29"/>
      <c r="F2118" s="29"/>
      <c r="G2118" s="29"/>
      <c r="H2118" s="29"/>
      <c r="I2118" s="29"/>
      <c r="J2118" s="29"/>
      <c r="K2118" s="29"/>
      <c r="L2118" s="29"/>
      <c r="M2118" s="29"/>
      <c r="N2118" s="29"/>
      <c r="O2118" s="29"/>
      <c r="P2118" s="29"/>
      <c r="Q2118" s="29"/>
      <c r="R2118" s="29"/>
      <c r="S2118" s="29"/>
      <c r="T2118" s="29"/>
    </row>
    <row r="2119" spans="1:20" ht="15.75" customHeight="1" x14ac:dyDescent="0.25">
      <c r="A2119" s="29"/>
      <c r="B2119" s="29"/>
      <c r="C2119" s="29"/>
      <c r="D2119" s="29"/>
      <c r="E2119" s="29"/>
      <c r="F2119" s="29"/>
      <c r="G2119" s="29"/>
      <c r="H2119" s="29"/>
      <c r="I2119" s="29"/>
      <c r="J2119" s="29"/>
      <c r="K2119" s="29"/>
      <c r="L2119" s="29"/>
      <c r="M2119" s="29"/>
      <c r="N2119" s="29"/>
      <c r="O2119" s="29"/>
      <c r="P2119" s="29"/>
      <c r="Q2119" s="29"/>
      <c r="R2119" s="29"/>
      <c r="S2119" s="29"/>
      <c r="T2119" s="29"/>
    </row>
    <row r="2120" spans="1:20" ht="15.75" customHeight="1" x14ac:dyDescent="0.25">
      <c r="A2120" s="29"/>
      <c r="B2120" s="29"/>
      <c r="C2120" s="29"/>
      <c r="D2120" s="29"/>
      <c r="E2120" s="29"/>
      <c r="F2120" s="29"/>
      <c r="G2120" s="29"/>
      <c r="H2120" s="29"/>
      <c r="I2120" s="29"/>
      <c r="J2120" s="29"/>
      <c r="K2120" s="29"/>
      <c r="L2120" s="29"/>
      <c r="M2120" s="29"/>
      <c r="N2120" s="29"/>
      <c r="O2120" s="29"/>
      <c r="P2120" s="29"/>
      <c r="Q2120" s="29"/>
      <c r="R2120" s="29"/>
      <c r="S2120" s="29"/>
      <c r="T2120" s="29"/>
    </row>
    <row r="2121" spans="1:20" ht="15.75" customHeight="1" x14ac:dyDescent="0.25">
      <c r="A2121" s="29"/>
      <c r="B2121" s="29"/>
      <c r="C2121" s="29"/>
      <c r="D2121" s="29"/>
      <c r="E2121" s="29"/>
      <c r="F2121" s="29"/>
      <c r="G2121" s="29"/>
      <c r="H2121" s="29"/>
      <c r="I2121" s="29"/>
      <c r="J2121" s="29"/>
      <c r="K2121" s="29"/>
      <c r="L2121" s="29"/>
      <c r="M2121" s="29"/>
      <c r="N2121" s="29"/>
      <c r="O2121" s="29"/>
      <c r="P2121" s="29"/>
      <c r="Q2121" s="29"/>
      <c r="R2121" s="29"/>
      <c r="S2121" s="29"/>
      <c r="T2121" s="29"/>
    </row>
    <row r="2122" spans="1:20" ht="15.75" customHeight="1" x14ac:dyDescent="0.25">
      <c r="A2122" s="29"/>
      <c r="B2122" s="29"/>
      <c r="C2122" s="29"/>
      <c r="D2122" s="29"/>
      <c r="E2122" s="29"/>
      <c r="F2122" s="29"/>
      <c r="G2122" s="29"/>
      <c r="H2122" s="29"/>
      <c r="I2122" s="29"/>
      <c r="J2122" s="29"/>
      <c r="K2122" s="29"/>
      <c r="L2122" s="29"/>
      <c r="M2122" s="29"/>
      <c r="N2122" s="29"/>
      <c r="O2122" s="29"/>
      <c r="P2122" s="29"/>
      <c r="Q2122" s="29"/>
      <c r="R2122" s="29"/>
      <c r="S2122" s="29"/>
      <c r="T2122" s="29"/>
    </row>
    <row r="2123" spans="1:20" ht="15.75" customHeight="1" x14ac:dyDescent="0.25">
      <c r="A2123" s="29"/>
      <c r="B2123" s="29"/>
      <c r="C2123" s="29"/>
      <c r="D2123" s="29"/>
      <c r="E2123" s="29"/>
      <c r="F2123" s="29"/>
      <c r="G2123" s="29"/>
      <c r="H2123" s="29"/>
      <c r="I2123" s="29"/>
      <c r="J2123" s="29"/>
      <c r="K2123" s="29"/>
      <c r="L2123" s="29"/>
      <c r="M2123" s="29"/>
      <c r="N2123" s="29"/>
      <c r="O2123" s="29"/>
      <c r="P2123" s="29"/>
      <c r="Q2123" s="29"/>
      <c r="R2123" s="29"/>
      <c r="S2123" s="29"/>
      <c r="T2123" s="29"/>
    </row>
    <row r="2124" spans="1:20" ht="15.75" customHeight="1" x14ac:dyDescent="0.25">
      <c r="A2124" s="29"/>
      <c r="B2124" s="29"/>
      <c r="C2124" s="29"/>
      <c r="D2124" s="29"/>
      <c r="E2124" s="29"/>
      <c r="F2124" s="29"/>
      <c r="G2124" s="29"/>
      <c r="H2124" s="29"/>
      <c r="I2124" s="29"/>
      <c r="J2124" s="29"/>
      <c r="K2124" s="29"/>
      <c r="L2124" s="29"/>
      <c r="M2124" s="29"/>
      <c r="N2124" s="29"/>
      <c r="O2124" s="29"/>
      <c r="P2124" s="29"/>
      <c r="Q2124" s="29"/>
      <c r="R2124" s="29"/>
      <c r="S2124" s="29"/>
      <c r="T2124" s="29"/>
    </row>
    <row r="2125" spans="1:20" ht="15.75" customHeight="1" x14ac:dyDescent="0.25">
      <c r="A2125" s="29"/>
      <c r="B2125" s="29"/>
      <c r="C2125" s="29"/>
      <c r="D2125" s="29"/>
      <c r="E2125" s="29"/>
      <c r="F2125" s="29"/>
      <c r="G2125" s="29"/>
      <c r="H2125" s="29"/>
      <c r="I2125" s="29"/>
      <c r="J2125" s="29"/>
      <c r="K2125" s="29"/>
      <c r="L2125" s="29"/>
      <c r="M2125" s="29"/>
      <c r="N2125" s="29"/>
      <c r="O2125" s="29"/>
      <c r="P2125" s="29"/>
      <c r="Q2125" s="29"/>
      <c r="R2125" s="29"/>
      <c r="S2125" s="29"/>
      <c r="T2125" s="29"/>
    </row>
    <row r="2126" spans="1:20" ht="15.75" customHeight="1" x14ac:dyDescent="0.25">
      <c r="A2126" s="29"/>
      <c r="B2126" s="29"/>
      <c r="C2126" s="29"/>
      <c r="D2126" s="29"/>
      <c r="E2126" s="29"/>
      <c r="F2126" s="29"/>
      <c r="G2126" s="29"/>
      <c r="H2126" s="29"/>
      <c r="I2126" s="29"/>
      <c r="J2126" s="29"/>
      <c r="K2126" s="29"/>
      <c r="L2126" s="29"/>
      <c r="M2126" s="29"/>
      <c r="N2126" s="29"/>
      <c r="O2126" s="29"/>
      <c r="P2126" s="29"/>
      <c r="Q2126" s="29"/>
      <c r="R2126" s="29"/>
      <c r="S2126" s="29"/>
      <c r="T2126" s="29"/>
    </row>
    <row r="2127" spans="1:20" ht="15.75" customHeight="1" x14ac:dyDescent="0.25">
      <c r="A2127" s="29"/>
      <c r="B2127" s="29"/>
      <c r="C2127" s="29"/>
      <c r="D2127" s="29"/>
      <c r="E2127" s="29"/>
      <c r="F2127" s="29"/>
      <c r="G2127" s="29"/>
      <c r="H2127" s="29"/>
      <c r="I2127" s="29"/>
      <c r="J2127" s="29"/>
      <c r="K2127" s="29"/>
      <c r="L2127" s="29"/>
      <c r="M2127" s="29"/>
      <c r="N2127" s="29"/>
      <c r="O2127" s="29"/>
      <c r="P2127" s="29"/>
      <c r="Q2127" s="29"/>
      <c r="R2127" s="29"/>
      <c r="S2127" s="29"/>
      <c r="T2127" s="29"/>
    </row>
    <row r="2128" spans="1:20" ht="15.75" customHeight="1" x14ac:dyDescent="0.25">
      <c r="A2128" s="29"/>
      <c r="B2128" s="29"/>
      <c r="C2128" s="29"/>
      <c r="D2128" s="29"/>
      <c r="E2128" s="29"/>
      <c r="F2128" s="29"/>
      <c r="G2128" s="29"/>
      <c r="H2128" s="29"/>
      <c r="I2128" s="29"/>
      <c r="J2128" s="29"/>
      <c r="K2128" s="29"/>
      <c r="L2128" s="29"/>
      <c r="M2128" s="29"/>
      <c r="N2128" s="29"/>
      <c r="O2128" s="29"/>
      <c r="P2128" s="29"/>
      <c r="Q2128" s="29"/>
      <c r="R2128" s="29"/>
      <c r="S2128" s="29"/>
      <c r="T2128" s="29"/>
    </row>
    <row r="2129" spans="1:20" ht="15.75" customHeight="1" x14ac:dyDescent="0.25">
      <c r="A2129" s="29"/>
      <c r="B2129" s="29"/>
      <c r="C2129" s="29"/>
      <c r="D2129" s="29"/>
      <c r="E2129" s="29"/>
      <c r="F2129" s="29"/>
      <c r="G2129" s="29"/>
      <c r="H2129" s="29"/>
      <c r="I2129" s="29"/>
      <c r="J2129" s="29"/>
      <c r="K2129" s="29"/>
      <c r="L2129" s="29"/>
      <c r="M2129" s="29"/>
      <c r="N2129" s="29"/>
      <c r="O2129" s="29"/>
      <c r="P2129" s="29"/>
      <c r="Q2129" s="29"/>
      <c r="R2129" s="29"/>
      <c r="S2129" s="29"/>
      <c r="T2129" s="29"/>
    </row>
    <row r="2130" spans="1:20" ht="15.75" customHeight="1" x14ac:dyDescent="0.25">
      <c r="A2130" s="29"/>
      <c r="B2130" s="29"/>
      <c r="C2130" s="29"/>
      <c r="D2130" s="29"/>
      <c r="E2130" s="29"/>
      <c r="F2130" s="29"/>
      <c r="G2130" s="29"/>
      <c r="H2130" s="29"/>
      <c r="I2130" s="29"/>
      <c r="J2130" s="29"/>
      <c r="K2130" s="29"/>
      <c r="L2130" s="29"/>
      <c r="M2130" s="29"/>
      <c r="N2130" s="29"/>
      <c r="O2130" s="29"/>
      <c r="P2130" s="29"/>
      <c r="Q2130" s="29"/>
      <c r="R2130" s="29"/>
      <c r="S2130" s="29"/>
      <c r="T2130" s="29"/>
    </row>
    <row r="2131" spans="1:20" ht="15.75" customHeight="1" x14ac:dyDescent="0.25">
      <c r="A2131" s="29"/>
      <c r="B2131" s="29"/>
      <c r="C2131" s="29"/>
      <c r="D2131" s="29"/>
      <c r="E2131" s="29"/>
      <c r="F2131" s="29"/>
      <c r="G2131" s="29"/>
      <c r="H2131" s="29"/>
      <c r="I2131" s="29"/>
      <c r="J2131" s="29"/>
      <c r="K2131" s="29"/>
      <c r="L2131" s="29"/>
      <c r="M2131" s="29"/>
      <c r="N2131" s="29"/>
      <c r="O2131" s="29"/>
      <c r="P2131" s="29"/>
      <c r="Q2131" s="29"/>
      <c r="R2131" s="29"/>
      <c r="S2131" s="29"/>
      <c r="T2131" s="29"/>
    </row>
    <row r="2132" spans="1:20" ht="15.75" customHeight="1" x14ac:dyDescent="0.25">
      <c r="A2132" s="29"/>
      <c r="B2132" s="29"/>
      <c r="C2132" s="29"/>
      <c r="D2132" s="29"/>
      <c r="E2132" s="29"/>
      <c r="F2132" s="29"/>
      <c r="G2132" s="29"/>
      <c r="H2132" s="29"/>
      <c r="I2132" s="29"/>
      <c r="J2132" s="29"/>
      <c r="K2132" s="29"/>
      <c r="L2132" s="29"/>
      <c r="M2132" s="29"/>
      <c r="N2132" s="29"/>
      <c r="O2132" s="29"/>
      <c r="P2132" s="29"/>
      <c r="Q2132" s="29"/>
      <c r="R2132" s="29"/>
      <c r="S2132" s="29"/>
      <c r="T2132" s="29"/>
    </row>
    <row r="2133" spans="1:20" ht="15.75" customHeight="1" x14ac:dyDescent="0.25">
      <c r="A2133" s="29"/>
      <c r="B2133" s="29"/>
      <c r="C2133" s="29"/>
      <c r="D2133" s="29"/>
      <c r="E2133" s="29"/>
      <c r="F2133" s="29"/>
      <c r="G2133" s="29"/>
      <c r="H2133" s="29"/>
      <c r="I2133" s="29"/>
      <c r="J2133" s="29"/>
      <c r="K2133" s="29"/>
      <c r="L2133" s="29"/>
      <c r="M2133" s="29"/>
      <c r="N2133" s="29"/>
      <c r="O2133" s="29"/>
      <c r="P2133" s="29"/>
      <c r="Q2133" s="29"/>
      <c r="R2133" s="29"/>
      <c r="S2133" s="29"/>
      <c r="T2133" s="29"/>
    </row>
    <row r="2134" spans="1:20" ht="15.75" customHeight="1" x14ac:dyDescent="0.25">
      <c r="A2134" s="29"/>
      <c r="B2134" s="29"/>
      <c r="C2134" s="29"/>
      <c r="D2134" s="29"/>
      <c r="E2134" s="29"/>
      <c r="F2134" s="29"/>
      <c r="G2134" s="29"/>
      <c r="H2134" s="29"/>
      <c r="I2134" s="29"/>
      <c r="J2134" s="29"/>
      <c r="K2134" s="29"/>
      <c r="L2134" s="29"/>
      <c r="M2134" s="29"/>
      <c r="N2134" s="29"/>
      <c r="O2134" s="29"/>
      <c r="P2134" s="29"/>
      <c r="Q2134" s="29"/>
      <c r="R2134" s="29"/>
      <c r="S2134" s="29"/>
      <c r="T2134" s="29"/>
    </row>
    <row r="2135" spans="1:20" ht="15.75" customHeight="1" x14ac:dyDescent="0.25">
      <c r="A2135" s="29"/>
      <c r="B2135" s="29"/>
      <c r="C2135" s="29"/>
      <c r="D2135" s="29"/>
      <c r="E2135" s="29"/>
      <c r="F2135" s="29"/>
      <c r="G2135" s="29"/>
      <c r="H2135" s="29"/>
      <c r="I2135" s="29"/>
      <c r="J2135" s="29"/>
      <c r="K2135" s="29"/>
      <c r="L2135" s="29"/>
      <c r="M2135" s="29"/>
      <c r="N2135" s="29"/>
      <c r="O2135" s="29"/>
      <c r="P2135" s="29"/>
      <c r="Q2135" s="29"/>
      <c r="R2135" s="29"/>
      <c r="S2135" s="29"/>
      <c r="T2135" s="29"/>
    </row>
    <row r="2136" spans="1:20" ht="15.75" customHeight="1" x14ac:dyDescent="0.25">
      <c r="A2136" s="29"/>
      <c r="B2136" s="29"/>
      <c r="C2136" s="29"/>
      <c r="D2136" s="29"/>
      <c r="E2136" s="29"/>
      <c r="F2136" s="29"/>
      <c r="G2136" s="29"/>
      <c r="H2136" s="29"/>
      <c r="I2136" s="29"/>
      <c r="J2136" s="29"/>
      <c r="K2136" s="29"/>
      <c r="L2136" s="29"/>
      <c r="M2136" s="29"/>
      <c r="N2136" s="29"/>
      <c r="O2136" s="29"/>
      <c r="P2136" s="29"/>
      <c r="Q2136" s="29"/>
      <c r="R2136" s="29"/>
      <c r="S2136" s="29"/>
      <c r="T2136" s="29"/>
    </row>
    <row r="2137" spans="1:20" ht="15.75" customHeight="1" x14ac:dyDescent="0.25">
      <c r="A2137" s="29"/>
      <c r="B2137" s="29"/>
      <c r="C2137" s="29"/>
      <c r="D2137" s="29"/>
      <c r="E2137" s="29"/>
      <c r="F2137" s="29"/>
      <c r="G2137" s="29"/>
      <c r="H2137" s="29"/>
      <c r="I2137" s="29"/>
      <c r="J2137" s="29"/>
      <c r="K2137" s="29"/>
      <c r="L2137" s="29"/>
      <c r="M2137" s="29"/>
      <c r="N2137" s="29"/>
      <c r="O2137" s="29"/>
      <c r="P2137" s="29"/>
      <c r="Q2137" s="29"/>
      <c r="R2137" s="29"/>
      <c r="S2137" s="29"/>
      <c r="T2137" s="29"/>
    </row>
    <row r="2138" spans="1:20" ht="15.75" customHeight="1" x14ac:dyDescent="0.25">
      <c r="A2138" s="29"/>
      <c r="B2138" s="29"/>
      <c r="C2138" s="29"/>
      <c r="D2138" s="29"/>
      <c r="E2138" s="29"/>
      <c r="F2138" s="29"/>
      <c r="G2138" s="29"/>
      <c r="H2138" s="29"/>
      <c r="I2138" s="29"/>
      <c r="J2138" s="29"/>
      <c r="K2138" s="29"/>
      <c r="L2138" s="29"/>
      <c r="M2138" s="29"/>
      <c r="N2138" s="29"/>
      <c r="O2138" s="29"/>
      <c r="P2138" s="29"/>
      <c r="Q2138" s="29"/>
      <c r="R2138" s="29"/>
      <c r="S2138" s="29"/>
      <c r="T2138" s="29"/>
    </row>
    <row r="2139" spans="1:20" ht="15.75" customHeight="1" x14ac:dyDescent="0.25">
      <c r="A2139" s="29"/>
      <c r="B2139" s="29"/>
      <c r="C2139" s="29"/>
      <c r="D2139" s="29"/>
      <c r="E2139" s="29"/>
      <c r="F2139" s="29"/>
      <c r="G2139" s="29"/>
      <c r="H2139" s="29"/>
      <c r="I2139" s="29"/>
      <c r="J2139" s="29"/>
      <c r="K2139" s="29"/>
      <c r="L2139" s="29"/>
      <c r="M2139" s="29"/>
      <c r="N2139" s="29"/>
      <c r="O2139" s="29"/>
      <c r="P2139" s="29"/>
      <c r="Q2139" s="29"/>
      <c r="R2139" s="29"/>
      <c r="S2139" s="29"/>
      <c r="T2139" s="29"/>
    </row>
    <row r="2140" spans="1:20" ht="15.75" customHeight="1" x14ac:dyDescent="0.25">
      <c r="A2140" s="29"/>
      <c r="B2140" s="29"/>
      <c r="C2140" s="29"/>
      <c r="D2140" s="29"/>
      <c r="E2140" s="29"/>
      <c r="F2140" s="29"/>
      <c r="G2140" s="29"/>
      <c r="H2140" s="29"/>
      <c r="I2140" s="29"/>
      <c r="J2140" s="29"/>
      <c r="K2140" s="29"/>
      <c r="L2140" s="29"/>
      <c r="M2140" s="29"/>
      <c r="N2140" s="29"/>
      <c r="O2140" s="29"/>
      <c r="P2140" s="29"/>
      <c r="Q2140" s="29"/>
      <c r="R2140" s="29"/>
      <c r="S2140" s="29"/>
      <c r="T2140" s="29"/>
    </row>
    <row r="2141" spans="1:20" ht="15.75" customHeight="1" x14ac:dyDescent="0.25">
      <c r="A2141" s="29"/>
      <c r="B2141" s="29"/>
      <c r="C2141" s="29"/>
      <c r="D2141" s="29"/>
      <c r="E2141" s="29"/>
      <c r="F2141" s="29"/>
      <c r="G2141" s="29"/>
      <c r="H2141" s="29"/>
      <c r="I2141" s="29"/>
      <c r="J2141" s="29"/>
      <c r="K2141" s="29"/>
      <c r="L2141" s="29"/>
      <c r="M2141" s="29"/>
      <c r="N2141" s="29"/>
      <c r="O2141" s="29"/>
      <c r="P2141" s="29"/>
      <c r="Q2141" s="29"/>
      <c r="R2141" s="29"/>
      <c r="S2141" s="29"/>
      <c r="T2141" s="29"/>
    </row>
    <row r="2142" spans="1:20" ht="15.75" customHeight="1" x14ac:dyDescent="0.25">
      <c r="A2142" s="29"/>
      <c r="B2142" s="29"/>
      <c r="C2142" s="29"/>
      <c r="D2142" s="29"/>
      <c r="E2142" s="29"/>
      <c r="F2142" s="29"/>
      <c r="G2142" s="29"/>
      <c r="H2142" s="29"/>
      <c r="I2142" s="29"/>
      <c r="J2142" s="29"/>
      <c r="K2142" s="29"/>
      <c r="L2142" s="29"/>
      <c r="M2142" s="29"/>
      <c r="N2142" s="29"/>
      <c r="O2142" s="29"/>
      <c r="P2142" s="29"/>
      <c r="Q2142" s="29"/>
      <c r="R2142" s="29"/>
      <c r="S2142" s="29"/>
      <c r="T2142" s="29"/>
    </row>
    <row r="2143" spans="1:20" ht="15.75" customHeight="1" x14ac:dyDescent="0.25">
      <c r="A2143" s="29"/>
      <c r="B2143" s="29"/>
      <c r="C2143" s="29"/>
      <c r="D2143" s="29"/>
      <c r="E2143" s="29"/>
      <c r="F2143" s="29"/>
      <c r="G2143" s="29"/>
      <c r="H2143" s="29"/>
      <c r="I2143" s="29"/>
      <c r="J2143" s="29"/>
      <c r="K2143" s="29"/>
      <c r="L2143" s="29"/>
      <c r="M2143" s="29"/>
      <c r="N2143" s="29"/>
      <c r="O2143" s="29"/>
      <c r="P2143" s="29"/>
      <c r="Q2143" s="29"/>
      <c r="R2143" s="29"/>
      <c r="S2143" s="29"/>
      <c r="T2143" s="29"/>
    </row>
    <row r="2144" spans="1:20" ht="15.75" customHeight="1" x14ac:dyDescent="0.25">
      <c r="A2144" s="29"/>
      <c r="B2144" s="29"/>
      <c r="C2144" s="29"/>
      <c r="D2144" s="29"/>
      <c r="E2144" s="29"/>
      <c r="F2144" s="29"/>
      <c r="G2144" s="29"/>
      <c r="H2144" s="29"/>
      <c r="I2144" s="29"/>
      <c r="J2144" s="29"/>
      <c r="K2144" s="29"/>
      <c r="L2144" s="29"/>
      <c r="M2144" s="29"/>
      <c r="N2144" s="29"/>
      <c r="O2144" s="29"/>
      <c r="P2144" s="29"/>
      <c r="Q2144" s="29"/>
      <c r="R2144" s="29"/>
      <c r="S2144" s="29"/>
      <c r="T2144" s="29"/>
    </row>
    <row r="2145" spans="1:20" ht="15.75" customHeight="1" x14ac:dyDescent="0.25">
      <c r="A2145" s="29"/>
      <c r="B2145" s="29"/>
      <c r="C2145" s="29"/>
      <c r="D2145" s="29"/>
      <c r="E2145" s="29"/>
      <c r="F2145" s="29"/>
      <c r="G2145" s="29"/>
      <c r="H2145" s="29"/>
      <c r="I2145" s="29"/>
      <c r="J2145" s="29"/>
      <c r="K2145" s="29"/>
      <c r="L2145" s="29"/>
      <c r="M2145" s="29"/>
      <c r="N2145" s="29"/>
      <c r="O2145" s="29"/>
      <c r="P2145" s="29"/>
      <c r="Q2145" s="29"/>
      <c r="R2145" s="29"/>
      <c r="S2145" s="29"/>
      <c r="T2145" s="29"/>
    </row>
    <row r="2146" spans="1:20" ht="15.75" customHeight="1" x14ac:dyDescent="0.25">
      <c r="A2146" s="29"/>
      <c r="B2146" s="29"/>
      <c r="C2146" s="29"/>
      <c r="D2146" s="29"/>
      <c r="E2146" s="29"/>
      <c r="F2146" s="29"/>
      <c r="G2146" s="29"/>
      <c r="H2146" s="29"/>
      <c r="I2146" s="29"/>
      <c r="J2146" s="29"/>
      <c r="K2146" s="29"/>
      <c r="L2146" s="29"/>
      <c r="M2146" s="29"/>
      <c r="N2146" s="29"/>
      <c r="O2146" s="29"/>
      <c r="P2146" s="29"/>
      <c r="Q2146" s="29"/>
      <c r="R2146" s="29"/>
      <c r="S2146" s="29"/>
      <c r="T2146" s="29"/>
    </row>
    <row r="2147" spans="1:20" ht="15.75" customHeight="1" x14ac:dyDescent="0.25">
      <c r="A2147" s="29"/>
      <c r="B2147" s="29"/>
      <c r="C2147" s="29"/>
      <c r="D2147" s="29"/>
      <c r="E2147" s="29"/>
      <c r="F2147" s="29"/>
      <c r="G2147" s="29"/>
      <c r="H2147" s="29"/>
      <c r="I2147" s="29"/>
      <c r="J2147" s="29"/>
      <c r="K2147" s="29"/>
      <c r="L2147" s="29"/>
      <c r="M2147" s="29"/>
      <c r="N2147" s="29"/>
      <c r="O2147" s="29"/>
      <c r="P2147" s="29"/>
      <c r="Q2147" s="29"/>
      <c r="R2147" s="29"/>
      <c r="S2147" s="29"/>
      <c r="T2147" s="29"/>
    </row>
    <row r="2148" spans="1:20" ht="15.75" customHeight="1" x14ac:dyDescent="0.25">
      <c r="A2148" s="29"/>
      <c r="B2148" s="29"/>
      <c r="C2148" s="29"/>
      <c r="D2148" s="29"/>
      <c r="E2148" s="29"/>
      <c r="F2148" s="29"/>
      <c r="G2148" s="29"/>
      <c r="H2148" s="29"/>
      <c r="I2148" s="29"/>
      <c r="J2148" s="29"/>
      <c r="K2148" s="29"/>
      <c r="L2148" s="29"/>
      <c r="M2148" s="29"/>
      <c r="N2148" s="29"/>
      <c r="O2148" s="29"/>
      <c r="P2148" s="29"/>
      <c r="Q2148" s="29"/>
      <c r="R2148" s="29"/>
      <c r="S2148" s="29"/>
      <c r="T2148" s="29"/>
    </row>
    <row r="2149" spans="1:20" ht="15.75" customHeight="1" x14ac:dyDescent="0.25">
      <c r="A2149" s="29"/>
      <c r="B2149" s="29"/>
      <c r="C2149" s="29"/>
      <c r="D2149" s="29"/>
      <c r="E2149" s="29"/>
      <c r="F2149" s="29"/>
      <c r="G2149" s="29"/>
      <c r="H2149" s="29"/>
      <c r="I2149" s="29"/>
      <c r="J2149" s="29"/>
      <c r="K2149" s="29"/>
      <c r="L2149" s="29"/>
      <c r="M2149" s="29"/>
      <c r="N2149" s="29"/>
      <c r="O2149" s="29"/>
      <c r="P2149" s="29"/>
      <c r="Q2149" s="29"/>
      <c r="R2149" s="29"/>
      <c r="S2149" s="29"/>
      <c r="T2149" s="29"/>
    </row>
    <row r="2150" spans="1:20" ht="15.75" customHeight="1" x14ac:dyDescent="0.25">
      <c r="A2150" s="29"/>
      <c r="B2150" s="29"/>
      <c r="C2150" s="29"/>
      <c r="D2150" s="29"/>
      <c r="E2150" s="29"/>
      <c r="F2150" s="29"/>
      <c r="G2150" s="29"/>
      <c r="H2150" s="29"/>
      <c r="I2150" s="29"/>
      <c r="J2150" s="29"/>
      <c r="K2150" s="29"/>
      <c r="L2150" s="29"/>
      <c r="M2150" s="29"/>
      <c r="N2150" s="29"/>
      <c r="O2150" s="29"/>
      <c r="P2150" s="29"/>
      <c r="Q2150" s="29"/>
      <c r="R2150" s="29"/>
      <c r="S2150" s="29"/>
      <c r="T2150" s="29"/>
    </row>
    <row r="2151" spans="1:20" ht="15.75" customHeight="1" x14ac:dyDescent="0.25">
      <c r="A2151" s="29"/>
      <c r="B2151" s="29"/>
      <c r="C2151" s="29"/>
      <c r="D2151" s="29"/>
      <c r="E2151" s="29"/>
      <c r="F2151" s="29"/>
      <c r="G2151" s="29"/>
      <c r="H2151" s="29"/>
      <c r="I2151" s="29"/>
      <c r="J2151" s="29"/>
      <c r="K2151" s="29"/>
      <c r="L2151" s="29"/>
      <c r="M2151" s="29"/>
      <c r="N2151" s="29"/>
      <c r="O2151" s="29"/>
      <c r="P2151" s="29"/>
      <c r="Q2151" s="29"/>
      <c r="R2151" s="29"/>
      <c r="S2151" s="29"/>
      <c r="T2151" s="29"/>
    </row>
    <row r="2152" spans="1:20" ht="15.75" customHeight="1" x14ac:dyDescent="0.25">
      <c r="A2152" s="29"/>
      <c r="B2152" s="29"/>
      <c r="C2152" s="29"/>
      <c r="D2152" s="29"/>
      <c r="E2152" s="29"/>
      <c r="F2152" s="29"/>
      <c r="G2152" s="29"/>
      <c r="H2152" s="29"/>
      <c r="I2152" s="29"/>
      <c r="J2152" s="29"/>
      <c r="K2152" s="29"/>
      <c r="L2152" s="29"/>
      <c r="M2152" s="29"/>
      <c r="N2152" s="29"/>
      <c r="O2152" s="29"/>
      <c r="P2152" s="29"/>
      <c r="Q2152" s="29"/>
      <c r="R2152" s="29"/>
      <c r="S2152" s="29"/>
      <c r="T2152" s="29"/>
    </row>
    <row r="2153" spans="1:20" ht="15.75" customHeight="1" x14ac:dyDescent="0.25">
      <c r="A2153" s="29"/>
      <c r="B2153" s="29"/>
      <c r="C2153" s="29"/>
      <c r="D2153" s="29"/>
      <c r="E2153" s="29"/>
      <c r="F2153" s="29"/>
      <c r="G2153" s="29"/>
      <c r="H2153" s="29"/>
      <c r="I2153" s="29"/>
      <c r="J2153" s="29"/>
      <c r="K2153" s="29"/>
      <c r="L2153" s="29"/>
      <c r="M2153" s="29"/>
      <c r="N2153" s="29"/>
      <c r="O2153" s="29"/>
      <c r="P2153" s="29"/>
      <c r="Q2153" s="29"/>
      <c r="R2153" s="29"/>
      <c r="S2153" s="29"/>
      <c r="T2153" s="29"/>
    </row>
    <row r="2154" spans="1:20" ht="15.75" customHeight="1" x14ac:dyDescent="0.25">
      <c r="A2154" s="29"/>
      <c r="B2154" s="29"/>
      <c r="C2154" s="29"/>
      <c r="D2154" s="29"/>
      <c r="E2154" s="29"/>
      <c r="F2154" s="29"/>
      <c r="G2154" s="29"/>
      <c r="H2154" s="29"/>
      <c r="I2154" s="29"/>
      <c r="J2154" s="29"/>
      <c r="K2154" s="29"/>
      <c r="L2154" s="29"/>
      <c r="M2154" s="29"/>
      <c r="N2154" s="29"/>
      <c r="O2154" s="29"/>
      <c r="P2154" s="29"/>
      <c r="Q2154" s="29"/>
      <c r="R2154" s="29"/>
      <c r="S2154" s="29"/>
      <c r="T2154" s="29"/>
    </row>
    <row r="2155" spans="1:20" ht="15.75" customHeight="1" x14ac:dyDescent="0.25">
      <c r="A2155" s="29"/>
      <c r="B2155" s="29"/>
      <c r="C2155" s="29"/>
      <c r="D2155" s="29"/>
      <c r="E2155" s="29"/>
      <c r="F2155" s="29"/>
      <c r="G2155" s="29"/>
      <c r="H2155" s="29"/>
      <c r="I2155" s="29"/>
      <c r="J2155" s="29"/>
      <c r="K2155" s="29"/>
      <c r="L2155" s="29"/>
      <c r="M2155" s="29"/>
      <c r="N2155" s="29"/>
      <c r="O2155" s="29"/>
      <c r="P2155" s="29"/>
      <c r="Q2155" s="29"/>
      <c r="R2155" s="29"/>
      <c r="S2155" s="29"/>
      <c r="T2155" s="29"/>
    </row>
    <row r="2156" spans="1:20" ht="15.75" customHeight="1" x14ac:dyDescent="0.25">
      <c r="A2156" s="29"/>
      <c r="B2156" s="29"/>
      <c r="C2156" s="29"/>
      <c r="D2156" s="29"/>
      <c r="E2156" s="29"/>
      <c r="F2156" s="29"/>
      <c r="G2156" s="29"/>
      <c r="H2156" s="29"/>
      <c r="I2156" s="29"/>
      <c r="J2156" s="29"/>
      <c r="K2156" s="29"/>
      <c r="L2156" s="29"/>
      <c r="M2156" s="29"/>
      <c r="N2156" s="29"/>
      <c r="O2156" s="29"/>
      <c r="P2156" s="29"/>
      <c r="Q2156" s="29"/>
      <c r="R2156" s="29"/>
      <c r="S2156" s="29"/>
      <c r="T2156" s="29"/>
    </row>
    <row r="2157" spans="1:20" ht="15.75" customHeight="1" x14ac:dyDescent="0.25">
      <c r="A2157" s="29"/>
      <c r="B2157" s="29"/>
      <c r="C2157" s="29"/>
      <c r="D2157" s="29"/>
      <c r="E2157" s="29"/>
      <c r="F2157" s="29"/>
      <c r="G2157" s="29"/>
      <c r="H2157" s="29"/>
      <c r="I2157" s="29"/>
      <c r="J2157" s="29"/>
      <c r="K2157" s="29"/>
      <c r="L2157" s="29"/>
      <c r="M2157" s="29"/>
      <c r="N2157" s="29"/>
      <c r="O2157" s="29"/>
      <c r="P2157" s="29"/>
      <c r="Q2157" s="29"/>
      <c r="R2157" s="29"/>
      <c r="S2157" s="29"/>
      <c r="T2157" s="29"/>
    </row>
    <row r="2158" spans="1:20" ht="15.75" customHeight="1" x14ac:dyDescent="0.25">
      <c r="A2158" s="29"/>
      <c r="B2158" s="29"/>
      <c r="C2158" s="29"/>
      <c r="D2158" s="29"/>
      <c r="E2158" s="29"/>
      <c r="F2158" s="29"/>
      <c r="G2158" s="29"/>
      <c r="H2158" s="29"/>
      <c r="I2158" s="29"/>
      <c r="J2158" s="29"/>
      <c r="K2158" s="29"/>
      <c r="L2158" s="29"/>
      <c r="M2158" s="29"/>
      <c r="N2158" s="29"/>
      <c r="O2158" s="29"/>
      <c r="P2158" s="29"/>
      <c r="Q2158" s="29"/>
      <c r="R2158" s="29"/>
      <c r="S2158" s="29"/>
      <c r="T2158" s="29"/>
    </row>
    <row r="2159" spans="1:20" ht="15.75" customHeight="1" x14ac:dyDescent="0.25">
      <c r="A2159" s="29"/>
      <c r="B2159" s="29"/>
      <c r="C2159" s="29"/>
      <c r="D2159" s="29"/>
      <c r="E2159" s="29"/>
      <c r="F2159" s="29"/>
      <c r="G2159" s="29"/>
      <c r="H2159" s="29"/>
      <c r="I2159" s="29"/>
      <c r="J2159" s="29"/>
      <c r="K2159" s="29"/>
      <c r="L2159" s="29"/>
      <c r="M2159" s="29"/>
      <c r="N2159" s="29"/>
      <c r="O2159" s="29"/>
      <c r="P2159" s="29"/>
      <c r="Q2159" s="29"/>
      <c r="R2159" s="29"/>
      <c r="S2159" s="29"/>
      <c r="T2159" s="29"/>
    </row>
    <row r="2160" spans="1:20" ht="15.75" customHeight="1" x14ac:dyDescent="0.25">
      <c r="A2160" s="29"/>
      <c r="B2160" s="29"/>
      <c r="C2160" s="29"/>
      <c r="D2160" s="29"/>
      <c r="E2160" s="29"/>
      <c r="F2160" s="29"/>
      <c r="G2160" s="29"/>
      <c r="H2160" s="29"/>
      <c r="I2160" s="29"/>
      <c r="J2160" s="29"/>
      <c r="K2160" s="29"/>
      <c r="L2160" s="29"/>
      <c r="M2160" s="29"/>
      <c r="N2160" s="29"/>
      <c r="O2160" s="29"/>
      <c r="P2160" s="29"/>
      <c r="Q2160" s="29"/>
      <c r="R2160" s="29"/>
      <c r="S2160" s="29"/>
      <c r="T2160" s="29"/>
    </row>
    <row r="2161" spans="1:20" ht="15.75" customHeight="1" x14ac:dyDescent="0.25">
      <c r="A2161" s="29"/>
      <c r="B2161" s="29"/>
      <c r="C2161" s="29"/>
      <c r="D2161" s="29"/>
      <c r="E2161" s="29"/>
      <c r="F2161" s="29"/>
      <c r="G2161" s="29"/>
      <c r="H2161" s="29"/>
      <c r="I2161" s="29"/>
      <c r="J2161" s="29"/>
      <c r="K2161" s="29"/>
      <c r="L2161" s="29"/>
      <c r="M2161" s="29"/>
      <c r="N2161" s="29"/>
      <c r="O2161" s="29"/>
      <c r="P2161" s="29"/>
      <c r="Q2161" s="29"/>
      <c r="R2161" s="29"/>
      <c r="S2161" s="29"/>
      <c r="T2161" s="29"/>
    </row>
    <row r="2162" spans="1:20" ht="15.75" customHeight="1" x14ac:dyDescent="0.25">
      <c r="A2162" s="29"/>
      <c r="B2162" s="29"/>
      <c r="C2162" s="29"/>
      <c r="D2162" s="29"/>
      <c r="E2162" s="29"/>
      <c r="F2162" s="29"/>
      <c r="G2162" s="29"/>
      <c r="H2162" s="29"/>
      <c r="I2162" s="29"/>
      <c r="J2162" s="29"/>
      <c r="K2162" s="29"/>
      <c r="L2162" s="29"/>
      <c r="M2162" s="29"/>
      <c r="N2162" s="29"/>
      <c r="O2162" s="29"/>
      <c r="P2162" s="29"/>
      <c r="Q2162" s="29"/>
      <c r="R2162" s="29"/>
      <c r="S2162" s="29"/>
      <c r="T2162" s="29"/>
    </row>
    <row r="2163" spans="1:20" ht="15.75" customHeight="1" x14ac:dyDescent="0.25">
      <c r="A2163" s="29"/>
      <c r="B2163" s="29"/>
      <c r="C2163" s="29"/>
      <c r="D2163" s="29"/>
      <c r="E2163" s="29"/>
      <c r="F2163" s="29"/>
      <c r="G2163" s="29"/>
      <c r="H2163" s="29"/>
      <c r="I2163" s="29"/>
      <c r="J2163" s="29"/>
      <c r="K2163" s="29"/>
      <c r="L2163" s="29"/>
      <c r="M2163" s="29"/>
      <c r="N2163" s="29"/>
      <c r="O2163" s="29"/>
      <c r="P2163" s="29"/>
      <c r="Q2163" s="29"/>
      <c r="R2163" s="29"/>
      <c r="S2163" s="29"/>
      <c r="T2163" s="29"/>
    </row>
    <row r="2164" spans="1:20" ht="15.75" customHeight="1" x14ac:dyDescent="0.25">
      <c r="A2164" s="29"/>
      <c r="B2164" s="29"/>
      <c r="C2164" s="29"/>
      <c r="D2164" s="29"/>
      <c r="E2164" s="29"/>
      <c r="F2164" s="29"/>
      <c r="G2164" s="29"/>
      <c r="H2164" s="29"/>
      <c r="I2164" s="29"/>
      <c r="J2164" s="29"/>
      <c r="K2164" s="29"/>
      <c r="L2164" s="29"/>
      <c r="M2164" s="29"/>
      <c r="N2164" s="29"/>
      <c r="O2164" s="29"/>
      <c r="P2164" s="29"/>
      <c r="Q2164" s="29"/>
      <c r="R2164" s="29"/>
      <c r="S2164" s="29"/>
      <c r="T2164" s="29"/>
    </row>
    <row r="2165" spans="1:20" ht="15.75" customHeight="1" x14ac:dyDescent="0.25">
      <c r="A2165" s="29"/>
      <c r="B2165" s="29"/>
      <c r="C2165" s="29"/>
      <c r="D2165" s="29"/>
      <c r="E2165" s="29"/>
      <c r="F2165" s="29"/>
      <c r="G2165" s="29"/>
      <c r="H2165" s="29"/>
      <c r="I2165" s="29"/>
      <c r="J2165" s="29"/>
      <c r="K2165" s="29"/>
      <c r="L2165" s="29"/>
      <c r="M2165" s="29"/>
      <c r="N2165" s="29"/>
      <c r="O2165" s="29"/>
      <c r="P2165" s="29"/>
      <c r="Q2165" s="29"/>
      <c r="R2165" s="29"/>
      <c r="S2165" s="29"/>
      <c r="T2165" s="29"/>
    </row>
    <row r="2166" spans="1:20" ht="15.75" customHeight="1" x14ac:dyDescent="0.25">
      <c r="A2166" s="29"/>
      <c r="B2166" s="29"/>
      <c r="C2166" s="29"/>
      <c r="D2166" s="29"/>
      <c r="E2166" s="29"/>
      <c r="F2166" s="29"/>
      <c r="G2166" s="29"/>
      <c r="H2166" s="29"/>
      <c r="I2166" s="29"/>
      <c r="J2166" s="29"/>
      <c r="K2166" s="29"/>
      <c r="L2166" s="29"/>
      <c r="M2166" s="29"/>
      <c r="N2166" s="29"/>
      <c r="O2166" s="29"/>
      <c r="P2166" s="29"/>
      <c r="Q2166" s="29"/>
      <c r="R2166" s="29"/>
      <c r="S2166" s="29"/>
      <c r="T2166" s="29"/>
    </row>
    <row r="2167" spans="1:20" ht="15.75" customHeight="1" x14ac:dyDescent="0.25">
      <c r="A2167" s="29"/>
      <c r="B2167" s="29"/>
      <c r="C2167" s="29"/>
      <c r="D2167" s="29"/>
      <c r="E2167" s="29"/>
      <c r="F2167" s="29"/>
      <c r="G2167" s="29"/>
      <c r="H2167" s="29"/>
      <c r="I2167" s="29"/>
      <c r="J2167" s="29"/>
      <c r="K2167" s="29"/>
      <c r="L2167" s="29"/>
      <c r="M2167" s="29"/>
      <c r="N2167" s="29"/>
      <c r="O2167" s="29"/>
      <c r="P2167" s="29"/>
      <c r="Q2167" s="29"/>
      <c r="R2167" s="29"/>
      <c r="S2167" s="29"/>
      <c r="T2167" s="29"/>
    </row>
    <row r="2168" spans="1:20" ht="15.75" customHeight="1" x14ac:dyDescent="0.25">
      <c r="A2168" s="29"/>
      <c r="B2168" s="29"/>
      <c r="C2168" s="29"/>
      <c r="D2168" s="29"/>
      <c r="E2168" s="29"/>
      <c r="F2168" s="29"/>
      <c r="G2168" s="29"/>
      <c r="H2168" s="29"/>
      <c r="I2168" s="29"/>
      <c r="J2168" s="29"/>
      <c r="K2168" s="29"/>
      <c r="L2168" s="29"/>
      <c r="M2168" s="29"/>
      <c r="N2168" s="29"/>
      <c r="O2168" s="29"/>
      <c r="P2168" s="29"/>
      <c r="Q2168" s="29"/>
      <c r="R2168" s="29"/>
      <c r="S2168" s="29"/>
      <c r="T2168" s="29"/>
    </row>
    <row r="2169" spans="1:20" ht="15.75" customHeight="1" x14ac:dyDescent="0.25">
      <c r="A2169" s="29"/>
      <c r="B2169" s="29"/>
      <c r="C2169" s="29"/>
      <c r="D2169" s="29"/>
      <c r="E2169" s="29"/>
      <c r="F2169" s="29"/>
      <c r="G2169" s="29"/>
      <c r="H2169" s="29"/>
      <c r="I2169" s="29"/>
      <c r="J2169" s="29"/>
      <c r="K2169" s="29"/>
      <c r="L2169" s="29"/>
      <c r="M2169" s="29"/>
      <c r="N2169" s="29"/>
      <c r="O2169" s="29"/>
      <c r="P2169" s="29"/>
      <c r="Q2169" s="29"/>
      <c r="R2169" s="29"/>
      <c r="S2169" s="29"/>
      <c r="T2169" s="29"/>
    </row>
    <row r="2170" spans="1:20" ht="15.75" customHeight="1" x14ac:dyDescent="0.25">
      <c r="A2170" s="29"/>
      <c r="B2170" s="29"/>
      <c r="C2170" s="29"/>
      <c r="D2170" s="29"/>
      <c r="E2170" s="29"/>
      <c r="F2170" s="29"/>
      <c r="G2170" s="29"/>
      <c r="H2170" s="29"/>
      <c r="I2170" s="29"/>
      <c r="J2170" s="29"/>
      <c r="K2170" s="29"/>
      <c r="L2170" s="29"/>
      <c r="M2170" s="29"/>
      <c r="N2170" s="29"/>
      <c r="O2170" s="29"/>
      <c r="P2170" s="29"/>
      <c r="Q2170" s="29"/>
      <c r="R2170" s="29"/>
      <c r="S2170" s="29"/>
      <c r="T2170" s="29"/>
    </row>
    <row r="2171" spans="1:20" ht="15.75" customHeight="1" x14ac:dyDescent="0.25">
      <c r="A2171" s="29"/>
      <c r="B2171" s="29"/>
      <c r="C2171" s="29"/>
      <c r="D2171" s="29"/>
      <c r="E2171" s="29"/>
      <c r="F2171" s="29"/>
      <c r="G2171" s="29"/>
      <c r="H2171" s="29"/>
      <c r="I2171" s="29"/>
      <c r="J2171" s="29"/>
      <c r="K2171" s="29"/>
      <c r="L2171" s="29"/>
      <c r="M2171" s="29"/>
      <c r="N2171" s="29"/>
      <c r="O2171" s="29"/>
      <c r="P2171" s="29"/>
      <c r="Q2171" s="29"/>
      <c r="R2171" s="29"/>
      <c r="S2171" s="29"/>
      <c r="T2171" s="29"/>
    </row>
    <row r="2172" spans="1:20" ht="15.75" customHeight="1" x14ac:dyDescent="0.25">
      <c r="A2172" s="29"/>
      <c r="B2172" s="29"/>
      <c r="C2172" s="29"/>
      <c r="D2172" s="29"/>
      <c r="E2172" s="29"/>
      <c r="F2172" s="29"/>
      <c r="G2172" s="29"/>
      <c r="H2172" s="29"/>
      <c r="I2172" s="29"/>
      <c r="J2172" s="29"/>
      <c r="K2172" s="29"/>
      <c r="L2172" s="29"/>
      <c r="M2172" s="29"/>
      <c r="N2172" s="29"/>
      <c r="O2172" s="29"/>
      <c r="P2172" s="29"/>
      <c r="Q2172" s="29"/>
      <c r="R2172" s="29"/>
      <c r="S2172" s="29"/>
      <c r="T2172" s="29"/>
    </row>
    <row r="2173" spans="1:20" ht="15.75" customHeight="1" x14ac:dyDescent="0.25">
      <c r="A2173" s="29"/>
      <c r="B2173" s="29"/>
      <c r="C2173" s="29"/>
      <c r="D2173" s="29"/>
      <c r="E2173" s="29"/>
      <c r="F2173" s="29"/>
      <c r="G2173" s="29"/>
      <c r="H2173" s="29"/>
      <c r="I2173" s="29"/>
      <c r="J2173" s="29"/>
      <c r="K2173" s="29"/>
      <c r="L2173" s="29"/>
      <c r="M2173" s="29"/>
      <c r="N2173" s="29"/>
      <c r="O2173" s="29"/>
      <c r="P2173" s="29"/>
      <c r="Q2173" s="29"/>
      <c r="R2173" s="29"/>
      <c r="S2173" s="29"/>
      <c r="T2173" s="29"/>
    </row>
    <row r="2174" spans="1:20" ht="15.75" customHeight="1" x14ac:dyDescent="0.25">
      <c r="A2174" s="29"/>
      <c r="B2174" s="29"/>
      <c r="C2174" s="29"/>
      <c r="D2174" s="29"/>
      <c r="E2174" s="29"/>
      <c r="F2174" s="29"/>
      <c r="G2174" s="29"/>
      <c r="H2174" s="29"/>
      <c r="I2174" s="29"/>
      <c r="J2174" s="29"/>
      <c r="K2174" s="29"/>
      <c r="L2174" s="29"/>
      <c r="M2174" s="29"/>
      <c r="N2174" s="29"/>
      <c r="O2174" s="29"/>
      <c r="P2174" s="29"/>
      <c r="Q2174" s="29"/>
      <c r="R2174" s="29"/>
      <c r="S2174" s="29"/>
      <c r="T2174" s="29"/>
    </row>
    <row r="2175" spans="1:20" ht="15.75" customHeight="1" x14ac:dyDescent="0.25">
      <c r="A2175" s="29"/>
      <c r="B2175" s="29"/>
      <c r="C2175" s="29"/>
      <c r="D2175" s="29"/>
      <c r="E2175" s="29"/>
      <c r="F2175" s="29"/>
      <c r="G2175" s="29"/>
      <c r="H2175" s="29"/>
      <c r="I2175" s="29"/>
      <c r="J2175" s="29"/>
      <c r="K2175" s="29"/>
      <c r="L2175" s="29"/>
      <c r="M2175" s="29"/>
      <c r="N2175" s="29"/>
      <c r="O2175" s="29"/>
      <c r="P2175" s="29"/>
      <c r="Q2175" s="29"/>
      <c r="R2175" s="29"/>
      <c r="S2175" s="29"/>
      <c r="T2175" s="29"/>
    </row>
    <row r="2176" spans="1:20" ht="15.75" customHeight="1" x14ac:dyDescent="0.25">
      <c r="A2176" s="29"/>
      <c r="B2176" s="29"/>
      <c r="C2176" s="29"/>
      <c r="D2176" s="29"/>
      <c r="E2176" s="29"/>
      <c r="F2176" s="29"/>
      <c r="G2176" s="29"/>
      <c r="H2176" s="29"/>
      <c r="I2176" s="29"/>
      <c r="J2176" s="29"/>
      <c r="K2176" s="29"/>
      <c r="L2176" s="29"/>
      <c r="M2176" s="29"/>
      <c r="N2176" s="29"/>
      <c r="O2176" s="29"/>
      <c r="P2176" s="29"/>
      <c r="Q2176" s="29"/>
      <c r="R2176" s="29"/>
      <c r="S2176" s="29"/>
      <c r="T2176" s="29"/>
    </row>
    <row r="2177" spans="1:20" ht="15.75" customHeight="1" x14ac:dyDescent="0.25">
      <c r="A2177" s="29"/>
      <c r="B2177" s="29"/>
      <c r="C2177" s="29"/>
      <c r="D2177" s="29"/>
      <c r="E2177" s="29"/>
      <c r="F2177" s="29"/>
      <c r="G2177" s="29"/>
      <c r="H2177" s="29"/>
      <c r="I2177" s="29"/>
      <c r="J2177" s="29"/>
      <c r="K2177" s="29"/>
      <c r="L2177" s="29"/>
      <c r="M2177" s="29"/>
      <c r="N2177" s="29"/>
      <c r="O2177" s="29"/>
      <c r="P2177" s="29"/>
      <c r="Q2177" s="29"/>
      <c r="R2177" s="29"/>
      <c r="S2177" s="29"/>
      <c r="T2177" s="29"/>
    </row>
    <row r="2178" spans="1:20" ht="15.75" customHeight="1" x14ac:dyDescent="0.25">
      <c r="A2178" s="29"/>
      <c r="B2178" s="29"/>
      <c r="C2178" s="29"/>
      <c r="D2178" s="29"/>
      <c r="E2178" s="29"/>
      <c r="F2178" s="29"/>
      <c r="G2178" s="29"/>
      <c r="H2178" s="29"/>
      <c r="I2178" s="29"/>
      <c r="J2178" s="29"/>
      <c r="K2178" s="29"/>
      <c r="L2178" s="29"/>
      <c r="M2178" s="29"/>
      <c r="N2178" s="29"/>
      <c r="O2178" s="29"/>
      <c r="P2178" s="29"/>
      <c r="Q2178" s="29"/>
      <c r="R2178" s="29"/>
      <c r="S2178" s="29"/>
      <c r="T2178" s="29"/>
    </row>
    <row r="2179" spans="1:20" ht="15.75" customHeight="1" x14ac:dyDescent="0.25">
      <c r="A2179" s="29"/>
      <c r="B2179" s="29"/>
      <c r="C2179" s="29"/>
      <c r="D2179" s="29"/>
      <c r="E2179" s="29"/>
      <c r="F2179" s="29"/>
      <c r="G2179" s="29"/>
      <c r="H2179" s="29"/>
      <c r="I2179" s="29"/>
      <c r="J2179" s="29"/>
      <c r="K2179" s="29"/>
      <c r="L2179" s="29"/>
      <c r="M2179" s="29"/>
      <c r="N2179" s="29"/>
      <c r="O2179" s="29"/>
      <c r="P2179" s="29"/>
      <c r="Q2179" s="29"/>
      <c r="R2179" s="29"/>
      <c r="S2179" s="29"/>
      <c r="T2179" s="29"/>
    </row>
    <row r="2180" spans="1:20" ht="15.75" customHeight="1" x14ac:dyDescent="0.25">
      <c r="A2180" s="29"/>
      <c r="B2180" s="29"/>
      <c r="C2180" s="29"/>
      <c r="D2180" s="29"/>
      <c r="E2180" s="29"/>
      <c r="F2180" s="29"/>
      <c r="G2180" s="29"/>
      <c r="H2180" s="29"/>
      <c r="I2180" s="29"/>
      <c r="J2180" s="29"/>
      <c r="K2180" s="29"/>
      <c r="L2180" s="29"/>
      <c r="M2180" s="29"/>
      <c r="N2180" s="29"/>
      <c r="O2180" s="29"/>
      <c r="P2180" s="29"/>
      <c r="Q2180" s="29"/>
      <c r="R2180" s="29"/>
      <c r="S2180" s="29"/>
      <c r="T2180" s="29"/>
    </row>
    <row r="2181" spans="1:20" ht="15.75" customHeight="1" x14ac:dyDescent="0.25">
      <c r="A2181" s="29"/>
      <c r="B2181" s="29"/>
      <c r="C2181" s="29"/>
      <c r="D2181" s="29"/>
      <c r="E2181" s="29"/>
      <c r="F2181" s="29"/>
      <c r="G2181" s="29"/>
      <c r="H2181" s="29"/>
      <c r="I2181" s="29"/>
      <c r="J2181" s="29"/>
      <c r="K2181" s="29"/>
      <c r="L2181" s="29"/>
      <c r="M2181" s="29"/>
      <c r="N2181" s="29"/>
      <c r="O2181" s="29"/>
      <c r="P2181" s="29"/>
      <c r="Q2181" s="29"/>
      <c r="R2181" s="29"/>
      <c r="S2181" s="29"/>
      <c r="T2181" s="29"/>
    </row>
    <row r="2182" spans="1:20" ht="15.75" customHeight="1" x14ac:dyDescent="0.25">
      <c r="A2182" s="29"/>
      <c r="B2182" s="29"/>
      <c r="C2182" s="29"/>
      <c r="D2182" s="29"/>
      <c r="E2182" s="29"/>
      <c r="F2182" s="29"/>
      <c r="G2182" s="29"/>
      <c r="H2182" s="29"/>
      <c r="I2182" s="29"/>
      <c r="J2182" s="29"/>
      <c r="K2182" s="29"/>
      <c r="L2182" s="29"/>
      <c r="M2182" s="29"/>
      <c r="N2182" s="29"/>
      <c r="O2182" s="29"/>
      <c r="P2182" s="29"/>
      <c r="Q2182" s="29"/>
      <c r="R2182" s="29"/>
      <c r="S2182" s="29"/>
      <c r="T2182" s="29"/>
    </row>
    <row r="2183" spans="1:20" ht="15.75" customHeight="1" x14ac:dyDescent="0.25">
      <c r="A2183" s="29"/>
      <c r="B2183" s="29"/>
      <c r="C2183" s="29"/>
      <c r="D2183" s="29"/>
      <c r="E2183" s="29"/>
      <c r="F2183" s="29"/>
      <c r="G2183" s="29"/>
      <c r="H2183" s="29"/>
      <c r="I2183" s="29"/>
      <c r="J2183" s="29"/>
      <c r="K2183" s="29"/>
      <c r="L2183" s="29"/>
      <c r="M2183" s="29"/>
      <c r="N2183" s="29"/>
      <c r="O2183" s="29"/>
      <c r="P2183" s="29"/>
      <c r="Q2183" s="29"/>
      <c r="R2183" s="29"/>
      <c r="S2183" s="29"/>
      <c r="T2183" s="29"/>
    </row>
    <row r="2184" spans="1:20" ht="15.75" customHeight="1" x14ac:dyDescent="0.25">
      <c r="A2184" s="29"/>
      <c r="B2184" s="29"/>
      <c r="C2184" s="29"/>
      <c r="D2184" s="29"/>
      <c r="E2184" s="29"/>
      <c r="F2184" s="29"/>
      <c r="G2184" s="29"/>
      <c r="H2184" s="29"/>
      <c r="I2184" s="29"/>
      <c r="J2184" s="29"/>
      <c r="K2184" s="29"/>
      <c r="L2184" s="29"/>
      <c r="M2184" s="29"/>
      <c r="N2184" s="29"/>
      <c r="O2184" s="29"/>
      <c r="P2184" s="29"/>
      <c r="Q2184" s="29"/>
      <c r="R2184" s="29"/>
      <c r="S2184" s="29"/>
      <c r="T2184" s="29"/>
    </row>
    <row r="2185" spans="1:20" ht="15.75" customHeight="1" x14ac:dyDescent="0.25">
      <c r="A2185" s="29"/>
      <c r="B2185" s="29"/>
      <c r="C2185" s="29"/>
      <c r="D2185" s="29"/>
      <c r="E2185" s="29"/>
      <c r="F2185" s="29"/>
      <c r="G2185" s="29"/>
      <c r="H2185" s="29"/>
      <c r="I2185" s="29"/>
      <c r="J2185" s="29"/>
      <c r="K2185" s="29"/>
      <c r="L2185" s="29"/>
      <c r="M2185" s="29"/>
      <c r="N2185" s="29"/>
      <c r="O2185" s="29"/>
      <c r="P2185" s="29"/>
      <c r="Q2185" s="29"/>
      <c r="R2185" s="29"/>
      <c r="S2185" s="29"/>
      <c r="T2185" s="29"/>
    </row>
    <row r="2186" spans="1:20" ht="15.75" customHeight="1" x14ac:dyDescent="0.25">
      <c r="A2186" s="29"/>
      <c r="B2186" s="29"/>
      <c r="C2186" s="29"/>
      <c r="D2186" s="29"/>
      <c r="E2186" s="29"/>
      <c r="F2186" s="29"/>
      <c r="G2186" s="29"/>
      <c r="H2186" s="29"/>
      <c r="I2186" s="29"/>
      <c r="J2186" s="29"/>
      <c r="K2186" s="29"/>
      <c r="L2186" s="29"/>
      <c r="M2186" s="29"/>
      <c r="N2186" s="29"/>
      <c r="O2186" s="29"/>
      <c r="P2186" s="29"/>
      <c r="Q2186" s="29"/>
      <c r="R2186" s="29"/>
      <c r="S2186" s="29"/>
      <c r="T2186" s="29"/>
    </row>
    <row r="2187" spans="1:20" ht="15.75" customHeight="1" x14ac:dyDescent="0.25">
      <c r="A2187" s="29"/>
      <c r="B2187" s="29"/>
      <c r="C2187" s="29"/>
      <c r="D2187" s="29"/>
      <c r="E2187" s="29"/>
      <c r="F2187" s="29"/>
      <c r="G2187" s="29"/>
      <c r="H2187" s="29"/>
      <c r="I2187" s="29"/>
      <c r="J2187" s="29"/>
      <c r="K2187" s="29"/>
      <c r="L2187" s="29"/>
      <c r="M2187" s="29"/>
      <c r="N2187" s="29"/>
      <c r="O2187" s="29"/>
      <c r="P2187" s="29"/>
      <c r="Q2187" s="29"/>
      <c r="R2187" s="29"/>
      <c r="S2187" s="29"/>
      <c r="T2187" s="29"/>
    </row>
    <row r="2188" spans="1:20" ht="15.75" customHeight="1" x14ac:dyDescent="0.25">
      <c r="A2188" s="29"/>
      <c r="B2188" s="29"/>
      <c r="C2188" s="29"/>
      <c r="D2188" s="29"/>
      <c r="E2188" s="29"/>
      <c r="F2188" s="29"/>
      <c r="G2188" s="29"/>
      <c r="H2188" s="29"/>
      <c r="I2188" s="29"/>
      <c r="J2188" s="29"/>
      <c r="K2188" s="29"/>
      <c r="L2188" s="29"/>
      <c r="M2188" s="29"/>
      <c r="N2188" s="29"/>
      <c r="O2188" s="29"/>
      <c r="P2188" s="29"/>
      <c r="Q2188" s="29"/>
      <c r="R2188" s="29"/>
      <c r="S2188" s="29"/>
      <c r="T2188" s="29"/>
    </row>
    <row r="2189" spans="1:20" ht="15.75" customHeight="1" x14ac:dyDescent="0.25">
      <c r="A2189" s="29"/>
      <c r="B2189" s="29"/>
      <c r="C2189" s="29"/>
      <c r="D2189" s="29"/>
      <c r="E2189" s="29"/>
      <c r="F2189" s="29"/>
      <c r="G2189" s="29"/>
      <c r="H2189" s="29"/>
      <c r="I2189" s="29"/>
      <c r="J2189" s="29"/>
      <c r="K2189" s="29"/>
      <c r="L2189" s="29"/>
      <c r="M2189" s="29"/>
      <c r="N2189" s="29"/>
      <c r="O2189" s="29"/>
      <c r="P2189" s="29"/>
      <c r="Q2189" s="29"/>
      <c r="R2189" s="29"/>
      <c r="S2189" s="29"/>
      <c r="T2189" s="29"/>
    </row>
    <row r="2190" spans="1:20" ht="15.75" customHeight="1" x14ac:dyDescent="0.25">
      <c r="A2190" s="29"/>
      <c r="B2190" s="29"/>
      <c r="C2190" s="29"/>
      <c r="D2190" s="29"/>
      <c r="E2190" s="29"/>
      <c r="F2190" s="29"/>
      <c r="G2190" s="29"/>
      <c r="H2190" s="29"/>
      <c r="I2190" s="29"/>
      <c r="J2190" s="29"/>
      <c r="K2190" s="29"/>
      <c r="L2190" s="29"/>
      <c r="M2190" s="29"/>
      <c r="N2190" s="29"/>
      <c r="O2190" s="29"/>
      <c r="P2190" s="29"/>
      <c r="Q2190" s="29"/>
      <c r="R2190" s="29"/>
      <c r="S2190" s="29"/>
      <c r="T2190" s="29"/>
    </row>
    <row r="2191" spans="1:20" ht="15.75" customHeight="1" x14ac:dyDescent="0.25">
      <c r="A2191" s="29"/>
      <c r="B2191" s="29"/>
      <c r="C2191" s="29"/>
      <c r="D2191" s="29"/>
      <c r="E2191" s="29"/>
      <c r="F2191" s="29"/>
      <c r="G2191" s="29"/>
      <c r="H2191" s="29"/>
      <c r="I2191" s="29"/>
      <c r="J2191" s="29"/>
      <c r="K2191" s="29"/>
      <c r="L2191" s="29"/>
      <c r="M2191" s="29"/>
      <c r="N2191" s="29"/>
      <c r="O2191" s="29"/>
      <c r="P2191" s="29"/>
      <c r="Q2191" s="29"/>
      <c r="R2191" s="29"/>
      <c r="S2191" s="29"/>
      <c r="T2191" s="29"/>
    </row>
    <row r="2192" spans="1:20" ht="15.75" customHeight="1" x14ac:dyDescent="0.25">
      <c r="A2192" s="29"/>
      <c r="B2192" s="29"/>
      <c r="C2192" s="29"/>
      <c r="D2192" s="29"/>
      <c r="E2192" s="29"/>
      <c r="F2192" s="29"/>
      <c r="G2192" s="29"/>
      <c r="H2192" s="29"/>
      <c r="I2192" s="29"/>
      <c r="J2192" s="29"/>
      <c r="K2192" s="29"/>
      <c r="L2192" s="29"/>
      <c r="M2192" s="29"/>
      <c r="N2192" s="29"/>
      <c r="O2192" s="29"/>
      <c r="P2192" s="29"/>
      <c r="Q2192" s="29"/>
      <c r="R2192" s="29"/>
      <c r="S2192" s="29"/>
      <c r="T2192" s="29"/>
    </row>
    <row r="2193" spans="1:20" ht="15.75" customHeight="1" x14ac:dyDescent="0.25">
      <c r="A2193" s="29"/>
      <c r="B2193" s="29"/>
      <c r="C2193" s="29"/>
      <c r="D2193" s="29"/>
      <c r="E2193" s="29"/>
      <c r="F2193" s="29"/>
      <c r="G2193" s="29"/>
      <c r="H2193" s="29"/>
      <c r="I2193" s="29"/>
      <c r="J2193" s="29"/>
      <c r="K2193" s="29"/>
      <c r="L2193" s="29"/>
      <c r="M2193" s="29"/>
      <c r="N2193" s="29"/>
      <c r="O2193" s="29"/>
      <c r="P2193" s="29"/>
      <c r="Q2193" s="29"/>
      <c r="R2193" s="29"/>
      <c r="S2193" s="29"/>
      <c r="T2193" s="29"/>
    </row>
    <row r="2194" spans="1:20" ht="15.75" customHeight="1" x14ac:dyDescent="0.25">
      <c r="A2194" s="29"/>
      <c r="B2194" s="29"/>
      <c r="C2194" s="29"/>
      <c r="D2194" s="29"/>
      <c r="E2194" s="29"/>
      <c r="F2194" s="29"/>
      <c r="G2194" s="29"/>
      <c r="H2194" s="29"/>
      <c r="I2194" s="29"/>
      <c r="J2194" s="29"/>
      <c r="K2194" s="29"/>
      <c r="L2194" s="29"/>
      <c r="M2194" s="29"/>
      <c r="N2194" s="29"/>
      <c r="O2194" s="29"/>
      <c r="P2194" s="29"/>
      <c r="Q2194" s="29"/>
      <c r="R2194" s="29"/>
      <c r="S2194" s="29"/>
      <c r="T2194" s="29"/>
    </row>
    <row r="2195" spans="1:20" ht="15.75" customHeight="1" x14ac:dyDescent="0.25">
      <c r="A2195" s="29"/>
      <c r="B2195" s="29"/>
      <c r="C2195" s="29"/>
      <c r="D2195" s="29"/>
      <c r="E2195" s="29"/>
      <c r="F2195" s="29"/>
      <c r="G2195" s="29"/>
      <c r="H2195" s="29"/>
      <c r="I2195" s="29"/>
      <c r="J2195" s="29"/>
      <c r="K2195" s="29"/>
      <c r="L2195" s="29"/>
      <c r="M2195" s="29"/>
      <c r="N2195" s="29"/>
      <c r="O2195" s="29"/>
      <c r="P2195" s="29"/>
      <c r="Q2195" s="29"/>
      <c r="R2195" s="29"/>
      <c r="S2195" s="29"/>
      <c r="T2195" s="29"/>
    </row>
    <row r="2196" spans="1:20" ht="15.75" customHeight="1" x14ac:dyDescent="0.25">
      <c r="A2196" s="29"/>
      <c r="B2196" s="29"/>
      <c r="C2196" s="29"/>
      <c r="D2196" s="29"/>
      <c r="E2196" s="29"/>
      <c r="F2196" s="29"/>
      <c r="G2196" s="29"/>
      <c r="H2196" s="29"/>
      <c r="I2196" s="29"/>
      <c r="J2196" s="29"/>
      <c r="K2196" s="29"/>
      <c r="L2196" s="29"/>
      <c r="M2196" s="29"/>
      <c r="N2196" s="29"/>
      <c r="O2196" s="29"/>
      <c r="P2196" s="29"/>
      <c r="Q2196" s="29"/>
      <c r="R2196" s="29"/>
      <c r="S2196" s="29"/>
      <c r="T2196" s="29"/>
    </row>
    <row r="2197" spans="1:20" ht="15.75" customHeight="1" x14ac:dyDescent="0.25">
      <c r="A2197" s="29"/>
      <c r="B2197" s="29"/>
      <c r="C2197" s="29"/>
      <c r="D2197" s="29"/>
      <c r="E2197" s="29"/>
      <c r="F2197" s="29"/>
      <c r="G2197" s="29"/>
      <c r="H2197" s="29"/>
      <c r="I2197" s="29"/>
      <c r="J2197" s="29"/>
      <c r="K2197" s="29"/>
      <c r="L2197" s="29"/>
      <c r="M2197" s="29"/>
      <c r="N2197" s="29"/>
      <c r="O2197" s="29"/>
      <c r="P2197" s="29"/>
      <c r="Q2197" s="29"/>
      <c r="R2197" s="29"/>
      <c r="S2197" s="29"/>
      <c r="T2197" s="29"/>
    </row>
    <row r="2198" spans="1:20" ht="15.75" customHeight="1" x14ac:dyDescent="0.25">
      <c r="A2198" s="29"/>
      <c r="B2198" s="29"/>
      <c r="C2198" s="29"/>
      <c r="D2198" s="29"/>
      <c r="E2198" s="29"/>
      <c r="F2198" s="29"/>
      <c r="G2198" s="29"/>
      <c r="H2198" s="29"/>
      <c r="I2198" s="29"/>
      <c r="J2198" s="29"/>
      <c r="K2198" s="29"/>
      <c r="L2198" s="29"/>
      <c r="M2198" s="29"/>
      <c r="N2198" s="29"/>
      <c r="O2198" s="29"/>
      <c r="P2198" s="29"/>
      <c r="Q2198" s="29"/>
      <c r="R2198" s="29"/>
      <c r="S2198" s="29"/>
      <c r="T2198" s="29"/>
    </row>
    <row r="2199" spans="1:20" ht="15.75" customHeight="1" x14ac:dyDescent="0.25">
      <c r="A2199" s="29"/>
      <c r="B2199" s="29"/>
      <c r="C2199" s="29"/>
      <c r="D2199" s="29"/>
      <c r="E2199" s="29"/>
      <c r="F2199" s="29"/>
      <c r="G2199" s="29"/>
      <c r="H2199" s="29"/>
      <c r="I2199" s="29"/>
      <c r="J2199" s="29"/>
      <c r="K2199" s="29"/>
      <c r="L2199" s="29"/>
      <c r="M2199" s="29"/>
      <c r="N2199" s="29"/>
      <c r="O2199" s="29"/>
      <c r="P2199" s="29"/>
      <c r="Q2199" s="29"/>
      <c r="R2199" s="29"/>
      <c r="S2199" s="29"/>
      <c r="T2199" s="29"/>
    </row>
    <row r="2200" spans="1:20" ht="15.75" customHeight="1" x14ac:dyDescent="0.25">
      <c r="A2200" s="29"/>
      <c r="B2200" s="29"/>
      <c r="C2200" s="29"/>
      <c r="D2200" s="29"/>
      <c r="E2200" s="29"/>
      <c r="F2200" s="29"/>
      <c r="G2200" s="29"/>
      <c r="H2200" s="29"/>
      <c r="I2200" s="29"/>
      <c r="J2200" s="29"/>
      <c r="K2200" s="29"/>
      <c r="L2200" s="29"/>
      <c r="M2200" s="29"/>
      <c r="N2200" s="29"/>
      <c r="O2200" s="29"/>
      <c r="P2200" s="29"/>
      <c r="Q2200" s="29"/>
      <c r="R2200" s="29"/>
      <c r="S2200" s="29"/>
      <c r="T2200" s="29"/>
    </row>
    <row r="2201" spans="1:20" ht="15.75" customHeight="1" x14ac:dyDescent="0.25">
      <c r="A2201" s="29"/>
      <c r="B2201" s="29"/>
      <c r="C2201" s="29"/>
      <c r="D2201" s="29"/>
      <c r="E2201" s="29"/>
      <c r="F2201" s="29"/>
      <c r="G2201" s="29"/>
      <c r="H2201" s="29"/>
      <c r="I2201" s="29"/>
      <c r="J2201" s="29"/>
      <c r="K2201" s="29"/>
      <c r="L2201" s="29"/>
      <c r="M2201" s="29"/>
      <c r="N2201" s="29"/>
      <c r="O2201" s="29"/>
      <c r="P2201" s="29"/>
      <c r="Q2201" s="29"/>
      <c r="R2201" s="29"/>
      <c r="S2201" s="29"/>
      <c r="T2201" s="29"/>
    </row>
    <row r="2202" spans="1:20" ht="15.75" customHeight="1" x14ac:dyDescent="0.25">
      <c r="A2202" s="29"/>
      <c r="B2202" s="29"/>
      <c r="C2202" s="29"/>
      <c r="D2202" s="29"/>
      <c r="E2202" s="29"/>
      <c r="F2202" s="29"/>
      <c r="G2202" s="29"/>
      <c r="H2202" s="29"/>
      <c r="I2202" s="29"/>
      <c r="J2202" s="29"/>
      <c r="K2202" s="29"/>
      <c r="L2202" s="29"/>
      <c r="M2202" s="29"/>
      <c r="N2202" s="29"/>
      <c r="O2202" s="29"/>
      <c r="P2202" s="29"/>
      <c r="Q2202" s="29"/>
      <c r="R2202" s="29"/>
      <c r="S2202" s="29"/>
      <c r="T2202" s="29"/>
    </row>
    <row r="2203" spans="1:20" ht="15.75" customHeight="1" x14ac:dyDescent="0.25">
      <c r="A2203" s="29"/>
      <c r="B2203" s="29"/>
      <c r="C2203" s="29"/>
      <c r="D2203" s="29"/>
      <c r="E2203" s="29"/>
      <c r="F2203" s="29"/>
      <c r="G2203" s="29"/>
      <c r="H2203" s="29"/>
      <c r="I2203" s="29"/>
      <c r="J2203" s="29"/>
      <c r="K2203" s="29"/>
      <c r="L2203" s="29"/>
      <c r="M2203" s="29"/>
      <c r="N2203" s="29"/>
      <c r="O2203" s="29"/>
      <c r="P2203" s="29"/>
      <c r="Q2203" s="29"/>
      <c r="R2203" s="29"/>
      <c r="S2203" s="29"/>
      <c r="T2203" s="29"/>
    </row>
    <row r="2204" spans="1:20" ht="15.75" customHeight="1" x14ac:dyDescent="0.25">
      <c r="A2204" s="29"/>
      <c r="B2204" s="29"/>
      <c r="C2204" s="29"/>
      <c r="D2204" s="29"/>
      <c r="E2204" s="29"/>
      <c r="F2204" s="29"/>
      <c r="G2204" s="29"/>
      <c r="H2204" s="29"/>
      <c r="I2204" s="29"/>
      <c r="J2204" s="29"/>
      <c r="K2204" s="29"/>
      <c r="L2204" s="29"/>
      <c r="M2204" s="29"/>
      <c r="N2204" s="29"/>
      <c r="O2204" s="29"/>
      <c r="P2204" s="29"/>
      <c r="Q2204" s="29"/>
      <c r="R2204" s="29"/>
      <c r="S2204" s="29"/>
      <c r="T2204" s="29"/>
    </row>
    <row r="2205" spans="1:20" ht="15.75" customHeight="1" x14ac:dyDescent="0.25">
      <c r="A2205" s="29"/>
      <c r="B2205" s="29"/>
      <c r="C2205" s="29"/>
      <c r="D2205" s="29"/>
      <c r="E2205" s="29"/>
      <c r="F2205" s="29"/>
      <c r="G2205" s="29"/>
      <c r="H2205" s="29"/>
      <c r="I2205" s="29"/>
      <c r="J2205" s="29"/>
      <c r="K2205" s="29"/>
      <c r="L2205" s="29"/>
      <c r="M2205" s="29"/>
      <c r="N2205" s="29"/>
      <c r="O2205" s="29"/>
      <c r="P2205" s="29"/>
      <c r="Q2205" s="29"/>
      <c r="R2205" s="29"/>
      <c r="S2205" s="29"/>
      <c r="T2205" s="29"/>
    </row>
    <row r="2206" spans="1:20" ht="15.75" customHeight="1" x14ac:dyDescent="0.25">
      <c r="A2206" s="29"/>
      <c r="B2206" s="29"/>
      <c r="C2206" s="29"/>
      <c r="D2206" s="29"/>
      <c r="E2206" s="29"/>
      <c r="F2206" s="29"/>
      <c r="G2206" s="29"/>
      <c r="H2206" s="29"/>
      <c r="I2206" s="29"/>
      <c r="J2206" s="29"/>
      <c r="K2206" s="29"/>
      <c r="L2206" s="29"/>
      <c r="M2206" s="29"/>
      <c r="N2206" s="29"/>
      <c r="O2206" s="29"/>
      <c r="P2206" s="29"/>
      <c r="Q2206" s="29"/>
      <c r="R2206" s="29"/>
      <c r="S2206" s="29"/>
      <c r="T2206" s="29"/>
    </row>
    <row r="2207" spans="1:20" ht="15.75" customHeight="1" x14ac:dyDescent="0.25">
      <c r="A2207" s="29"/>
      <c r="B2207" s="29"/>
      <c r="C2207" s="29"/>
      <c r="D2207" s="29"/>
      <c r="E2207" s="29"/>
      <c r="F2207" s="29"/>
      <c r="G2207" s="29"/>
      <c r="H2207" s="29"/>
      <c r="I2207" s="29"/>
      <c r="J2207" s="29"/>
      <c r="K2207" s="29"/>
      <c r="L2207" s="29"/>
      <c r="M2207" s="29"/>
      <c r="N2207" s="29"/>
      <c r="O2207" s="29"/>
      <c r="P2207" s="29"/>
      <c r="Q2207" s="29"/>
      <c r="R2207" s="29"/>
      <c r="S2207" s="29"/>
      <c r="T2207" s="29"/>
    </row>
    <row r="2208" spans="1:20" ht="15.75" customHeight="1" x14ac:dyDescent="0.25">
      <c r="A2208" s="29"/>
      <c r="B2208" s="29"/>
      <c r="C2208" s="29"/>
      <c r="D2208" s="29"/>
      <c r="E2208" s="29"/>
      <c r="F2208" s="29"/>
      <c r="G2208" s="29"/>
      <c r="H2208" s="29"/>
      <c r="I2208" s="29"/>
      <c r="J2208" s="29"/>
      <c r="K2208" s="29"/>
      <c r="L2208" s="29"/>
      <c r="M2208" s="29"/>
      <c r="N2208" s="29"/>
      <c r="O2208" s="29"/>
      <c r="P2208" s="29"/>
      <c r="Q2208" s="29"/>
      <c r="R2208" s="29"/>
      <c r="S2208" s="29"/>
      <c r="T2208" s="29"/>
    </row>
    <row r="2209" spans="1:20" ht="15.75" customHeight="1" x14ac:dyDescent="0.25">
      <c r="A2209" s="29"/>
      <c r="B2209" s="29"/>
      <c r="C2209" s="29"/>
      <c r="D2209" s="29"/>
      <c r="E2209" s="29"/>
      <c r="F2209" s="29"/>
      <c r="G2209" s="29"/>
      <c r="H2209" s="29"/>
      <c r="I2209" s="29"/>
      <c r="J2209" s="29"/>
      <c r="K2209" s="29"/>
      <c r="L2209" s="29"/>
      <c r="M2209" s="29"/>
      <c r="N2209" s="29"/>
      <c r="O2209" s="29"/>
      <c r="P2209" s="29"/>
      <c r="Q2209" s="29"/>
      <c r="R2209" s="29"/>
      <c r="S2209" s="29"/>
      <c r="T2209" s="29"/>
    </row>
    <row r="2210" spans="1:20" ht="15.75" customHeight="1" x14ac:dyDescent="0.25">
      <c r="A2210" s="29"/>
      <c r="B2210" s="29"/>
      <c r="C2210" s="29"/>
      <c r="D2210" s="29"/>
      <c r="E2210" s="29"/>
      <c r="F2210" s="29"/>
      <c r="G2210" s="29"/>
      <c r="H2210" s="29"/>
      <c r="I2210" s="29"/>
      <c r="J2210" s="29"/>
      <c r="K2210" s="29"/>
      <c r="L2210" s="29"/>
      <c r="M2210" s="29"/>
      <c r="N2210" s="29"/>
      <c r="O2210" s="29"/>
      <c r="P2210" s="29"/>
      <c r="Q2210" s="29"/>
      <c r="R2210" s="29"/>
      <c r="S2210" s="29"/>
      <c r="T2210" s="29"/>
    </row>
    <row r="2211" spans="1:20" ht="15.75" customHeight="1" x14ac:dyDescent="0.25">
      <c r="A2211" s="29"/>
      <c r="B2211" s="29"/>
      <c r="C2211" s="29"/>
      <c r="D2211" s="29"/>
      <c r="E2211" s="29"/>
      <c r="F2211" s="29"/>
      <c r="G2211" s="29"/>
      <c r="H2211" s="29"/>
      <c r="I2211" s="29"/>
      <c r="J2211" s="29"/>
      <c r="K2211" s="29"/>
      <c r="L2211" s="29"/>
      <c r="M2211" s="29"/>
      <c r="N2211" s="29"/>
      <c r="O2211" s="29"/>
      <c r="P2211" s="29"/>
      <c r="Q2211" s="29"/>
      <c r="R2211" s="29"/>
      <c r="S2211" s="29"/>
      <c r="T2211" s="29"/>
    </row>
    <row r="2212" spans="1:20" ht="15.75" customHeight="1" x14ac:dyDescent="0.25">
      <c r="A2212" s="29"/>
      <c r="B2212" s="29"/>
      <c r="C2212" s="29"/>
      <c r="D2212" s="29"/>
      <c r="E2212" s="29"/>
      <c r="F2212" s="29"/>
      <c r="G2212" s="29"/>
      <c r="H2212" s="29"/>
      <c r="I2212" s="29"/>
      <c r="J2212" s="29"/>
      <c r="K2212" s="29"/>
      <c r="L2212" s="29"/>
      <c r="M2212" s="29"/>
      <c r="N2212" s="29"/>
      <c r="O2212" s="29"/>
      <c r="P2212" s="29"/>
      <c r="Q2212" s="29"/>
      <c r="R2212" s="29"/>
      <c r="S2212" s="29"/>
      <c r="T2212" s="29"/>
    </row>
    <row r="2213" spans="1:20" ht="15.75" customHeight="1" x14ac:dyDescent="0.25">
      <c r="A2213" s="29"/>
      <c r="B2213" s="29"/>
      <c r="C2213" s="29"/>
      <c r="D2213" s="29"/>
      <c r="E2213" s="29"/>
      <c r="F2213" s="29"/>
      <c r="G2213" s="29"/>
      <c r="H2213" s="29"/>
      <c r="I2213" s="29"/>
      <c r="J2213" s="29"/>
      <c r="K2213" s="29"/>
      <c r="L2213" s="29"/>
      <c r="M2213" s="29"/>
      <c r="N2213" s="29"/>
      <c r="O2213" s="29"/>
      <c r="P2213" s="29"/>
      <c r="Q2213" s="29"/>
      <c r="R2213" s="29"/>
      <c r="S2213" s="29"/>
      <c r="T2213" s="29"/>
    </row>
    <row r="2214" spans="1:20" ht="15.75" customHeight="1" x14ac:dyDescent="0.25">
      <c r="A2214" s="29"/>
      <c r="B2214" s="29"/>
      <c r="C2214" s="29"/>
      <c r="D2214" s="29"/>
      <c r="E2214" s="29"/>
      <c r="F2214" s="29"/>
      <c r="G2214" s="29"/>
      <c r="H2214" s="29"/>
      <c r="I2214" s="29"/>
      <c r="J2214" s="29"/>
      <c r="K2214" s="29"/>
      <c r="L2214" s="29"/>
      <c r="M2214" s="29"/>
      <c r="N2214" s="29"/>
      <c r="O2214" s="29"/>
      <c r="P2214" s="29"/>
      <c r="Q2214" s="29"/>
      <c r="R2214" s="29"/>
      <c r="S2214" s="29"/>
      <c r="T2214" s="29"/>
    </row>
    <row r="2215" spans="1:20" ht="15.75" customHeight="1" x14ac:dyDescent="0.25">
      <c r="A2215" s="29"/>
      <c r="B2215" s="29"/>
      <c r="C2215" s="29"/>
      <c r="D2215" s="29"/>
      <c r="E2215" s="29"/>
      <c r="F2215" s="29"/>
      <c r="G2215" s="29"/>
      <c r="H2215" s="29"/>
      <c r="I2215" s="29"/>
      <c r="J2215" s="29"/>
      <c r="K2215" s="29"/>
      <c r="L2215" s="29"/>
      <c r="M2215" s="29"/>
      <c r="N2215" s="29"/>
      <c r="O2215" s="29"/>
      <c r="P2215" s="29"/>
      <c r="Q2215" s="29"/>
      <c r="R2215" s="29"/>
      <c r="S2215" s="29"/>
      <c r="T2215" s="29"/>
    </row>
    <row r="2216" spans="1:20" ht="15.75" customHeight="1" x14ac:dyDescent="0.25">
      <c r="A2216" s="29"/>
      <c r="B2216" s="29"/>
      <c r="C2216" s="29"/>
      <c r="D2216" s="29"/>
      <c r="E2216" s="29"/>
      <c r="F2216" s="29"/>
      <c r="G2216" s="29"/>
      <c r="H2216" s="29"/>
      <c r="I2216" s="29"/>
      <c r="J2216" s="29"/>
      <c r="K2216" s="29"/>
      <c r="L2216" s="29"/>
      <c r="M2216" s="29"/>
      <c r="N2216" s="29"/>
      <c r="O2216" s="29"/>
      <c r="P2216" s="29"/>
      <c r="Q2216" s="29"/>
      <c r="R2216" s="29"/>
      <c r="S2216" s="29"/>
      <c r="T2216" s="29"/>
    </row>
    <row r="2217" spans="1:20" ht="15.75" customHeight="1" x14ac:dyDescent="0.25">
      <c r="A2217" s="29"/>
      <c r="B2217" s="29"/>
      <c r="C2217" s="29"/>
      <c r="D2217" s="29"/>
      <c r="E2217" s="29"/>
      <c r="F2217" s="29"/>
      <c r="G2217" s="29"/>
      <c r="H2217" s="29"/>
      <c r="I2217" s="29"/>
      <c r="J2217" s="29"/>
      <c r="K2217" s="29"/>
      <c r="L2217" s="29"/>
      <c r="M2217" s="29"/>
      <c r="N2217" s="29"/>
      <c r="O2217" s="29"/>
      <c r="P2217" s="29"/>
      <c r="Q2217" s="29"/>
      <c r="R2217" s="29"/>
      <c r="S2217" s="29"/>
      <c r="T2217" s="29"/>
    </row>
    <row r="2218" spans="1:20" ht="15.75" customHeight="1" x14ac:dyDescent="0.25">
      <c r="A2218" s="29"/>
      <c r="B2218" s="29"/>
      <c r="C2218" s="29"/>
      <c r="D2218" s="29"/>
      <c r="E2218" s="29"/>
      <c r="F2218" s="29"/>
      <c r="G2218" s="29"/>
      <c r="H2218" s="29"/>
      <c r="I2218" s="29"/>
      <c r="J2218" s="29"/>
      <c r="K2218" s="29"/>
      <c r="L2218" s="29"/>
      <c r="M2218" s="29"/>
      <c r="N2218" s="29"/>
      <c r="O2218" s="29"/>
      <c r="P2218" s="29"/>
      <c r="Q2218" s="29"/>
      <c r="R2218" s="29"/>
      <c r="S2218" s="29"/>
      <c r="T2218" s="29"/>
    </row>
    <row r="2219" spans="1:20" ht="15.75" customHeight="1" x14ac:dyDescent="0.25">
      <c r="A2219" s="29"/>
      <c r="B2219" s="29"/>
      <c r="C2219" s="29"/>
      <c r="D2219" s="29"/>
      <c r="E2219" s="29"/>
      <c r="F2219" s="29"/>
      <c r="G2219" s="29"/>
      <c r="H2219" s="29"/>
      <c r="I2219" s="29"/>
      <c r="J2219" s="29"/>
      <c r="K2219" s="29"/>
      <c r="L2219" s="29"/>
      <c r="M2219" s="29"/>
      <c r="N2219" s="29"/>
      <c r="O2219" s="29"/>
      <c r="P2219" s="29"/>
      <c r="Q2219" s="29"/>
      <c r="R2219" s="29"/>
      <c r="S2219" s="29"/>
      <c r="T2219" s="29"/>
    </row>
    <row r="2220" spans="1:20" ht="15.75" customHeight="1" x14ac:dyDescent="0.25">
      <c r="A2220" s="29"/>
      <c r="B2220" s="29"/>
      <c r="C2220" s="29"/>
      <c r="D2220" s="29"/>
      <c r="E2220" s="29"/>
      <c r="F2220" s="29"/>
      <c r="G2220" s="29"/>
      <c r="H2220" s="29"/>
      <c r="I2220" s="29"/>
      <c r="J2220" s="29"/>
      <c r="K2220" s="29"/>
      <c r="L2220" s="29"/>
      <c r="M2220" s="29"/>
      <c r="N2220" s="29"/>
      <c r="O2220" s="29"/>
      <c r="P2220" s="29"/>
      <c r="Q2220" s="29"/>
      <c r="R2220" s="29"/>
      <c r="S2220" s="29"/>
      <c r="T2220" s="29"/>
    </row>
    <row r="2221" spans="1:20" ht="15.75" customHeight="1" x14ac:dyDescent="0.25">
      <c r="A2221" s="29"/>
      <c r="B2221" s="29"/>
      <c r="C2221" s="29"/>
      <c r="D2221" s="29"/>
      <c r="E2221" s="29"/>
      <c r="F2221" s="29"/>
      <c r="G2221" s="29"/>
      <c r="H2221" s="29"/>
      <c r="I2221" s="29"/>
      <c r="J2221" s="29"/>
      <c r="K2221" s="29"/>
      <c r="L2221" s="29"/>
      <c r="M2221" s="29"/>
      <c r="N2221" s="29"/>
      <c r="O2221" s="29"/>
      <c r="P2221" s="29"/>
      <c r="Q2221" s="29"/>
      <c r="R2221" s="29"/>
      <c r="S2221" s="29"/>
      <c r="T2221" s="29"/>
    </row>
    <row r="2222" spans="1:20" ht="15.75" customHeight="1" x14ac:dyDescent="0.25">
      <c r="A2222" s="29"/>
      <c r="B2222" s="29"/>
      <c r="C2222" s="29"/>
      <c r="D2222" s="29"/>
      <c r="E2222" s="29"/>
      <c r="F2222" s="29"/>
      <c r="G2222" s="29"/>
      <c r="H2222" s="29"/>
      <c r="I2222" s="29"/>
      <c r="J2222" s="29"/>
      <c r="K2222" s="29"/>
      <c r="L2222" s="29"/>
      <c r="M2222" s="29"/>
      <c r="N2222" s="29"/>
      <c r="O2222" s="29"/>
      <c r="P2222" s="29"/>
      <c r="Q2222" s="29"/>
      <c r="R2222" s="29"/>
      <c r="S2222" s="29"/>
      <c r="T2222" s="29"/>
    </row>
    <row r="2223" spans="1:20" ht="15.75" customHeight="1" x14ac:dyDescent="0.25">
      <c r="A2223" s="29"/>
      <c r="B2223" s="29"/>
      <c r="C2223" s="29"/>
      <c r="D2223" s="29"/>
      <c r="E2223" s="29"/>
      <c r="F2223" s="29"/>
      <c r="G2223" s="29"/>
      <c r="H2223" s="29"/>
      <c r="I2223" s="29"/>
      <c r="J2223" s="29"/>
      <c r="K2223" s="29"/>
      <c r="L2223" s="29"/>
      <c r="M2223" s="29"/>
      <c r="N2223" s="29"/>
      <c r="O2223" s="29"/>
      <c r="P2223" s="29"/>
      <c r="Q2223" s="29"/>
      <c r="R2223" s="29"/>
      <c r="S2223" s="29"/>
      <c r="T2223" s="29"/>
    </row>
    <row r="2224" spans="1:20" ht="15.75" customHeight="1" x14ac:dyDescent="0.25">
      <c r="A2224" s="29"/>
      <c r="B2224" s="29"/>
      <c r="C2224" s="29"/>
      <c r="D2224" s="29"/>
      <c r="E2224" s="29"/>
      <c r="F2224" s="29"/>
      <c r="G2224" s="29"/>
      <c r="H2224" s="29"/>
      <c r="I2224" s="29"/>
      <c r="J2224" s="29"/>
      <c r="K2224" s="29"/>
      <c r="L2224" s="29"/>
      <c r="M2224" s="29"/>
      <c r="N2224" s="29"/>
      <c r="O2224" s="29"/>
      <c r="P2224" s="29"/>
      <c r="Q2224" s="29"/>
      <c r="R2224" s="29"/>
      <c r="S2224" s="29"/>
      <c r="T2224" s="29"/>
    </row>
    <row r="2225" spans="1:20" ht="15.75" customHeight="1" x14ac:dyDescent="0.25">
      <c r="A2225" s="29"/>
      <c r="B2225" s="29"/>
      <c r="C2225" s="29"/>
      <c r="D2225" s="29"/>
      <c r="E2225" s="29"/>
      <c r="F2225" s="29"/>
      <c r="G2225" s="29"/>
      <c r="H2225" s="29"/>
      <c r="I2225" s="29"/>
      <c r="J2225" s="29"/>
      <c r="K2225" s="29"/>
      <c r="L2225" s="29"/>
      <c r="M2225" s="29"/>
      <c r="N2225" s="29"/>
      <c r="O2225" s="29"/>
      <c r="P2225" s="29"/>
      <c r="Q2225" s="29"/>
      <c r="R2225" s="29"/>
      <c r="S2225" s="29"/>
      <c r="T2225" s="29"/>
    </row>
    <row r="2226" spans="1:20" ht="15.75" customHeight="1" x14ac:dyDescent="0.25">
      <c r="A2226" s="29"/>
      <c r="B2226" s="29"/>
      <c r="C2226" s="29"/>
      <c r="D2226" s="29"/>
      <c r="E2226" s="29"/>
      <c r="F2226" s="29"/>
      <c r="G2226" s="29"/>
      <c r="H2226" s="29"/>
      <c r="I2226" s="29"/>
      <c r="J2226" s="29"/>
      <c r="K2226" s="29"/>
      <c r="L2226" s="29"/>
      <c r="M2226" s="29"/>
      <c r="N2226" s="29"/>
      <c r="O2226" s="29"/>
      <c r="P2226" s="29"/>
      <c r="Q2226" s="29"/>
      <c r="R2226" s="29"/>
      <c r="S2226" s="29"/>
      <c r="T2226" s="29"/>
    </row>
    <row r="2227" spans="1:20" ht="15.75" customHeight="1" x14ac:dyDescent="0.25">
      <c r="A2227" s="29"/>
      <c r="B2227" s="29"/>
      <c r="C2227" s="29"/>
      <c r="D2227" s="29"/>
      <c r="E2227" s="29"/>
      <c r="F2227" s="29"/>
      <c r="G2227" s="29"/>
      <c r="H2227" s="29"/>
      <c r="I2227" s="29"/>
      <c r="J2227" s="29"/>
      <c r="K2227" s="29"/>
      <c r="L2227" s="29"/>
      <c r="M2227" s="29"/>
      <c r="N2227" s="29"/>
      <c r="O2227" s="29"/>
      <c r="P2227" s="29"/>
      <c r="Q2227" s="29"/>
      <c r="R2227" s="29"/>
      <c r="S2227" s="29"/>
      <c r="T2227" s="29"/>
    </row>
    <row r="2228" spans="1:20" ht="15.75" customHeight="1" x14ac:dyDescent="0.25">
      <c r="A2228" s="29"/>
      <c r="B2228" s="29"/>
      <c r="C2228" s="29"/>
      <c r="D2228" s="29"/>
      <c r="E2228" s="29"/>
      <c r="F2228" s="29"/>
      <c r="G2228" s="29"/>
      <c r="H2228" s="29"/>
      <c r="I2228" s="29"/>
      <c r="J2228" s="29"/>
      <c r="K2228" s="29"/>
      <c r="L2228" s="29"/>
      <c r="M2228" s="29"/>
      <c r="N2228" s="29"/>
      <c r="O2228" s="29"/>
      <c r="P2228" s="29"/>
      <c r="Q2228" s="29"/>
      <c r="R2228" s="29"/>
      <c r="S2228" s="29"/>
      <c r="T2228" s="29"/>
    </row>
    <row r="2229" spans="1:20" ht="15.75" customHeight="1" x14ac:dyDescent="0.25">
      <c r="A2229" s="29"/>
      <c r="B2229" s="29"/>
      <c r="C2229" s="29"/>
      <c r="D2229" s="29"/>
      <c r="E2229" s="29"/>
      <c r="F2229" s="29"/>
      <c r="G2229" s="29"/>
      <c r="H2229" s="29"/>
      <c r="I2229" s="29"/>
      <c r="J2229" s="29"/>
      <c r="K2229" s="29"/>
      <c r="L2229" s="29"/>
      <c r="M2229" s="29"/>
      <c r="N2229" s="29"/>
      <c r="O2229" s="29"/>
      <c r="P2229" s="29"/>
      <c r="Q2229" s="29"/>
      <c r="R2229" s="29"/>
      <c r="S2229" s="29"/>
      <c r="T2229" s="29"/>
    </row>
    <row r="2230" spans="1:20" ht="15.75" customHeight="1" x14ac:dyDescent="0.25">
      <c r="A2230" s="29"/>
      <c r="B2230" s="29"/>
      <c r="C2230" s="29"/>
      <c r="D2230" s="29"/>
      <c r="E2230" s="29"/>
      <c r="F2230" s="29"/>
      <c r="G2230" s="29"/>
      <c r="H2230" s="29"/>
      <c r="I2230" s="29"/>
      <c r="J2230" s="29"/>
      <c r="K2230" s="29"/>
      <c r="L2230" s="29"/>
      <c r="M2230" s="29"/>
      <c r="N2230" s="29"/>
      <c r="O2230" s="29"/>
      <c r="P2230" s="29"/>
      <c r="Q2230" s="29"/>
      <c r="R2230" s="29"/>
      <c r="S2230" s="29"/>
      <c r="T2230" s="29"/>
    </row>
    <row r="2231" spans="1:20" ht="15.75" customHeight="1" x14ac:dyDescent="0.25">
      <c r="A2231" s="29"/>
      <c r="B2231" s="29"/>
      <c r="C2231" s="29"/>
      <c r="D2231" s="29"/>
      <c r="E2231" s="29"/>
      <c r="F2231" s="29"/>
      <c r="G2231" s="29"/>
      <c r="H2231" s="29"/>
      <c r="I2231" s="29"/>
      <c r="J2231" s="29"/>
      <c r="K2231" s="29"/>
      <c r="L2231" s="29"/>
      <c r="M2231" s="29"/>
      <c r="N2231" s="29"/>
      <c r="O2231" s="29"/>
      <c r="P2231" s="29"/>
      <c r="Q2231" s="29"/>
      <c r="R2231" s="29"/>
      <c r="S2231" s="29"/>
      <c r="T2231" s="29"/>
    </row>
    <row r="2232" spans="1:20" ht="15.75" customHeight="1" x14ac:dyDescent="0.25">
      <c r="A2232" s="29"/>
      <c r="B2232" s="29"/>
      <c r="C2232" s="29"/>
      <c r="D2232" s="29"/>
      <c r="E2232" s="29"/>
      <c r="F2232" s="29"/>
      <c r="G2232" s="29"/>
      <c r="H2232" s="29"/>
      <c r="I2232" s="29"/>
      <c r="J2232" s="29"/>
      <c r="K2232" s="29"/>
      <c r="L2232" s="29"/>
      <c r="M2232" s="29"/>
      <c r="N2232" s="29"/>
      <c r="O2232" s="29"/>
      <c r="P2232" s="29"/>
      <c r="Q2232" s="29"/>
      <c r="R2232" s="29"/>
      <c r="S2232" s="29"/>
      <c r="T2232" s="29"/>
    </row>
    <row r="2233" spans="1:20" ht="15.75" customHeight="1" x14ac:dyDescent="0.25">
      <c r="A2233" s="29"/>
      <c r="B2233" s="29"/>
      <c r="C2233" s="29"/>
      <c r="D2233" s="29"/>
      <c r="E2233" s="29"/>
      <c r="F2233" s="29"/>
      <c r="G2233" s="29"/>
      <c r="H2233" s="29"/>
      <c r="I2233" s="29"/>
      <c r="J2233" s="29"/>
      <c r="K2233" s="29"/>
      <c r="L2233" s="29"/>
      <c r="M2233" s="29"/>
      <c r="N2233" s="29"/>
      <c r="O2233" s="29"/>
      <c r="P2233" s="29"/>
      <c r="Q2233" s="29"/>
      <c r="R2233" s="29"/>
      <c r="S2233" s="29"/>
      <c r="T2233" s="29"/>
    </row>
    <row r="2234" spans="1:20" ht="15.75" customHeight="1" x14ac:dyDescent="0.25">
      <c r="A2234" s="29"/>
      <c r="B2234" s="29"/>
      <c r="C2234" s="29"/>
      <c r="D2234" s="29"/>
      <c r="E2234" s="29"/>
      <c r="F2234" s="29"/>
      <c r="G2234" s="29"/>
      <c r="H2234" s="29"/>
      <c r="I2234" s="29"/>
      <c r="J2234" s="29"/>
      <c r="K2234" s="29"/>
      <c r="L2234" s="29"/>
      <c r="M2234" s="29"/>
      <c r="N2234" s="29"/>
      <c r="O2234" s="29"/>
      <c r="P2234" s="29"/>
      <c r="Q2234" s="29"/>
      <c r="R2234" s="29"/>
      <c r="S2234" s="29"/>
      <c r="T2234" s="29"/>
    </row>
    <row r="2235" spans="1:20" ht="15.75" customHeight="1" x14ac:dyDescent="0.25">
      <c r="A2235" s="29"/>
      <c r="B2235" s="29"/>
      <c r="C2235" s="29"/>
      <c r="D2235" s="29"/>
      <c r="E2235" s="29"/>
      <c r="F2235" s="29"/>
      <c r="G2235" s="29"/>
      <c r="H2235" s="29"/>
      <c r="I2235" s="29"/>
      <c r="J2235" s="29"/>
      <c r="K2235" s="29"/>
      <c r="L2235" s="29"/>
      <c r="M2235" s="29"/>
      <c r="N2235" s="29"/>
      <c r="O2235" s="29"/>
      <c r="P2235" s="29"/>
      <c r="Q2235" s="29"/>
      <c r="R2235" s="29"/>
      <c r="S2235" s="29"/>
      <c r="T2235" s="29"/>
    </row>
    <row r="2236" spans="1:20" ht="15.75" customHeight="1" x14ac:dyDescent="0.25">
      <c r="A2236" s="29"/>
      <c r="B2236" s="29"/>
      <c r="C2236" s="29"/>
      <c r="D2236" s="29"/>
      <c r="E2236" s="29"/>
      <c r="F2236" s="29"/>
      <c r="G2236" s="29"/>
      <c r="H2236" s="29"/>
      <c r="I2236" s="29"/>
      <c r="J2236" s="29"/>
      <c r="K2236" s="29"/>
      <c r="L2236" s="29"/>
      <c r="M2236" s="29"/>
      <c r="N2236" s="29"/>
      <c r="O2236" s="29"/>
      <c r="P2236" s="29"/>
      <c r="Q2236" s="29"/>
      <c r="R2236" s="29"/>
      <c r="S2236" s="29"/>
      <c r="T2236" s="29"/>
    </row>
    <row r="2237" spans="1:20" ht="15.75" customHeight="1" x14ac:dyDescent="0.25">
      <c r="A2237" s="29"/>
      <c r="B2237" s="29"/>
      <c r="C2237" s="29"/>
      <c r="D2237" s="29"/>
      <c r="E2237" s="29"/>
      <c r="F2237" s="29"/>
      <c r="G2237" s="29"/>
      <c r="H2237" s="29"/>
      <c r="I2237" s="29"/>
      <c r="J2237" s="29"/>
      <c r="K2237" s="29"/>
      <c r="L2237" s="29"/>
      <c r="M2237" s="29"/>
      <c r="N2237" s="29"/>
      <c r="O2237" s="29"/>
      <c r="P2237" s="29"/>
      <c r="Q2237" s="29"/>
      <c r="R2237" s="29"/>
      <c r="S2237" s="29"/>
      <c r="T2237" s="29"/>
    </row>
    <row r="2238" spans="1:20" ht="15.75" customHeight="1" x14ac:dyDescent="0.25">
      <c r="A2238" s="29"/>
      <c r="B2238" s="29"/>
      <c r="C2238" s="29"/>
      <c r="D2238" s="29"/>
      <c r="E2238" s="29"/>
      <c r="F2238" s="29"/>
      <c r="G2238" s="29"/>
      <c r="H2238" s="29"/>
      <c r="I2238" s="29"/>
      <c r="J2238" s="29"/>
      <c r="K2238" s="29"/>
      <c r="L2238" s="29"/>
      <c r="M2238" s="29"/>
      <c r="N2238" s="29"/>
      <c r="O2238" s="29"/>
      <c r="P2238" s="29"/>
      <c r="Q2238" s="29"/>
      <c r="R2238" s="29"/>
      <c r="S2238" s="29"/>
      <c r="T2238" s="29"/>
    </row>
    <row r="2239" spans="1:20" ht="15.75" customHeight="1" x14ac:dyDescent="0.25">
      <c r="A2239" s="29"/>
      <c r="B2239" s="29"/>
      <c r="C2239" s="29"/>
      <c r="D2239" s="29"/>
      <c r="E2239" s="29"/>
      <c r="F2239" s="29"/>
      <c r="G2239" s="29"/>
      <c r="H2239" s="29"/>
      <c r="I2239" s="29"/>
      <c r="J2239" s="29"/>
      <c r="K2239" s="29"/>
      <c r="L2239" s="29"/>
      <c r="M2239" s="29"/>
      <c r="N2239" s="29"/>
      <c r="O2239" s="29"/>
      <c r="P2239" s="29"/>
      <c r="Q2239" s="29"/>
      <c r="R2239" s="29"/>
      <c r="S2239" s="29"/>
      <c r="T2239" s="29"/>
    </row>
    <row r="2240" spans="1:20" ht="15.75" customHeight="1" x14ac:dyDescent="0.25">
      <c r="A2240" s="29"/>
      <c r="B2240" s="29"/>
      <c r="C2240" s="29"/>
      <c r="D2240" s="29"/>
      <c r="E2240" s="29"/>
      <c r="F2240" s="29"/>
      <c r="G2240" s="29"/>
      <c r="H2240" s="29"/>
      <c r="I2240" s="29"/>
      <c r="J2240" s="29"/>
      <c r="K2240" s="29"/>
      <c r="L2240" s="29"/>
      <c r="M2240" s="29"/>
      <c r="N2240" s="29"/>
      <c r="O2240" s="29"/>
      <c r="P2240" s="29"/>
      <c r="Q2240" s="29"/>
      <c r="R2240" s="29"/>
      <c r="S2240" s="29"/>
      <c r="T2240" s="29"/>
    </row>
    <row r="2241" spans="1:20" ht="15.75" customHeight="1" x14ac:dyDescent="0.25">
      <c r="A2241" s="29"/>
      <c r="B2241" s="29"/>
      <c r="C2241" s="29"/>
      <c r="D2241" s="29"/>
      <c r="E2241" s="29"/>
      <c r="F2241" s="29"/>
      <c r="G2241" s="29"/>
      <c r="H2241" s="29"/>
      <c r="I2241" s="29"/>
      <c r="J2241" s="29"/>
      <c r="K2241" s="29"/>
      <c r="L2241" s="29"/>
      <c r="M2241" s="29"/>
      <c r="N2241" s="29"/>
      <c r="O2241" s="29"/>
      <c r="P2241" s="29"/>
      <c r="Q2241" s="29"/>
      <c r="R2241" s="29"/>
      <c r="S2241" s="29"/>
      <c r="T2241" s="29"/>
    </row>
    <row r="2242" spans="1:20" ht="15.75" customHeight="1" x14ac:dyDescent="0.25">
      <c r="A2242" s="29"/>
      <c r="B2242" s="29"/>
      <c r="C2242" s="29"/>
      <c r="D2242" s="29"/>
      <c r="E2242" s="29"/>
      <c r="F2242" s="29"/>
      <c r="G2242" s="29"/>
      <c r="H2242" s="29"/>
      <c r="I2242" s="29"/>
      <c r="J2242" s="29"/>
      <c r="K2242" s="29"/>
      <c r="L2242" s="29"/>
      <c r="M2242" s="29"/>
      <c r="N2242" s="29"/>
      <c r="O2242" s="29"/>
      <c r="P2242" s="29"/>
      <c r="Q2242" s="29"/>
      <c r="R2242" s="29"/>
      <c r="S2242" s="29"/>
      <c r="T2242" s="29"/>
    </row>
    <row r="2243" spans="1:20" ht="15.75" customHeight="1" x14ac:dyDescent="0.25">
      <c r="A2243" s="29"/>
      <c r="B2243" s="29"/>
      <c r="C2243" s="29"/>
      <c r="D2243" s="29"/>
      <c r="E2243" s="29"/>
      <c r="F2243" s="29"/>
      <c r="G2243" s="29"/>
      <c r="H2243" s="29"/>
      <c r="I2243" s="29"/>
      <c r="J2243" s="29"/>
      <c r="K2243" s="29"/>
      <c r="L2243" s="29"/>
      <c r="M2243" s="29"/>
      <c r="N2243" s="29"/>
      <c r="O2243" s="29"/>
      <c r="P2243" s="29"/>
      <c r="Q2243" s="29"/>
      <c r="R2243" s="29"/>
      <c r="S2243" s="29"/>
      <c r="T2243" s="29"/>
    </row>
    <row r="2244" spans="1:20" ht="15.75" customHeight="1" x14ac:dyDescent="0.25">
      <c r="A2244" s="29"/>
      <c r="B2244" s="29"/>
      <c r="C2244" s="29"/>
      <c r="D2244" s="29"/>
      <c r="E2244" s="29"/>
      <c r="F2244" s="29"/>
      <c r="G2244" s="29"/>
      <c r="H2244" s="29"/>
      <c r="I2244" s="29"/>
      <c r="J2244" s="29"/>
      <c r="K2244" s="29"/>
      <c r="L2244" s="29"/>
      <c r="M2244" s="29"/>
      <c r="N2244" s="29"/>
      <c r="O2244" s="29"/>
      <c r="P2244" s="29"/>
      <c r="Q2244" s="29"/>
      <c r="R2244" s="29"/>
      <c r="S2244" s="29"/>
      <c r="T2244" s="29"/>
    </row>
    <row r="2245" spans="1:20" ht="15.75" customHeight="1" x14ac:dyDescent="0.25">
      <c r="A2245" s="29"/>
      <c r="B2245" s="29"/>
      <c r="C2245" s="29"/>
      <c r="D2245" s="29"/>
      <c r="E2245" s="29"/>
      <c r="F2245" s="29"/>
      <c r="G2245" s="29"/>
      <c r="H2245" s="29"/>
      <c r="I2245" s="29"/>
      <c r="J2245" s="29"/>
      <c r="K2245" s="29"/>
      <c r="L2245" s="29"/>
      <c r="M2245" s="29"/>
      <c r="N2245" s="29"/>
      <c r="O2245" s="29"/>
      <c r="P2245" s="29"/>
      <c r="Q2245" s="29"/>
      <c r="R2245" s="29"/>
      <c r="S2245" s="29"/>
      <c r="T2245" s="29"/>
    </row>
    <row r="2246" spans="1:20" ht="15.75" customHeight="1" x14ac:dyDescent="0.25">
      <c r="A2246" s="29"/>
      <c r="B2246" s="29"/>
      <c r="C2246" s="29"/>
      <c r="D2246" s="29"/>
      <c r="E2246" s="29"/>
      <c r="F2246" s="29"/>
      <c r="G2246" s="29"/>
      <c r="H2246" s="29"/>
      <c r="I2246" s="29"/>
      <c r="J2246" s="29"/>
      <c r="K2246" s="29"/>
      <c r="L2246" s="29"/>
      <c r="M2246" s="29"/>
      <c r="N2246" s="29"/>
      <c r="O2246" s="29"/>
      <c r="P2246" s="29"/>
      <c r="Q2246" s="29"/>
      <c r="R2246" s="29"/>
      <c r="S2246" s="29"/>
      <c r="T2246" s="29"/>
    </row>
    <row r="2247" spans="1:20" ht="15.75" customHeight="1" x14ac:dyDescent="0.25">
      <c r="A2247" s="29"/>
      <c r="B2247" s="29"/>
      <c r="C2247" s="29"/>
      <c r="D2247" s="29"/>
      <c r="E2247" s="29"/>
      <c r="F2247" s="29"/>
      <c r="G2247" s="29"/>
      <c r="H2247" s="29"/>
      <c r="I2247" s="29"/>
      <c r="J2247" s="29"/>
      <c r="K2247" s="29"/>
      <c r="L2247" s="29"/>
      <c r="M2247" s="29"/>
      <c r="N2247" s="29"/>
      <c r="O2247" s="29"/>
      <c r="P2247" s="29"/>
      <c r="Q2247" s="29"/>
      <c r="R2247" s="29"/>
      <c r="S2247" s="29"/>
      <c r="T2247" s="29"/>
    </row>
    <row r="2248" spans="1:20" ht="15.75" customHeight="1" x14ac:dyDescent="0.25">
      <c r="A2248" s="29"/>
      <c r="B2248" s="29"/>
      <c r="C2248" s="29"/>
      <c r="D2248" s="29"/>
      <c r="E2248" s="29"/>
      <c r="F2248" s="29"/>
      <c r="G2248" s="29"/>
      <c r="H2248" s="29"/>
      <c r="I2248" s="29"/>
      <c r="J2248" s="29"/>
      <c r="K2248" s="29"/>
      <c r="L2248" s="29"/>
      <c r="M2248" s="29"/>
      <c r="N2248" s="29"/>
      <c r="O2248" s="29"/>
      <c r="P2248" s="29"/>
      <c r="Q2248" s="29"/>
      <c r="R2248" s="29"/>
      <c r="S2248" s="29"/>
      <c r="T2248" s="29"/>
    </row>
    <row r="2249" spans="1:20" ht="15.75" customHeight="1" x14ac:dyDescent="0.25">
      <c r="A2249" s="29"/>
      <c r="B2249" s="29"/>
      <c r="C2249" s="29"/>
      <c r="D2249" s="29"/>
      <c r="E2249" s="29"/>
      <c r="F2249" s="29"/>
      <c r="G2249" s="29"/>
      <c r="H2249" s="29"/>
      <c r="I2249" s="29"/>
      <c r="J2249" s="29"/>
      <c r="K2249" s="29"/>
      <c r="L2249" s="29"/>
      <c r="M2249" s="29"/>
      <c r="N2249" s="29"/>
      <c r="O2249" s="29"/>
      <c r="P2249" s="29"/>
      <c r="Q2249" s="29"/>
      <c r="R2249" s="29"/>
      <c r="S2249" s="29"/>
      <c r="T2249" s="29"/>
    </row>
    <row r="2250" spans="1:20" ht="15.75" customHeight="1" x14ac:dyDescent="0.25">
      <c r="A2250" s="29"/>
      <c r="B2250" s="29"/>
      <c r="C2250" s="29"/>
      <c r="D2250" s="29"/>
      <c r="E2250" s="29"/>
      <c r="F2250" s="29"/>
      <c r="G2250" s="29"/>
      <c r="H2250" s="29"/>
      <c r="I2250" s="29"/>
      <c r="J2250" s="29"/>
      <c r="K2250" s="29"/>
      <c r="L2250" s="29"/>
      <c r="M2250" s="29"/>
      <c r="N2250" s="29"/>
      <c r="O2250" s="29"/>
      <c r="P2250" s="29"/>
      <c r="Q2250" s="29"/>
      <c r="R2250" s="29"/>
      <c r="S2250" s="29"/>
      <c r="T2250" s="29"/>
    </row>
    <row r="2251" spans="1:20" ht="15.75" customHeight="1" x14ac:dyDescent="0.25">
      <c r="A2251" s="29"/>
      <c r="B2251" s="29"/>
      <c r="C2251" s="29"/>
      <c r="D2251" s="29"/>
      <c r="E2251" s="29"/>
      <c r="F2251" s="29"/>
      <c r="G2251" s="29"/>
      <c r="H2251" s="29"/>
      <c r="I2251" s="29"/>
      <c r="J2251" s="29"/>
      <c r="K2251" s="29"/>
      <c r="L2251" s="29"/>
      <c r="M2251" s="29"/>
      <c r="N2251" s="29"/>
      <c r="O2251" s="29"/>
      <c r="P2251" s="29"/>
      <c r="Q2251" s="29"/>
      <c r="R2251" s="29"/>
      <c r="S2251" s="29"/>
      <c r="T2251" s="29"/>
    </row>
    <row r="2252" spans="1:20" ht="15.75" customHeight="1" x14ac:dyDescent="0.25">
      <c r="A2252" s="29"/>
      <c r="B2252" s="29"/>
      <c r="C2252" s="29"/>
      <c r="D2252" s="29"/>
      <c r="E2252" s="29"/>
      <c r="F2252" s="29"/>
      <c r="G2252" s="29"/>
      <c r="H2252" s="29"/>
      <c r="I2252" s="29"/>
      <c r="J2252" s="29"/>
      <c r="K2252" s="29"/>
      <c r="L2252" s="29"/>
      <c r="M2252" s="29"/>
      <c r="N2252" s="29"/>
      <c r="O2252" s="29"/>
      <c r="P2252" s="29"/>
      <c r="Q2252" s="29"/>
      <c r="R2252" s="29"/>
      <c r="S2252" s="29"/>
      <c r="T2252" s="29"/>
    </row>
    <row r="2253" spans="1:20" ht="15.75" customHeight="1" x14ac:dyDescent="0.25">
      <c r="A2253" s="29"/>
      <c r="B2253" s="29"/>
      <c r="C2253" s="29"/>
      <c r="D2253" s="29"/>
      <c r="E2253" s="29"/>
      <c r="F2253" s="29"/>
      <c r="G2253" s="29"/>
      <c r="H2253" s="29"/>
      <c r="I2253" s="29"/>
      <c r="J2253" s="29"/>
      <c r="K2253" s="29"/>
      <c r="L2253" s="29"/>
      <c r="M2253" s="29"/>
      <c r="N2253" s="29"/>
      <c r="O2253" s="29"/>
      <c r="P2253" s="29"/>
      <c r="Q2253" s="29"/>
      <c r="R2253" s="29"/>
      <c r="S2253" s="29"/>
      <c r="T2253" s="29"/>
    </row>
    <row r="2254" spans="1:20" ht="15.75" customHeight="1" x14ac:dyDescent="0.25">
      <c r="A2254" s="29"/>
      <c r="B2254" s="29"/>
      <c r="C2254" s="29"/>
      <c r="D2254" s="29"/>
      <c r="E2254" s="29"/>
      <c r="F2254" s="29"/>
      <c r="G2254" s="29"/>
      <c r="H2254" s="29"/>
      <c r="I2254" s="29"/>
      <c r="J2254" s="29"/>
      <c r="K2254" s="29"/>
      <c r="L2254" s="29"/>
      <c r="M2254" s="29"/>
      <c r="N2254" s="29"/>
      <c r="O2254" s="29"/>
      <c r="P2254" s="29"/>
      <c r="Q2254" s="29"/>
      <c r="R2254" s="29"/>
      <c r="S2254" s="29"/>
      <c r="T2254" s="29"/>
    </row>
    <row r="2255" spans="1:20" ht="15.75" customHeight="1" x14ac:dyDescent="0.25">
      <c r="A2255" s="29"/>
      <c r="B2255" s="29"/>
      <c r="C2255" s="29"/>
      <c r="D2255" s="29"/>
      <c r="E2255" s="29"/>
      <c r="F2255" s="29"/>
      <c r="G2255" s="29"/>
      <c r="H2255" s="29"/>
      <c r="I2255" s="29"/>
      <c r="J2255" s="29"/>
      <c r="K2255" s="29"/>
      <c r="L2255" s="29"/>
      <c r="M2255" s="29"/>
      <c r="N2255" s="29"/>
      <c r="O2255" s="29"/>
      <c r="P2255" s="29"/>
      <c r="Q2255" s="29"/>
      <c r="R2255" s="29"/>
      <c r="S2255" s="29"/>
      <c r="T2255" s="29"/>
    </row>
    <row r="2256" spans="1:20" ht="15.75" customHeight="1" x14ac:dyDescent="0.25">
      <c r="A2256" s="29"/>
      <c r="B2256" s="29"/>
      <c r="C2256" s="29"/>
      <c r="D2256" s="29"/>
      <c r="E2256" s="29"/>
      <c r="F2256" s="29"/>
      <c r="G2256" s="29"/>
      <c r="H2256" s="29"/>
      <c r="I2256" s="29"/>
      <c r="J2256" s="29"/>
      <c r="K2256" s="29"/>
      <c r="L2256" s="29"/>
      <c r="M2256" s="29"/>
      <c r="N2256" s="29"/>
      <c r="O2256" s="29"/>
      <c r="P2256" s="29"/>
      <c r="Q2256" s="29"/>
      <c r="R2256" s="29"/>
      <c r="S2256" s="29"/>
      <c r="T2256" s="29"/>
    </row>
    <row r="2257" spans="1:20" ht="15.75" customHeight="1" x14ac:dyDescent="0.25">
      <c r="A2257" s="29"/>
      <c r="B2257" s="29"/>
      <c r="C2257" s="29"/>
      <c r="D2257" s="29"/>
      <c r="E2257" s="29"/>
      <c r="F2257" s="29"/>
      <c r="G2257" s="29"/>
      <c r="H2257" s="29"/>
      <c r="I2257" s="29"/>
      <c r="J2257" s="29"/>
      <c r="K2257" s="29"/>
      <c r="L2257" s="29"/>
      <c r="M2257" s="29"/>
      <c r="N2257" s="29"/>
      <c r="O2257" s="29"/>
      <c r="P2257" s="29"/>
      <c r="Q2257" s="29"/>
      <c r="R2257" s="29"/>
      <c r="S2257" s="29"/>
      <c r="T2257" s="29"/>
    </row>
    <row r="2258" spans="1:20" ht="15.75" customHeight="1" x14ac:dyDescent="0.25">
      <c r="A2258" s="29"/>
      <c r="B2258" s="29"/>
      <c r="C2258" s="29"/>
      <c r="D2258" s="29"/>
      <c r="E2258" s="29"/>
      <c r="F2258" s="29"/>
      <c r="G2258" s="29"/>
      <c r="H2258" s="29"/>
      <c r="I2258" s="29"/>
      <c r="J2258" s="29"/>
      <c r="K2258" s="29"/>
      <c r="L2258" s="29"/>
      <c r="M2258" s="29"/>
      <c r="N2258" s="29"/>
      <c r="O2258" s="29"/>
      <c r="P2258" s="29"/>
      <c r="Q2258" s="29"/>
      <c r="R2258" s="29"/>
      <c r="S2258" s="29"/>
      <c r="T2258" s="29"/>
    </row>
    <row r="2259" spans="1:20" ht="15.75" customHeight="1" x14ac:dyDescent="0.25">
      <c r="A2259" s="29"/>
      <c r="B2259" s="29"/>
      <c r="C2259" s="29"/>
      <c r="D2259" s="29"/>
      <c r="E2259" s="29"/>
      <c r="F2259" s="29"/>
      <c r="G2259" s="29"/>
      <c r="H2259" s="29"/>
      <c r="I2259" s="29"/>
      <c r="J2259" s="29"/>
      <c r="K2259" s="29"/>
      <c r="L2259" s="29"/>
      <c r="M2259" s="29"/>
      <c r="N2259" s="29"/>
      <c r="O2259" s="29"/>
      <c r="P2259" s="29"/>
      <c r="Q2259" s="29"/>
      <c r="R2259" s="29"/>
      <c r="S2259" s="29"/>
      <c r="T2259" s="29"/>
    </row>
    <row r="2260" spans="1:20" ht="15.75" customHeight="1" x14ac:dyDescent="0.25">
      <c r="A2260" s="29"/>
      <c r="B2260" s="29"/>
      <c r="C2260" s="29"/>
      <c r="D2260" s="29"/>
      <c r="E2260" s="29"/>
      <c r="F2260" s="29"/>
      <c r="G2260" s="29"/>
      <c r="H2260" s="29"/>
      <c r="I2260" s="29"/>
      <c r="J2260" s="29"/>
      <c r="K2260" s="29"/>
      <c r="L2260" s="29"/>
      <c r="M2260" s="29"/>
      <c r="N2260" s="29"/>
      <c r="O2260" s="29"/>
      <c r="P2260" s="29"/>
      <c r="Q2260" s="29"/>
      <c r="R2260" s="29"/>
      <c r="S2260" s="29"/>
      <c r="T2260" s="29"/>
    </row>
    <row r="2261" spans="1:20" ht="15.75" customHeight="1" x14ac:dyDescent="0.25">
      <c r="A2261" s="29"/>
      <c r="B2261" s="29"/>
      <c r="C2261" s="29"/>
      <c r="D2261" s="29"/>
      <c r="E2261" s="29"/>
      <c r="F2261" s="29"/>
      <c r="G2261" s="29"/>
      <c r="H2261" s="29"/>
      <c r="I2261" s="29"/>
      <c r="J2261" s="29"/>
      <c r="K2261" s="29"/>
      <c r="L2261" s="29"/>
      <c r="M2261" s="29"/>
      <c r="N2261" s="29"/>
      <c r="O2261" s="29"/>
      <c r="P2261" s="29"/>
      <c r="Q2261" s="29"/>
      <c r="R2261" s="29"/>
      <c r="S2261" s="29"/>
      <c r="T2261" s="29"/>
    </row>
    <row r="2262" spans="1:20" ht="15.75" customHeight="1" x14ac:dyDescent="0.25">
      <c r="A2262" s="29"/>
      <c r="B2262" s="29"/>
      <c r="C2262" s="29"/>
      <c r="D2262" s="29"/>
      <c r="E2262" s="29"/>
      <c r="F2262" s="29"/>
      <c r="G2262" s="29"/>
      <c r="H2262" s="29"/>
      <c r="I2262" s="29"/>
      <c r="J2262" s="29"/>
      <c r="K2262" s="29"/>
      <c r="L2262" s="29"/>
      <c r="M2262" s="29"/>
      <c r="N2262" s="29"/>
      <c r="O2262" s="29"/>
      <c r="P2262" s="29"/>
      <c r="Q2262" s="29"/>
      <c r="R2262" s="29"/>
      <c r="S2262" s="29"/>
      <c r="T2262" s="29"/>
    </row>
    <row r="2263" spans="1:20" ht="15.75" customHeight="1" x14ac:dyDescent="0.25">
      <c r="A2263" s="29"/>
      <c r="B2263" s="29"/>
      <c r="C2263" s="29"/>
      <c r="D2263" s="29"/>
      <c r="E2263" s="29"/>
      <c r="F2263" s="29"/>
      <c r="G2263" s="29"/>
      <c r="H2263" s="29"/>
      <c r="I2263" s="29"/>
      <c r="J2263" s="29"/>
      <c r="K2263" s="29"/>
      <c r="L2263" s="29"/>
      <c r="M2263" s="29"/>
      <c r="N2263" s="29"/>
      <c r="O2263" s="29"/>
      <c r="P2263" s="29"/>
      <c r="Q2263" s="29"/>
      <c r="R2263" s="29"/>
      <c r="S2263" s="29"/>
      <c r="T2263" s="29"/>
    </row>
    <row r="2264" spans="1:20" ht="15.75" customHeight="1" x14ac:dyDescent="0.25">
      <c r="A2264" s="29"/>
      <c r="B2264" s="29"/>
      <c r="C2264" s="29"/>
      <c r="D2264" s="29"/>
      <c r="E2264" s="29"/>
      <c r="F2264" s="29"/>
      <c r="G2264" s="29"/>
      <c r="H2264" s="29"/>
      <c r="I2264" s="29"/>
      <c r="J2264" s="29"/>
      <c r="K2264" s="29"/>
      <c r="L2264" s="29"/>
      <c r="M2264" s="29"/>
      <c r="N2264" s="29"/>
      <c r="O2264" s="29"/>
      <c r="P2264" s="29"/>
      <c r="Q2264" s="29"/>
      <c r="R2264" s="29"/>
      <c r="S2264" s="29"/>
      <c r="T2264" s="29"/>
    </row>
    <row r="2265" spans="1:20" ht="15.75" customHeight="1" x14ac:dyDescent="0.25">
      <c r="A2265" s="29"/>
      <c r="B2265" s="29"/>
      <c r="C2265" s="29"/>
      <c r="D2265" s="29"/>
      <c r="E2265" s="29"/>
      <c r="F2265" s="29"/>
      <c r="G2265" s="29"/>
      <c r="H2265" s="29"/>
      <c r="I2265" s="29"/>
      <c r="J2265" s="29"/>
      <c r="K2265" s="29"/>
      <c r="L2265" s="29"/>
      <c r="M2265" s="29"/>
      <c r="N2265" s="29"/>
      <c r="O2265" s="29"/>
      <c r="P2265" s="29"/>
      <c r="Q2265" s="29"/>
      <c r="R2265" s="29"/>
      <c r="S2265" s="29"/>
      <c r="T2265" s="29"/>
    </row>
    <row r="2266" spans="1:20" ht="15.75" customHeight="1" x14ac:dyDescent="0.25">
      <c r="A2266" s="29"/>
      <c r="B2266" s="29"/>
      <c r="C2266" s="29"/>
      <c r="D2266" s="29"/>
      <c r="E2266" s="29"/>
      <c r="F2266" s="29"/>
      <c r="G2266" s="29"/>
      <c r="H2266" s="29"/>
      <c r="I2266" s="29"/>
      <c r="J2266" s="29"/>
      <c r="K2266" s="29"/>
      <c r="L2266" s="29"/>
      <c r="M2266" s="29"/>
      <c r="N2266" s="29"/>
      <c r="O2266" s="29"/>
      <c r="P2266" s="29"/>
      <c r="Q2266" s="29"/>
      <c r="R2266" s="29"/>
      <c r="S2266" s="29"/>
      <c r="T2266" s="29"/>
    </row>
    <row r="2267" spans="1:20" ht="15.75" customHeight="1" x14ac:dyDescent="0.25">
      <c r="A2267" s="29"/>
      <c r="B2267" s="29"/>
      <c r="C2267" s="29"/>
      <c r="D2267" s="29"/>
      <c r="E2267" s="29"/>
      <c r="F2267" s="29"/>
      <c r="G2267" s="29"/>
      <c r="H2267" s="29"/>
      <c r="I2267" s="29"/>
      <c r="J2267" s="29"/>
      <c r="K2267" s="29"/>
      <c r="L2267" s="29"/>
      <c r="M2267" s="29"/>
      <c r="N2267" s="29"/>
      <c r="O2267" s="29"/>
      <c r="P2267" s="29"/>
      <c r="Q2267" s="29"/>
      <c r="R2267" s="29"/>
      <c r="S2267" s="29"/>
      <c r="T2267" s="29"/>
    </row>
    <row r="2268" spans="1:20" ht="15.75" customHeight="1" x14ac:dyDescent="0.25">
      <c r="A2268" s="29"/>
      <c r="B2268" s="29"/>
      <c r="C2268" s="29"/>
      <c r="D2268" s="29"/>
      <c r="E2268" s="29"/>
      <c r="F2268" s="29"/>
      <c r="G2268" s="29"/>
      <c r="H2268" s="29"/>
      <c r="I2268" s="29"/>
      <c r="J2268" s="29"/>
      <c r="K2268" s="29"/>
      <c r="L2268" s="29"/>
      <c r="M2268" s="29"/>
      <c r="N2268" s="29"/>
      <c r="O2268" s="29"/>
      <c r="P2268" s="29"/>
      <c r="Q2268" s="29"/>
      <c r="R2268" s="29"/>
      <c r="S2268" s="29"/>
      <c r="T2268" s="29"/>
    </row>
    <row r="2269" spans="1:20" ht="15.75" customHeight="1" x14ac:dyDescent="0.25">
      <c r="A2269" s="29"/>
      <c r="B2269" s="29"/>
      <c r="C2269" s="29"/>
      <c r="D2269" s="29"/>
      <c r="E2269" s="29"/>
      <c r="F2269" s="29"/>
      <c r="G2269" s="29"/>
      <c r="H2269" s="29"/>
      <c r="I2269" s="29"/>
      <c r="J2269" s="29"/>
      <c r="K2269" s="29"/>
      <c r="L2269" s="29"/>
      <c r="M2269" s="29"/>
      <c r="N2269" s="29"/>
      <c r="O2269" s="29"/>
      <c r="P2269" s="29"/>
      <c r="Q2269" s="29"/>
      <c r="R2269" s="29"/>
      <c r="S2269" s="29"/>
      <c r="T2269" s="29"/>
    </row>
    <row r="2270" spans="1:20" ht="15.75" customHeight="1" x14ac:dyDescent="0.25">
      <c r="A2270" s="29"/>
      <c r="B2270" s="29"/>
      <c r="C2270" s="29"/>
      <c r="D2270" s="29"/>
      <c r="E2270" s="29"/>
      <c r="F2270" s="29"/>
      <c r="G2270" s="29"/>
      <c r="H2270" s="29"/>
      <c r="I2270" s="29"/>
      <c r="J2270" s="29"/>
      <c r="K2270" s="29"/>
      <c r="L2270" s="29"/>
      <c r="M2270" s="29"/>
      <c r="N2270" s="29"/>
      <c r="O2270" s="29"/>
      <c r="P2270" s="29"/>
      <c r="Q2270" s="29"/>
      <c r="R2270" s="29"/>
      <c r="S2270" s="29"/>
      <c r="T2270" s="29"/>
    </row>
    <row r="2271" spans="1:20" ht="15.75" customHeight="1" x14ac:dyDescent="0.25">
      <c r="A2271" s="29"/>
      <c r="B2271" s="29"/>
      <c r="C2271" s="29"/>
      <c r="D2271" s="29"/>
      <c r="E2271" s="29"/>
      <c r="F2271" s="29"/>
      <c r="G2271" s="29"/>
      <c r="H2271" s="29"/>
      <c r="I2271" s="29"/>
      <c r="J2271" s="29"/>
      <c r="K2271" s="29"/>
      <c r="L2271" s="29"/>
      <c r="M2271" s="29"/>
      <c r="N2271" s="29"/>
      <c r="O2271" s="29"/>
      <c r="P2271" s="29"/>
      <c r="Q2271" s="29"/>
      <c r="R2271" s="29"/>
      <c r="S2271" s="29"/>
      <c r="T2271" s="29"/>
    </row>
    <row r="2272" spans="1:20" ht="15.75" customHeight="1" x14ac:dyDescent="0.25">
      <c r="A2272" s="29"/>
      <c r="B2272" s="29"/>
      <c r="C2272" s="29"/>
      <c r="D2272" s="29"/>
      <c r="E2272" s="29"/>
      <c r="F2272" s="29"/>
      <c r="G2272" s="29"/>
      <c r="H2272" s="29"/>
      <c r="I2272" s="29"/>
      <c r="J2272" s="29"/>
      <c r="K2272" s="29"/>
      <c r="L2272" s="29"/>
      <c r="M2272" s="29"/>
      <c r="N2272" s="29"/>
      <c r="O2272" s="29"/>
      <c r="P2272" s="29"/>
      <c r="Q2272" s="29"/>
      <c r="R2272" s="29"/>
      <c r="S2272" s="29"/>
      <c r="T2272" s="29"/>
    </row>
    <row r="2273" spans="1:20" ht="15.75" customHeight="1" x14ac:dyDescent="0.25">
      <c r="A2273" s="29"/>
      <c r="B2273" s="29"/>
      <c r="C2273" s="29"/>
      <c r="D2273" s="29"/>
      <c r="E2273" s="29"/>
      <c r="F2273" s="29"/>
      <c r="G2273" s="29"/>
      <c r="H2273" s="29"/>
      <c r="I2273" s="29"/>
      <c r="J2273" s="29"/>
      <c r="K2273" s="29"/>
      <c r="L2273" s="29"/>
      <c r="M2273" s="29"/>
      <c r="N2273" s="29"/>
      <c r="O2273" s="29"/>
      <c r="P2273" s="29"/>
      <c r="Q2273" s="29"/>
      <c r="R2273" s="29"/>
      <c r="S2273" s="29"/>
      <c r="T2273" s="29"/>
    </row>
    <row r="2274" spans="1:20" ht="15.75" customHeight="1" x14ac:dyDescent="0.25">
      <c r="A2274" s="29"/>
      <c r="B2274" s="29"/>
      <c r="C2274" s="29"/>
      <c r="D2274" s="29"/>
      <c r="E2274" s="29"/>
      <c r="F2274" s="29"/>
      <c r="G2274" s="29"/>
      <c r="H2274" s="29"/>
      <c r="I2274" s="29"/>
      <c r="J2274" s="29"/>
      <c r="K2274" s="29"/>
      <c r="L2274" s="29"/>
      <c r="M2274" s="29"/>
      <c r="N2274" s="29"/>
      <c r="O2274" s="29"/>
      <c r="P2274" s="29"/>
      <c r="Q2274" s="29"/>
      <c r="R2274" s="29"/>
      <c r="S2274" s="29"/>
      <c r="T2274" s="29"/>
    </row>
    <row r="2275" spans="1:20" ht="15.75" customHeight="1" x14ac:dyDescent="0.25">
      <c r="A2275" s="29"/>
      <c r="B2275" s="29"/>
      <c r="C2275" s="29"/>
      <c r="D2275" s="29"/>
      <c r="E2275" s="29"/>
      <c r="F2275" s="29"/>
      <c r="G2275" s="29"/>
      <c r="H2275" s="29"/>
      <c r="I2275" s="29"/>
      <c r="J2275" s="29"/>
      <c r="K2275" s="29"/>
      <c r="L2275" s="29"/>
      <c r="M2275" s="29"/>
      <c r="N2275" s="29"/>
      <c r="O2275" s="29"/>
      <c r="P2275" s="29"/>
      <c r="Q2275" s="29"/>
      <c r="R2275" s="29"/>
      <c r="S2275" s="29"/>
      <c r="T2275" s="29"/>
    </row>
    <row r="2276" spans="1:20" ht="15.75" customHeight="1" x14ac:dyDescent="0.25">
      <c r="A2276" s="29"/>
      <c r="B2276" s="29"/>
      <c r="C2276" s="29"/>
      <c r="D2276" s="29"/>
      <c r="E2276" s="29"/>
      <c r="F2276" s="29"/>
      <c r="G2276" s="29"/>
      <c r="H2276" s="29"/>
      <c r="I2276" s="29"/>
      <c r="J2276" s="29"/>
      <c r="K2276" s="29"/>
      <c r="L2276" s="29"/>
      <c r="M2276" s="29"/>
      <c r="N2276" s="29"/>
      <c r="O2276" s="29"/>
      <c r="P2276" s="29"/>
      <c r="Q2276" s="29"/>
      <c r="R2276" s="29"/>
      <c r="S2276" s="29"/>
      <c r="T2276" s="29"/>
    </row>
    <row r="2277" spans="1:20" ht="15.75" customHeight="1" x14ac:dyDescent="0.25">
      <c r="A2277" s="29"/>
      <c r="B2277" s="29"/>
      <c r="C2277" s="29"/>
      <c r="D2277" s="29"/>
      <c r="E2277" s="29"/>
      <c r="F2277" s="29"/>
      <c r="G2277" s="29"/>
      <c r="H2277" s="29"/>
      <c r="I2277" s="29"/>
      <c r="J2277" s="29"/>
      <c r="K2277" s="29"/>
      <c r="L2277" s="29"/>
      <c r="M2277" s="29"/>
      <c r="N2277" s="29"/>
      <c r="O2277" s="29"/>
      <c r="P2277" s="29"/>
      <c r="Q2277" s="29"/>
      <c r="R2277" s="29"/>
      <c r="S2277" s="29"/>
      <c r="T2277" s="29"/>
    </row>
    <row r="2278" spans="1:20" ht="15.75" customHeight="1" x14ac:dyDescent="0.25">
      <c r="A2278" s="29"/>
      <c r="B2278" s="29"/>
      <c r="C2278" s="29"/>
      <c r="D2278" s="29"/>
      <c r="E2278" s="29"/>
      <c r="F2278" s="29"/>
      <c r="G2278" s="29"/>
      <c r="H2278" s="29"/>
      <c r="I2278" s="29"/>
      <c r="J2278" s="29"/>
      <c r="K2278" s="29"/>
      <c r="L2278" s="29"/>
      <c r="M2278" s="29"/>
      <c r="N2278" s="29"/>
      <c r="O2278" s="29"/>
      <c r="P2278" s="29"/>
      <c r="Q2278" s="29"/>
      <c r="R2278" s="29"/>
      <c r="S2278" s="29"/>
      <c r="T2278" s="29"/>
    </row>
    <row r="2279" spans="1:20" ht="15.75" customHeight="1" x14ac:dyDescent="0.25">
      <c r="A2279" s="29"/>
      <c r="B2279" s="29"/>
      <c r="C2279" s="29"/>
      <c r="D2279" s="29"/>
      <c r="E2279" s="29"/>
      <c r="F2279" s="29"/>
      <c r="G2279" s="29"/>
      <c r="H2279" s="29"/>
      <c r="I2279" s="29"/>
      <c r="J2279" s="29"/>
      <c r="K2279" s="29"/>
      <c r="L2279" s="29"/>
      <c r="M2279" s="29"/>
      <c r="N2279" s="29"/>
      <c r="O2279" s="29"/>
      <c r="P2279" s="29"/>
      <c r="Q2279" s="29"/>
      <c r="R2279" s="29"/>
      <c r="S2279" s="29"/>
      <c r="T2279" s="29"/>
    </row>
    <row r="2280" spans="1:20" ht="15.75" customHeight="1" x14ac:dyDescent="0.25">
      <c r="A2280" s="29"/>
      <c r="B2280" s="29"/>
      <c r="C2280" s="29"/>
      <c r="D2280" s="29"/>
      <c r="E2280" s="29"/>
      <c r="F2280" s="29"/>
      <c r="G2280" s="29"/>
      <c r="H2280" s="29"/>
      <c r="I2280" s="29"/>
      <c r="J2280" s="29"/>
      <c r="K2280" s="29"/>
      <c r="L2280" s="29"/>
      <c r="M2280" s="29"/>
      <c r="N2280" s="29"/>
      <c r="O2280" s="29"/>
      <c r="P2280" s="29"/>
      <c r="Q2280" s="29"/>
      <c r="R2280" s="29"/>
      <c r="S2280" s="29"/>
      <c r="T2280" s="29"/>
    </row>
    <row r="2281" spans="1:20" ht="15.75" customHeight="1" x14ac:dyDescent="0.25">
      <c r="A2281" s="29"/>
      <c r="B2281" s="29"/>
      <c r="C2281" s="29"/>
      <c r="D2281" s="29"/>
      <c r="E2281" s="29"/>
      <c r="F2281" s="29"/>
      <c r="G2281" s="29"/>
      <c r="H2281" s="29"/>
      <c r="I2281" s="29"/>
      <c r="J2281" s="29"/>
      <c r="K2281" s="29"/>
      <c r="L2281" s="29"/>
      <c r="M2281" s="29"/>
      <c r="N2281" s="29"/>
      <c r="O2281" s="29"/>
      <c r="P2281" s="29"/>
      <c r="Q2281" s="29"/>
      <c r="R2281" s="29"/>
      <c r="S2281" s="29"/>
      <c r="T2281" s="29"/>
    </row>
    <row r="2282" spans="1:20" ht="15.75" customHeight="1" x14ac:dyDescent="0.25">
      <c r="A2282" s="29"/>
      <c r="B2282" s="29"/>
      <c r="C2282" s="29"/>
      <c r="D2282" s="29"/>
      <c r="E2282" s="29"/>
      <c r="F2282" s="29"/>
      <c r="G2282" s="29"/>
      <c r="H2282" s="29"/>
      <c r="I2282" s="29"/>
      <c r="J2282" s="29"/>
      <c r="K2282" s="29"/>
      <c r="L2282" s="29"/>
      <c r="M2282" s="29"/>
      <c r="N2282" s="29"/>
      <c r="O2282" s="29"/>
      <c r="P2282" s="29"/>
      <c r="Q2282" s="29"/>
      <c r="R2282" s="29"/>
      <c r="S2282" s="29"/>
      <c r="T2282" s="29"/>
    </row>
    <row r="2283" spans="1:20" ht="15.75" customHeight="1" x14ac:dyDescent="0.25">
      <c r="A2283" s="29"/>
      <c r="B2283" s="29"/>
      <c r="C2283" s="29"/>
      <c r="D2283" s="29"/>
      <c r="E2283" s="29"/>
      <c r="F2283" s="29"/>
      <c r="G2283" s="29"/>
      <c r="H2283" s="29"/>
      <c r="I2283" s="29"/>
      <c r="J2283" s="29"/>
      <c r="K2283" s="29"/>
      <c r="L2283" s="29"/>
      <c r="M2283" s="29"/>
      <c r="N2283" s="29"/>
      <c r="O2283" s="29"/>
      <c r="P2283" s="29"/>
      <c r="Q2283" s="29"/>
      <c r="R2283" s="29"/>
      <c r="S2283" s="29"/>
      <c r="T2283" s="29"/>
    </row>
    <row r="2284" spans="1:20" ht="15.75" customHeight="1" x14ac:dyDescent="0.25">
      <c r="A2284" s="29"/>
      <c r="B2284" s="29"/>
      <c r="C2284" s="29"/>
      <c r="D2284" s="29"/>
      <c r="E2284" s="29"/>
      <c r="F2284" s="29"/>
      <c r="G2284" s="29"/>
      <c r="H2284" s="29"/>
      <c r="I2284" s="29"/>
      <c r="J2284" s="29"/>
      <c r="K2284" s="29"/>
      <c r="L2284" s="29"/>
      <c r="M2284" s="29"/>
      <c r="N2284" s="29"/>
      <c r="O2284" s="29"/>
      <c r="P2284" s="29"/>
      <c r="Q2284" s="29"/>
      <c r="R2284" s="29"/>
      <c r="S2284" s="29"/>
      <c r="T2284" s="29"/>
    </row>
    <row r="2285" spans="1:20" ht="15.75" customHeight="1" x14ac:dyDescent="0.25">
      <c r="A2285" s="29"/>
      <c r="B2285" s="29"/>
      <c r="C2285" s="29"/>
      <c r="D2285" s="29"/>
      <c r="E2285" s="29"/>
      <c r="F2285" s="29"/>
      <c r="G2285" s="29"/>
      <c r="H2285" s="29"/>
      <c r="I2285" s="29"/>
      <c r="J2285" s="29"/>
      <c r="K2285" s="29"/>
      <c r="L2285" s="29"/>
      <c r="M2285" s="29"/>
      <c r="N2285" s="29"/>
      <c r="O2285" s="29"/>
      <c r="P2285" s="29"/>
      <c r="Q2285" s="29"/>
      <c r="R2285" s="29"/>
      <c r="S2285" s="29"/>
      <c r="T2285" s="29"/>
    </row>
    <row r="2286" spans="1:20" ht="15.75" customHeight="1" x14ac:dyDescent="0.25">
      <c r="A2286" s="29"/>
      <c r="B2286" s="29"/>
      <c r="C2286" s="29"/>
      <c r="D2286" s="29"/>
      <c r="E2286" s="29"/>
      <c r="F2286" s="29"/>
      <c r="G2286" s="29"/>
      <c r="H2286" s="29"/>
      <c r="I2286" s="29"/>
      <c r="J2286" s="29"/>
      <c r="K2286" s="29"/>
      <c r="L2286" s="29"/>
      <c r="M2286" s="29"/>
      <c r="N2286" s="29"/>
      <c r="O2286" s="29"/>
      <c r="P2286" s="29"/>
      <c r="Q2286" s="29"/>
      <c r="R2286" s="29"/>
      <c r="S2286" s="29"/>
      <c r="T2286" s="29"/>
    </row>
    <row r="2287" spans="1:20" ht="15.75" customHeight="1" x14ac:dyDescent="0.25">
      <c r="A2287" s="29"/>
      <c r="B2287" s="29"/>
      <c r="C2287" s="29"/>
      <c r="D2287" s="29"/>
      <c r="E2287" s="29"/>
      <c r="F2287" s="29"/>
      <c r="G2287" s="29"/>
      <c r="H2287" s="29"/>
      <c r="I2287" s="29"/>
      <c r="J2287" s="29"/>
      <c r="K2287" s="29"/>
      <c r="L2287" s="29"/>
      <c r="M2287" s="29"/>
      <c r="N2287" s="29"/>
      <c r="O2287" s="29"/>
      <c r="P2287" s="29"/>
      <c r="Q2287" s="29"/>
      <c r="R2287" s="29"/>
      <c r="S2287" s="29"/>
      <c r="T2287" s="29"/>
    </row>
    <row r="2288" spans="1:20" ht="15.75" customHeight="1" x14ac:dyDescent="0.25">
      <c r="A2288" s="29"/>
      <c r="B2288" s="29"/>
      <c r="C2288" s="29"/>
      <c r="D2288" s="29"/>
      <c r="E2288" s="29"/>
      <c r="F2288" s="29"/>
      <c r="G2288" s="29"/>
      <c r="H2288" s="29"/>
      <c r="I2288" s="29"/>
      <c r="J2288" s="29"/>
      <c r="K2288" s="29"/>
      <c r="L2288" s="29"/>
      <c r="M2288" s="29"/>
      <c r="N2288" s="29"/>
      <c r="O2288" s="29"/>
      <c r="P2288" s="29"/>
      <c r="Q2288" s="29"/>
      <c r="R2288" s="29"/>
      <c r="S2288" s="29"/>
      <c r="T2288" s="29"/>
    </row>
    <row r="2289" spans="1:20" ht="15.75" customHeight="1" x14ac:dyDescent="0.25">
      <c r="A2289" s="29"/>
      <c r="B2289" s="29"/>
      <c r="C2289" s="29"/>
      <c r="D2289" s="29"/>
      <c r="E2289" s="29"/>
      <c r="F2289" s="29"/>
      <c r="G2289" s="29"/>
      <c r="H2289" s="29"/>
      <c r="I2289" s="29"/>
      <c r="J2289" s="29"/>
      <c r="K2289" s="29"/>
      <c r="L2289" s="29"/>
      <c r="M2289" s="29"/>
      <c r="N2289" s="29"/>
      <c r="O2289" s="29"/>
      <c r="P2289" s="29"/>
      <c r="Q2289" s="29"/>
      <c r="R2289" s="29"/>
      <c r="S2289" s="29"/>
      <c r="T2289" s="29"/>
    </row>
    <row r="2290" spans="1:20" ht="15.75" customHeight="1" x14ac:dyDescent="0.25">
      <c r="A2290" s="29"/>
      <c r="B2290" s="29"/>
      <c r="C2290" s="29"/>
      <c r="D2290" s="29"/>
      <c r="E2290" s="29"/>
      <c r="F2290" s="29"/>
      <c r="G2290" s="29"/>
      <c r="H2290" s="29"/>
      <c r="I2290" s="29"/>
      <c r="J2290" s="29"/>
      <c r="K2290" s="29"/>
      <c r="L2290" s="29"/>
      <c r="M2290" s="29"/>
      <c r="N2290" s="29"/>
      <c r="O2290" s="29"/>
      <c r="P2290" s="29"/>
      <c r="Q2290" s="29"/>
      <c r="R2290" s="29"/>
      <c r="S2290" s="29"/>
      <c r="T2290" s="29"/>
    </row>
    <row r="2291" spans="1:20" ht="15.75" customHeight="1" x14ac:dyDescent="0.25">
      <c r="A2291" s="29"/>
      <c r="B2291" s="29"/>
      <c r="C2291" s="29"/>
      <c r="D2291" s="29"/>
      <c r="E2291" s="29"/>
      <c r="F2291" s="29"/>
      <c r="G2291" s="29"/>
      <c r="H2291" s="29"/>
      <c r="I2291" s="29"/>
      <c r="J2291" s="29"/>
      <c r="K2291" s="29"/>
      <c r="L2291" s="29"/>
      <c r="M2291" s="29"/>
      <c r="N2291" s="29"/>
      <c r="O2291" s="29"/>
      <c r="P2291" s="29"/>
      <c r="Q2291" s="29"/>
      <c r="R2291" s="29"/>
      <c r="S2291" s="29"/>
      <c r="T2291" s="29"/>
    </row>
    <row r="2292" spans="1:20" ht="15.75" customHeight="1" x14ac:dyDescent="0.25">
      <c r="A2292" s="29"/>
      <c r="B2292" s="29"/>
      <c r="C2292" s="29"/>
      <c r="D2292" s="29"/>
      <c r="E2292" s="29"/>
      <c r="F2292" s="29"/>
      <c r="G2292" s="29"/>
      <c r="H2292" s="29"/>
      <c r="I2292" s="29"/>
      <c r="J2292" s="29"/>
      <c r="K2292" s="29"/>
      <c r="L2292" s="29"/>
      <c r="M2292" s="29"/>
      <c r="N2292" s="29"/>
      <c r="O2292" s="29"/>
      <c r="P2292" s="29"/>
      <c r="Q2292" s="29"/>
      <c r="R2292" s="29"/>
      <c r="S2292" s="29"/>
      <c r="T2292" s="29"/>
    </row>
    <row r="2293" spans="1:20" ht="15.75" customHeight="1" x14ac:dyDescent="0.25">
      <c r="A2293" s="29"/>
      <c r="B2293" s="29"/>
      <c r="C2293" s="29"/>
      <c r="D2293" s="29"/>
      <c r="E2293" s="29"/>
      <c r="F2293" s="29"/>
      <c r="G2293" s="29"/>
      <c r="H2293" s="29"/>
      <c r="I2293" s="29"/>
      <c r="J2293" s="29"/>
      <c r="K2293" s="29"/>
      <c r="L2293" s="29"/>
      <c r="M2293" s="29"/>
      <c r="N2293" s="29"/>
      <c r="O2293" s="29"/>
      <c r="P2293" s="29"/>
      <c r="Q2293" s="29"/>
      <c r="R2293" s="29"/>
      <c r="S2293" s="29"/>
      <c r="T2293" s="29"/>
    </row>
    <row r="2294" spans="1:20" ht="15.75" customHeight="1" x14ac:dyDescent="0.25">
      <c r="A2294" s="29"/>
      <c r="B2294" s="29"/>
      <c r="C2294" s="29"/>
      <c r="D2294" s="29"/>
      <c r="E2294" s="29"/>
      <c r="F2294" s="29"/>
      <c r="G2294" s="29"/>
      <c r="H2294" s="29"/>
      <c r="I2294" s="29"/>
      <c r="J2294" s="29"/>
      <c r="K2294" s="29"/>
      <c r="L2294" s="29"/>
      <c r="M2294" s="29"/>
      <c r="N2294" s="29"/>
      <c r="O2294" s="29"/>
      <c r="P2294" s="29"/>
      <c r="Q2294" s="29"/>
      <c r="R2294" s="29"/>
      <c r="S2294" s="29"/>
      <c r="T2294" s="29"/>
    </row>
    <row r="2295" spans="1:20" ht="15.75" customHeight="1" x14ac:dyDescent="0.25">
      <c r="A2295" s="29"/>
      <c r="B2295" s="29"/>
      <c r="C2295" s="29"/>
      <c r="D2295" s="29"/>
      <c r="E2295" s="29"/>
      <c r="F2295" s="29"/>
      <c r="G2295" s="29"/>
      <c r="H2295" s="29"/>
      <c r="I2295" s="29"/>
      <c r="J2295" s="29"/>
      <c r="K2295" s="29"/>
      <c r="L2295" s="29"/>
      <c r="M2295" s="29"/>
      <c r="N2295" s="29"/>
      <c r="O2295" s="29"/>
      <c r="P2295" s="29"/>
      <c r="Q2295" s="29"/>
      <c r="R2295" s="29"/>
      <c r="S2295" s="29"/>
      <c r="T2295" s="29"/>
    </row>
    <row r="2296" spans="1:20" ht="15.75" customHeight="1" x14ac:dyDescent="0.25">
      <c r="A2296" s="29"/>
      <c r="B2296" s="29"/>
      <c r="C2296" s="29"/>
      <c r="D2296" s="29"/>
      <c r="E2296" s="29"/>
      <c r="F2296" s="29"/>
      <c r="G2296" s="29"/>
      <c r="H2296" s="29"/>
      <c r="I2296" s="29"/>
      <c r="J2296" s="29"/>
      <c r="K2296" s="29"/>
      <c r="L2296" s="29"/>
      <c r="M2296" s="29"/>
      <c r="N2296" s="29"/>
      <c r="O2296" s="29"/>
      <c r="P2296" s="29"/>
      <c r="Q2296" s="29"/>
      <c r="R2296" s="29"/>
      <c r="S2296" s="29"/>
      <c r="T2296" s="29"/>
    </row>
    <row r="2297" spans="1:20" ht="15.75" customHeight="1" x14ac:dyDescent="0.25">
      <c r="A2297" s="29"/>
      <c r="B2297" s="29"/>
      <c r="C2297" s="29"/>
      <c r="D2297" s="29"/>
      <c r="E2297" s="29"/>
      <c r="F2297" s="29"/>
      <c r="G2297" s="29"/>
      <c r="H2297" s="29"/>
      <c r="I2297" s="29"/>
      <c r="J2297" s="29"/>
      <c r="K2297" s="29"/>
      <c r="L2297" s="29"/>
      <c r="M2297" s="29"/>
      <c r="N2297" s="29"/>
      <c r="O2297" s="29"/>
      <c r="P2297" s="29"/>
      <c r="Q2297" s="29"/>
      <c r="R2297" s="29"/>
      <c r="S2297" s="29"/>
      <c r="T2297" s="29"/>
    </row>
    <row r="2298" spans="1:20" ht="15.75" customHeight="1" x14ac:dyDescent="0.25">
      <c r="A2298" s="29"/>
      <c r="B2298" s="29"/>
      <c r="C2298" s="29"/>
      <c r="D2298" s="29"/>
      <c r="E2298" s="29"/>
      <c r="F2298" s="29"/>
      <c r="G2298" s="29"/>
      <c r="H2298" s="29"/>
      <c r="I2298" s="29"/>
      <c r="J2298" s="29"/>
      <c r="K2298" s="29"/>
      <c r="L2298" s="29"/>
      <c r="M2298" s="29"/>
      <c r="N2298" s="29"/>
      <c r="O2298" s="29"/>
      <c r="P2298" s="29"/>
      <c r="Q2298" s="29"/>
      <c r="R2298" s="29"/>
      <c r="S2298" s="29"/>
      <c r="T2298" s="29"/>
    </row>
    <row r="2299" spans="1:20" ht="15.75" customHeight="1" x14ac:dyDescent="0.25">
      <c r="A2299" s="29"/>
      <c r="B2299" s="29"/>
      <c r="C2299" s="29"/>
      <c r="D2299" s="29"/>
      <c r="E2299" s="29"/>
      <c r="F2299" s="29"/>
      <c r="G2299" s="29"/>
      <c r="H2299" s="29"/>
      <c r="I2299" s="29"/>
      <c r="J2299" s="29"/>
      <c r="K2299" s="29"/>
      <c r="L2299" s="29"/>
      <c r="M2299" s="29"/>
      <c r="N2299" s="29"/>
      <c r="O2299" s="29"/>
      <c r="P2299" s="29"/>
      <c r="Q2299" s="29"/>
      <c r="R2299" s="29"/>
      <c r="S2299" s="29"/>
      <c r="T2299" s="29"/>
    </row>
    <row r="2300" spans="1:20" ht="15.75" customHeight="1" x14ac:dyDescent="0.25">
      <c r="A2300" s="29"/>
      <c r="B2300" s="29"/>
      <c r="C2300" s="29"/>
      <c r="D2300" s="29"/>
      <c r="E2300" s="29"/>
      <c r="F2300" s="29"/>
      <c r="G2300" s="29"/>
      <c r="H2300" s="29"/>
      <c r="I2300" s="29"/>
      <c r="J2300" s="29"/>
      <c r="K2300" s="29"/>
      <c r="L2300" s="29"/>
      <c r="M2300" s="29"/>
      <c r="N2300" s="29"/>
      <c r="O2300" s="29"/>
      <c r="P2300" s="29"/>
      <c r="Q2300" s="29"/>
      <c r="R2300" s="29"/>
      <c r="S2300" s="29"/>
      <c r="T2300" s="29"/>
    </row>
    <row r="2301" spans="1:20" ht="15.75" customHeight="1" x14ac:dyDescent="0.25">
      <c r="A2301" s="29"/>
      <c r="B2301" s="29"/>
      <c r="C2301" s="29"/>
      <c r="D2301" s="29"/>
      <c r="E2301" s="29"/>
      <c r="F2301" s="29"/>
      <c r="G2301" s="29"/>
      <c r="H2301" s="29"/>
      <c r="I2301" s="29"/>
      <c r="J2301" s="29"/>
      <c r="K2301" s="29"/>
      <c r="L2301" s="29"/>
      <c r="M2301" s="29"/>
      <c r="N2301" s="29"/>
      <c r="O2301" s="29"/>
      <c r="P2301" s="29"/>
      <c r="Q2301" s="29"/>
      <c r="R2301" s="29"/>
      <c r="S2301" s="29"/>
      <c r="T2301" s="29"/>
    </row>
    <row r="2302" spans="1:20" ht="15.75" customHeight="1" x14ac:dyDescent="0.25">
      <c r="A2302" s="29"/>
      <c r="B2302" s="29"/>
      <c r="C2302" s="29"/>
      <c r="D2302" s="29"/>
      <c r="E2302" s="29"/>
      <c r="F2302" s="29"/>
      <c r="G2302" s="29"/>
      <c r="H2302" s="29"/>
      <c r="I2302" s="29"/>
      <c r="J2302" s="29"/>
      <c r="K2302" s="29"/>
      <c r="L2302" s="29"/>
      <c r="M2302" s="29"/>
      <c r="N2302" s="29"/>
      <c r="O2302" s="29"/>
      <c r="P2302" s="29"/>
      <c r="Q2302" s="29"/>
      <c r="R2302" s="29"/>
      <c r="S2302" s="29"/>
      <c r="T2302" s="29"/>
    </row>
    <row r="2303" spans="1:20" ht="15.75" customHeight="1" x14ac:dyDescent="0.25">
      <c r="A2303" s="29"/>
      <c r="B2303" s="29"/>
      <c r="C2303" s="29"/>
      <c r="D2303" s="29"/>
      <c r="E2303" s="29"/>
      <c r="F2303" s="29"/>
      <c r="G2303" s="29"/>
      <c r="H2303" s="29"/>
      <c r="I2303" s="29"/>
      <c r="J2303" s="29"/>
      <c r="K2303" s="29"/>
      <c r="L2303" s="29"/>
      <c r="M2303" s="29"/>
      <c r="N2303" s="29"/>
      <c r="O2303" s="29"/>
      <c r="P2303" s="29"/>
      <c r="Q2303" s="29"/>
      <c r="R2303" s="29"/>
      <c r="S2303" s="29"/>
      <c r="T2303" s="29"/>
    </row>
    <row r="2304" spans="1:20" ht="15.75" customHeight="1" x14ac:dyDescent="0.25">
      <c r="A2304" s="29"/>
      <c r="B2304" s="29"/>
      <c r="C2304" s="29"/>
      <c r="D2304" s="29"/>
      <c r="E2304" s="29"/>
      <c r="F2304" s="29"/>
      <c r="G2304" s="29"/>
      <c r="H2304" s="29"/>
      <c r="I2304" s="29"/>
      <c r="J2304" s="29"/>
      <c r="K2304" s="29"/>
      <c r="L2304" s="29"/>
      <c r="M2304" s="29"/>
      <c r="N2304" s="29"/>
      <c r="O2304" s="29"/>
      <c r="P2304" s="29"/>
      <c r="Q2304" s="29"/>
      <c r="R2304" s="29"/>
      <c r="S2304" s="29"/>
      <c r="T2304" s="29"/>
    </row>
    <row r="2305" spans="1:20" ht="15.75" customHeight="1" x14ac:dyDescent="0.25">
      <c r="A2305" s="29"/>
      <c r="B2305" s="29"/>
      <c r="C2305" s="29"/>
      <c r="D2305" s="29"/>
      <c r="E2305" s="29"/>
      <c r="F2305" s="29"/>
      <c r="G2305" s="29"/>
      <c r="H2305" s="29"/>
      <c r="I2305" s="29"/>
      <c r="J2305" s="29"/>
      <c r="K2305" s="29"/>
      <c r="L2305" s="29"/>
      <c r="M2305" s="29"/>
      <c r="N2305" s="29"/>
      <c r="O2305" s="29"/>
      <c r="P2305" s="29"/>
      <c r="Q2305" s="29"/>
      <c r="R2305" s="29"/>
      <c r="S2305" s="29"/>
      <c r="T2305" s="29"/>
    </row>
    <row r="2306" spans="1:20" ht="15.75" customHeight="1" x14ac:dyDescent="0.25">
      <c r="A2306" s="29"/>
      <c r="B2306" s="29"/>
      <c r="C2306" s="29"/>
      <c r="D2306" s="29"/>
      <c r="E2306" s="29"/>
      <c r="F2306" s="29"/>
      <c r="G2306" s="29"/>
      <c r="H2306" s="29"/>
      <c r="I2306" s="29"/>
      <c r="J2306" s="29"/>
      <c r="K2306" s="29"/>
      <c r="L2306" s="29"/>
      <c r="M2306" s="29"/>
      <c r="N2306" s="29"/>
      <c r="O2306" s="29"/>
      <c r="P2306" s="29"/>
      <c r="Q2306" s="29"/>
      <c r="R2306" s="29"/>
      <c r="S2306" s="29"/>
      <c r="T2306" s="29"/>
    </row>
    <row r="2307" spans="1:20" ht="15.75" customHeight="1" x14ac:dyDescent="0.25">
      <c r="A2307" s="29"/>
      <c r="B2307" s="29"/>
      <c r="C2307" s="29"/>
      <c r="D2307" s="29"/>
      <c r="E2307" s="29"/>
      <c r="F2307" s="29"/>
      <c r="G2307" s="29"/>
      <c r="H2307" s="29"/>
      <c r="I2307" s="29"/>
      <c r="J2307" s="29"/>
      <c r="K2307" s="29"/>
      <c r="L2307" s="29"/>
      <c r="M2307" s="29"/>
      <c r="N2307" s="29"/>
      <c r="O2307" s="29"/>
      <c r="P2307" s="29"/>
      <c r="Q2307" s="29"/>
      <c r="R2307" s="29"/>
      <c r="S2307" s="29"/>
      <c r="T2307" s="29"/>
    </row>
    <row r="2308" spans="1:20" ht="15.75" customHeight="1" x14ac:dyDescent="0.25">
      <c r="A2308" s="29"/>
      <c r="B2308" s="29"/>
      <c r="C2308" s="29"/>
      <c r="D2308" s="29"/>
      <c r="E2308" s="29"/>
      <c r="F2308" s="29"/>
      <c r="G2308" s="29"/>
      <c r="H2308" s="29"/>
      <c r="I2308" s="29"/>
      <c r="J2308" s="29"/>
      <c r="K2308" s="29"/>
      <c r="L2308" s="29"/>
      <c r="M2308" s="29"/>
      <c r="N2308" s="29"/>
      <c r="O2308" s="29"/>
      <c r="P2308" s="29"/>
      <c r="Q2308" s="29"/>
      <c r="R2308" s="29"/>
      <c r="S2308" s="29"/>
      <c r="T2308" s="29"/>
    </row>
    <row r="2309" spans="1:20" ht="15.75" customHeight="1" x14ac:dyDescent="0.25">
      <c r="A2309" s="29"/>
      <c r="B2309" s="29"/>
      <c r="C2309" s="29"/>
      <c r="D2309" s="29"/>
      <c r="E2309" s="29"/>
      <c r="F2309" s="29"/>
      <c r="G2309" s="29"/>
      <c r="H2309" s="29"/>
      <c r="I2309" s="29"/>
      <c r="J2309" s="29"/>
      <c r="K2309" s="29"/>
      <c r="L2309" s="29"/>
      <c r="M2309" s="29"/>
      <c r="N2309" s="29"/>
      <c r="O2309" s="29"/>
      <c r="P2309" s="29"/>
      <c r="Q2309" s="29"/>
      <c r="R2309" s="29"/>
      <c r="S2309" s="29"/>
      <c r="T2309" s="29"/>
    </row>
    <row r="2310" spans="1:20" ht="15.75" customHeight="1" x14ac:dyDescent="0.25">
      <c r="A2310" s="29"/>
      <c r="B2310" s="29"/>
      <c r="C2310" s="29"/>
      <c r="D2310" s="29"/>
      <c r="E2310" s="29"/>
      <c r="F2310" s="29"/>
      <c r="G2310" s="29"/>
      <c r="H2310" s="29"/>
      <c r="I2310" s="29"/>
      <c r="J2310" s="29"/>
      <c r="K2310" s="29"/>
      <c r="L2310" s="29"/>
      <c r="M2310" s="29"/>
      <c r="N2310" s="29"/>
      <c r="O2310" s="29"/>
      <c r="P2310" s="29"/>
      <c r="Q2310" s="29"/>
      <c r="R2310" s="29"/>
      <c r="S2310" s="29"/>
      <c r="T2310" s="29"/>
    </row>
    <row r="2311" spans="1:20" ht="15.75" customHeight="1" x14ac:dyDescent="0.25">
      <c r="A2311" s="29"/>
      <c r="B2311" s="29"/>
      <c r="C2311" s="29"/>
      <c r="D2311" s="29"/>
      <c r="E2311" s="29"/>
      <c r="F2311" s="29"/>
      <c r="G2311" s="29"/>
      <c r="H2311" s="29"/>
      <c r="I2311" s="29"/>
      <c r="J2311" s="29"/>
      <c r="K2311" s="29"/>
      <c r="L2311" s="29"/>
      <c r="M2311" s="29"/>
      <c r="N2311" s="29"/>
      <c r="O2311" s="29"/>
      <c r="P2311" s="29"/>
      <c r="Q2311" s="29"/>
      <c r="R2311" s="29"/>
      <c r="S2311" s="29"/>
      <c r="T2311" s="29"/>
    </row>
    <row r="2312" spans="1:20" ht="15.75" customHeight="1" x14ac:dyDescent="0.25">
      <c r="A2312" s="29"/>
      <c r="B2312" s="29"/>
      <c r="C2312" s="29"/>
      <c r="D2312" s="29"/>
      <c r="E2312" s="29"/>
      <c r="F2312" s="29"/>
      <c r="G2312" s="29"/>
      <c r="H2312" s="29"/>
      <c r="I2312" s="29"/>
      <c r="J2312" s="29"/>
      <c r="K2312" s="29"/>
      <c r="L2312" s="29"/>
      <c r="M2312" s="29"/>
      <c r="N2312" s="29"/>
      <c r="O2312" s="29"/>
      <c r="P2312" s="29"/>
      <c r="Q2312" s="29"/>
      <c r="R2312" s="29"/>
      <c r="S2312" s="29"/>
      <c r="T2312" s="29"/>
    </row>
    <row r="2313" spans="1:20" ht="15.75" customHeight="1" x14ac:dyDescent="0.25">
      <c r="A2313" s="29"/>
      <c r="B2313" s="29"/>
      <c r="C2313" s="29"/>
      <c r="D2313" s="29"/>
      <c r="E2313" s="29"/>
      <c r="F2313" s="29"/>
      <c r="G2313" s="29"/>
      <c r="H2313" s="29"/>
      <c r="I2313" s="29"/>
      <c r="J2313" s="29"/>
      <c r="K2313" s="29"/>
      <c r="L2313" s="29"/>
      <c r="M2313" s="29"/>
      <c r="N2313" s="29"/>
      <c r="O2313" s="29"/>
      <c r="P2313" s="29"/>
      <c r="Q2313" s="29"/>
      <c r="R2313" s="29"/>
      <c r="S2313" s="29"/>
      <c r="T2313" s="29"/>
    </row>
    <row r="2314" spans="1:20" ht="15.75" customHeight="1" x14ac:dyDescent="0.25">
      <c r="A2314" s="29"/>
      <c r="B2314" s="29"/>
      <c r="C2314" s="29"/>
      <c r="D2314" s="29"/>
      <c r="E2314" s="29"/>
      <c r="F2314" s="29"/>
      <c r="G2314" s="29"/>
      <c r="H2314" s="29"/>
      <c r="I2314" s="29"/>
      <c r="J2314" s="29"/>
      <c r="K2314" s="29"/>
      <c r="L2314" s="29"/>
      <c r="M2314" s="29"/>
      <c r="N2314" s="29"/>
      <c r="O2314" s="29"/>
      <c r="P2314" s="29"/>
      <c r="Q2314" s="29"/>
      <c r="R2314" s="29"/>
      <c r="S2314" s="29"/>
      <c r="T2314" s="29"/>
    </row>
    <row r="2315" spans="1:20" ht="15.75" customHeight="1" x14ac:dyDescent="0.25">
      <c r="A2315" s="29"/>
      <c r="B2315" s="29"/>
      <c r="C2315" s="29"/>
      <c r="D2315" s="29"/>
      <c r="E2315" s="29"/>
      <c r="F2315" s="29"/>
      <c r="G2315" s="29"/>
      <c r="H2315" s="29"/>
      <c r="I2315" s="29"/>
      <c r="J2315" s="29"/>
      <c r="K2315" s="29"/>
      <c r="L2315" s="29"/>
      <c r="M2315" s="29"/>
      <c r="N2315" s="29"/>
      <c r="O2315" s="29"/>
      <c r="P2315" s="29"/>
      <c r="Q2315" s="29"/>
      <c r="R2315" s="29"/>
      <c r="S2315" s="29"/>
      <c r="T2315" s="29"/>
    </row>
    <row r="2316" spans="1:20" ht="15.75" customHeight="1" x14ac:dyDescent="0.25">
      <c r="A2316" s="29"/>
      <c r="B2316" s="29"/>
      <c r="C2316" s="29"/>
      <c r="D2316" s="29"/>
      <c r="E2316" s="29"/>
      <c r="F2316" s="29"/>
      <c r="G2316" s="29"/>
      <c r="H2316" s="29"/>
      <c r="I2316" s="29"/>
      <c r="J2316" s="29"/>
      <c r="K2316" s="29"/>
      <c r="L2316" s="29"/>
      <c r="M2316" s="29"/>
      <c r="N2316" s="29"/>
      <c r="O2316" s="29"/>
      <c r="P2316" s="29"/>
      <c r="Q2316" s="29"/>
      <c r="R2316" s="29"/>
      <c r="S2316" s="29"/>
      <c r="T2316" s="29"/>
    </row>
    <row r="2317" spans="1:20" ht="15.75" customHeight="1" x14ac:dyDescent="0.25">
      <c r="A2317" s="29"/>
      <c r="B2317" s="29"/>
      <c r="C2317" s="29"/>
      <c r="D2317" s="29"/>
      <c r="E2317" s="29"/>
      <c r="F2317" s="29"/>
      <c r="G2317" s="29"/>
      <c r="H2317" s="29"/>
      <c r="I2317" s="29"/>
      <c r="J2317" s="29"/>
      <c r="K2317" s="29"/>
      <c r="L2317" s="29"/>
      <c r="M2317" s="29"/>
      <c r="N2317" s="29"/>
      <c r="O2317" s="29"/>
      <c r="P2317" s="29"/>
      <c r="Q2317" s="29"/>
      <c r="R2317" s="29"/>
      <c r="S2317" s="29"/>
      <c r="T2317" s="29"/>
    </row>
    <row r="2318" spans="1:20" ht="15.75" customHeight="1" x14ac:dyDescent="0.25">
      <c r="A2318" s="29"/>
      <c r="B2318" s="29"/>
      <c r="C2318" s="29"/>
      <c r="D2318" s="29"/>
      <c r="E2318" s="29"/>
      <c r="F2318" s="29"/>
      <c r="G2318" s="29"/>
      <c r="H2318" s="29"/>
      <c r="I2318" s="29"/>
      <c r="J2318" s="29"/>
      <c r="K2318" s="29"/>
      <c r="L2318" s="29"/>
      <c r="M2318" s="29"/>
      <c r="N2318" s="29"/>
      <c r="O2318" s="29"/>
      <c r="P2318" s="29"/>
      <c r="Q2318" s="29"/>
      <c r="R2318" s="29"/>
      <c r="S2318" s="29"/>
      <c r="T2318" s="29"/>
    </row>
    <row r="2319" spans="1:20" ht="15.75" customHeight="1" x14ac:dyDescent="0.25">
      <c r="A2319" s="29"/>
      <c r="B2319" s="29"/>
      <c r="C2319" s="29"/>
      <c r="D2319" s="29"/>
      <c r="E2319" s="29"/>
      <c r="F2319" s="29"/>
      <c r="G2319" s="29"/>
      <c r="H2319" s="29"/>
      <c r="I2319" s="29"/>
      <c r="J2319" s="29"/>
      <c r="K2319" s="29"/>
      <c r="L2319" s="29"/>
      <c r="M2319" s="29"/>
      <c r="N2319" s="29"/>
      <c r="O2319" s="29"/>
      <c r="P2319" s="29"/>
      <c r="Q2319" s="29"/>
      <c r="R2319" s="29"/>
      <c r="S2319" s="29"/>
      <c r="T2319" s="29"/>
    </row>
    <row r="2320" spans="1:20" ht="15.75" customHeight="1" x14ac:dyDescent="0.25">
      <c r="A2320" s="29"/>
      <c r="B2320" s="29"/>
      <c r="C2320" s="29"/>
      <c r="D2320" s="29"/>
      <c r="E2320" s="29"/>
      <c r="F2320" s="29"/>
      <c r="G2320" s="29"/>
      <c r="H2320" s="29"/>
      <c r="I2320" s="29"/>
      <c r="J2320" s="29"/>
      <c r="K2320" s="29"/>
      <c r="L2320" s="29"/>
      <c r="M2320" s="29"/>
      <c r="N2320" s="29"/>
      <c r="O2320" s="29"/>
      <c r="P2320" s="29"/>
      <c r="Q2320" s="29"/>
      <c r="R2320" s="29"/>
      <c r="S2320" s="29"/>
      <c r="T2320" s="29"/>
    </row>
    <row r="2321" spans="1:20" ht="15.75" customHeight="1" x14ac:dyDescent="0.25">
      <c r="A2321" s="29"/>
      <c r="B2321" s="29"/>
      <c r="C2321" s="29"/>
      <c r="D2321" s="29"/>
      <c r="E2321" s="29"/>
      <c r="F2321" s="29"/>
      <c r="G2321" s="29"/>
      <c r="H2321" s="29"/>
      <c r="I2321" s="29"/>
      <c r="J2321" s="29"/>
      <c r="K2321" s="29"/>
      <c r="L2321" s="29"/>
      <c r="M2321" s="29"/>
      <c r="N2321" s="29"/>
      <c r="O2321" s="29"/>
      <c r="P2321" s="29"/>
      <c r="Q2321" s="29"/>
      <c r="R2321" s="29"/>
      <c r="S2321" s="29"/>
      <c r="T2321" s="29"/>
    </row>
    <row r="2322" spans="1:20" ht="15.75" customHeight="1" x14ac:dyDescent="0.25">
      <c r="A2322" s="29"/>
      <c r="B2322" s="29"/>
      <c r="C2322" s="29"/>
      <c r="D2322" s="29"/>
      <c r="E2322" s="29"/>
      <c r="F2322" s="29"/>
      <c r="G2322" s="29"/>
      <c r="H2322" s="29"/>
      <c r="I2322" s="29"/>
      <c r="J2322" s="29"/>
      <c r="K2322" s="29"/>
      <c r="L2322" s="29"/>
      <c r="M2322" s="29"/>
      <c r="N2322" s="29"/>
      <c r="O2322" s="29"/>
      <c r="P2322" s="29"/>
      <c r="Q2322" s="29"/>
      <c r="R2322" s="29"/>
      <c r="S2322" s="29"/>
      <c r="T2322" s="29"/>
    </row>
    <row r="2323" spans="1:20" ht="15.75" customHeight="1" x14ac:dyDescent="0.25">
      <c r="A2323" s="29"/>
      <c r="B2323" s="29"/>
      <c r="C2323" s="29"/>
      <c r="D2323" s="29"/>
      <c r="E2323" s="29"/>
      <c r="F2323" s="29"/>
      <c r="G2323" s="29"/>
      <c r="H2323" s="29"/>
      <c r="I2323" s="29"/>
      <c r="J2323" s="29"/>
      <c r="K2323" s="29"/>
      <c r="L2323" s="29"/>
      <c r="M2323" s="29"/>
      <c r="N2323" s="29"/>
      <c r="O2323" s="29"/>
      <c r="P2323" s="29"/>
      <c r="Q2323" s="29"/>
      <c r="R2323" s="29"/>
      <c r="S2323" s="29"/>
      <c r="T2323" s="29"/>
    </row>
    <row r="2324" spans="1:20" ht="15.75" customHeight="1" x14ac:dyDescent="0.25">
      <c r="A2324" s="29"/>
      <c r="B2324" s="29"/>
      <c r="C2324" s="29"/>
      <c r="D2324" s="29"/>
      <c r="E2324" s="29"/>
      <c r="F2324" s="29"/>
      <c r="G2324" s="29"/>
      <c r="H2324" s="29"/>
      <c r="I2324" s="29"/>
      <c r="J2324" s="29"/>
      <c r="K2324" s="29"/>
      <c r="L2324" s="29"/>
      <c r="M2324" s="29"/>
      <c r="N2324" s="29"/>
      <c r="O2324" s="29"/>
      <c r="P2324" s="29"/>
      <c r="Q2324" s="29"/>
      <c r="R2324" s="29"/>
      <c r="S2324" s="29"/>
      <c r="T2324" s="29"/>
    </row>
    <row r="2325" spans="1:20" ht="15.75" customHeight="1" x14ac:dyDescent="0.25">
      <c r="A2325" s="29"/>
      <c r="B2325" s="29"/>
      <c r="C2325" s="29"/>
      <c r="D2325" s="29"/>
      <c r="E2325" s="29"/>
      <c r="F2325" s="29"/>
      <c r="G2325" s="29"/>
      <c r="H2325" s="29"/>
      <c r="I2325" s="29"/>
      <c r="J2325" s="29"/>
      <c r="K2325" s="29"/>
      <c r="L2325" s="29"/>
      <c r="M2325" s="29"/>
      <c r="N2325" s="29"/>
      <c r="O2325" s="29"/>
      <c r="P2325" s="29"/>
      <c r="Q2325" s="29"/>
      <c r="R2325" s="29"/>
      <c r="S2325" s="29"/>
      <c r="T2325" s="29"/>
    </row>
    <row r="2326" spans="1:20" ht="15.75" customHeight="1" x14ac:dyDescent="0.25">
      <c r="A2326" s="29"/>
      <c r="B2326" s="29"/>
      <c r="C2326" s="29"/>
      <c r="D2326" s="29"/>
      <c r="E2326" s="29"/>
      <c r="F2326" s="29"/>
      <c r="G2326" s="29"/>
      <c r="H2326" s="29"/>
      <c r="I2326" s="29"/>
      <c r="J2326" s="29"/>
      <c r="K2326" s="29"/>
      <c r="L2326" s="29"/>
      <c r="M2326" s="29"/>
      <c r="N2326" s="29"/>
      <c r="O2326" s="29"/>
      <c r="P2326" s="29"/>
      <c r="Q2326" s="29"/>
      <c r="R2326" s="29"/>
      <c r="S2326" s="29"/>
      <c r="T2326" s="29"/>
    </row>
    <row r="2327" spans="1:20" ht="15.75" customHeight="1" x14ac:dyDescent="0.25">
      <c r="A2327" s="29"/>
      <c r="B2327" s="29"/>
      <c r="C2327" s="29"/>
      <c r="D2327" s="29"/>
      <c r="E2327" s="29"/>
      <c r="F2327" s="29"/>
      <c r="G2327" s="29"/>
      <c r="H2327" s="29"/>
      <c r="I2327" s="29"/>
      <c r="J2327" s="29"/>
      <c r="K2327" s="29"/>
      <c r="L2327" s="29"/>
      <c r="M2327" s="29"/>
      <c r="N2327" s="29"/>
      <c r="O2327" s="29"/>
      <c r="P2327" s="29"/>
      <c r="Q2327" s="29"/>
      <c r="R2327" s="29"/>
      <c r="S2327" s="29"/>
      <c r="T2327" s="29"/>
    </row>
    <row r="2328" spans="1:20" ht="15.75" customHeight="1" x14ac:dyDescent="0.25">
      <c r="A2328" s="29"/>
      <c r="B2328" s="29"/>
      <c r="C2328" s="29"/>
      <c r="D2328" s="29"/>
      <c r="E2328" s="29"/>
      <c r="F2328" s="29"/>
      <c r="G2328" s="29"/>
      <c r="H2328" s="29"/>
      <c r="I2328" s="29"/>
      <c r="J2328" s="29"/>
      <c r="K2328" s="29"/>
      <c r="L2328" s="29"/>
      <c r="M2328" s="29"/>
      <c r="N2328" s="29"/>
      <c r="O2328" s="29"/>
      <c r="P2328" s="29"/>
      <c r="Q2328" s="29"/>
      <c r="R2328" s="29"/>
      <c r="S2328" s="29"/>
      <c r="T2328" s="29"/>
    </row>
    <row r="2329" spans="1:20" ht="15.75" customHeight="1" x14ac:dyDescent="0.25">
      <c r="A2329" s="29"/>
      <c r="B2329" s="29"/>
      <c r="C2329" s="29"/>
      <c r="D2329" s="29"/>
      <c r="E2329" s="29"/>
      <c r="F2329" s="29"/>
      <c r="G2329" s="29"/>
      <c r="H2329" s="29"/>
      <c r="I2329" s="29"/>
      <c r="J2329" s="29"/>
      <c r="K2329" s="29"/>
      <c r="L2329" s="29"/>
      <c r="M2329" s="29"/>
      <c r="N2329" s="29"/>
      <c r="O2329" s="29"/>
      <c r="P2329" s="29"/>
      <c r="Q2329" s="29"/>
      <c r="R2329" s="29"/>
      <c r="S2329" s="29"/>
      <c r="T2329" s="29"/>
    </row>
    <row r="2330" spans="1:20" ht="15.75" customHeight="1" x14ac:dyDescent="0.25">
      <c r="A2330" s="29"/>
      <c r="B2330" s="29"/>
      <c r="C2330" s="29"/>
      <c r="D2330" s="29"/>
      <c r="E2330" s="29"/>
      <c r="F2330" s="29"/>
      <c r="G2330" s="29"/>
      <c r="H2330" s="29"/>
      <c r="I2330" s="29"/>
      <c r="J2330" s="29"/>
      <c r="K2330" s="29"/>
      <c r="L2330" s="29"/>
      <c r="M2330" s="29"/>
      <c r="N2330" s="29"/>
      <c r="O2330" s="29"/>
      <c r="P2330" s="29"/>
      <c r="Q2330" s="29"/>
      <c r="R2330" s="29"/>
      <c r="S2330" s="29"/>
      <c r="T2330" s="29"/>
    </row>
    <row r="2331" spans="1:20" ht="15.75" customHeight="1" x14ac:dyDescent="0.25">
      <c r="A2331" s="29"/>
      <c r="B2331" s="29"/>
      <c r="C2331" s="29"/>
      <c r="D2331" s="29"/>
      <c r="E2331" s="29"/>
      <c r="F2331" s="29"/>
      <c r="G2331" s="29"/>
      <c r="H2331" s="29"/>
      <c r="I2331" s="29"/>
      <c r="J2331" s="29"/>
      <c r="K2331" s="29"/>
      <c r="L2331" s="29"/>
      <c r="M2331" s="29"/>
      <c r="N2331" s="29"/>
      <c r="O2331" s="29"/>
      <c r="P2331" s="29"/>
      <c r="Q2331" s="29"/>
      <c r="R2331" s="29"/>
      <c r="S2331" s="29"/>
      <c r="T2331" s="29"/>
    </row>
    <row r="2332" spans="1:20" ht="15.75" customHeight="1" x14ac:dyDescent="0.25">
      <c r="A2332" s="29"/>
      <c r="B2332" s="29"/>
      <c r="C2332" s="29"/>
      <c r="D2332" s="29"/>
      <c r="E2332" s="29"/>
      <c r="F2332" s="29"/>
      <c r="G2332" s="29"/>
      <c r="H2332" s="29"/>
      <c r="I2332" s="29"/>
      <c r="J2332" s="29"/>
      <c r="K2332" s="29"/>
      <c r="L2332" s="29"/>
      <c r="M2332" s="29"/>
      <c r="N2332" s="29"/>
      <c r="O2332" s="29"/>
      <c r="P2332" s="29"/>
      <c r="Q2332" s="29"/>
      <c r="R2332" s="29"/>
      <c r="S2332" s="29"/>
      <c r="T2332" s="29"/>
    </row>
    <row r="2333" spans="1:20" ht="15.75" customHeight="1" x14ac:dyDescent="0.25">
      <c r="A2333" s="29"/>
      <c r="B2333" s="29"/>
      <c r="C2333" s="29"/>
      <c r="D2333" s="29"/>
      <c r="E2333" s="29"/>
      <c r="F2333" s="29"/>
      <c r="G2333" s="29"/>
      <c r="H2333" s="29"/>
      <c r="I2333" s="29"/>
      <c r="J2333" s="29"/>
      <c r="K2333" s="29"/>
      <c r="L2333" s="29"/>
      <c r="M2333" s="29"/>
      <c r="N2333" s="29"/>
      <c r="O2333" s="29"/>
      <c r="P2333" s="29"/>
      <c r="Q2333" s="29"/>
      <c r="R2333" s="29"/>
      <c r="S2333" s="29"/>
      <c r="T2333" s="29"/>
    </row>
    <row r="2334" spans="1:20" ht="15.75" customHeight="1" x14ac:dyDescent="0.25">
      <c r="A2334" s="29"/>
      <c r="B2334" s="29"/>
      <c r="C2334" s="29"/>
      <c r="D2334" s="29"/>
      <c r="E2334" s="29"/>
      <c r="F2334" s="29"/>
      <c r="G2334" s="29"/>
      <c r="H2334" s="29"/>
      <c r="I2334" s="29"/>
      <c r="J2334" s="29"/>
      <c r="K2334" s="29"/>
      <c r="L2334" s="29"/>
      <c r="M2334" s="29"/>
      <c r="N2334" s="29"/>
      <c r="O2334" s="29"/>
      <c r="P2334" s="29"/>
      <c r="Q2334" s="29"/>
      <c r="R2334" s="29"/>
      <c r="S2334" s="29"/>
      <c r="T2334" s="29"/>
    </row>
    <row r="2335" spans="1:20" ht="15.75" customHeight="1" x14ac:dyDescent="0.25">
      <c r="A2335" s="29"/>
      <c r="B2335" s="29"/>
      <c r="C2335" s="29"/>
      <c r="D2335" s="29"/>
      <c r="E2335" s="29"/>
      <c r="F2335" s="29"/>
      <c r="G2335" s="29"/>
      <c r="H2335" s="29"/>
      <c r="I2335" s="29"/>
      <c r="J2335" s="29"/>
      <c r="K2335" s="29"/>
      <c r="L2335" s="29"/>
      <c r="M2335" s="29"/>
      <c r="N2335" s="29"/>
      <c r="O2335" s="29"/>
      <c r="P2335" s="29"/>
      <c r="Q2335" s="29"/>
      <c r="R2335" s="29"/>
      <c r="S2335" s="29"/>
      <c r="T2335" s="29"/>
    </row>
    <row r="2336" spans="1:20" ht="15.75" customHeight="1" x14ac:dyDescent="0.25">
      <c r="A2336" s="29"/>
      <c r="B2336" s="29"/>
      <c r="C2336" s="29"/>
      <c r="D2336" s="29"/>
      <c r="E2336" s="29"/>
      <c r="F2336" s="29"/>
      <c r="G2336" s="29"/>
      <c r="H2336" s="29"/>
      <c r="I2336" s="29"/>
      <c r="J2336" s="29"/>
      <c r="K2336" s="29"/>
      <c r="L2336" s="29"/>
      <c r="M2336" s="29"/>
      <c r="N2336" s="29"/>
      <c r="O2336" s="29"/>
      <c r="P2336" s="29"/>
      <c r="Q2336" s="29"/>
      <c r="R2336" s="29"/>
      <c r="S2336" s="29"/>
      <c r="T2336" s="29"/>
    </row>
    <row r="2337" spans="1:20" ht="15.75" customHeight="1" x14ac:dyDescent="0.25">
      <c r="A2337" s="29"/>
      <c r="B2337" s="29"/>
      <c r="C2337" s="29"/>
      <c r="D2337" s="29"/>
      <c r="E2337" s="29"/>
      <c r="F2337" s="29"/>
      <c r="G2337" s="29"/>
      <c r="H2337" s="29"/>
      <c r="I2337" s="29"/>
      <c r="J2337" s="29"/>
      <c r="K2337" s="29"/>
      <c r="L2337" s="29"/>
      <c r="M2337" s="29"/>
      <c r="N2337" s="29"/>
      <c r="O2337" s="29"/>
      <c r="P2337" s="29"/>
      <c r="Q2337" s="29"/>
      <c r="R2337" s="29"/>
      <c r="S2337" s="29"/>
      <c r="T2337" s="29"/>
    </row>
    <row r="2338" spans="1:20" ht="15.75" customHeight="1" x14ac:dyDescent="0.25">
      <c r="A2338" s="29"/>
      <c r="B2338" s="29"/>
      <c r="C2338" s="29"/>
      <c r="D2338" s="29"/>
      <c r="E2338" s="29"/>
      <c r="F2338" s="29"/>
      <c r="G2338" s="29"/>
      <c r="H2338" s="29"/>
      <c r="I2338" s="29"/>
      <c r="J2338" s="29"/>
      <c r="K2338" s="29"/>
      <c r="L2338" s="29"/>
      <c r="M2338" s="29"/>
      <c r="N2338" s="29"/>
      <c r="O2338" s="29"/>
      <c r="P2338" s="29"/>
      <c r="Q2338" s="29"/>
      <c r="R2338" s="29"/>
      <c r="S2338" s="29"/>
      <c r="T2338" s="29"/>
    </row>
    <row r="2339" spans="1:20" ht="15.75" customHeight="1" x14ac:dyDescent="0.25">
      <c r="A2339" s="29"/>
      <c r="B2339" s="29"/>
      <c r="C2339" s="29"/>
      <c r="D2339" s="29"/>
      <c r="E2339" s="29"/>
      <c r="F2339" s="29"/>
      <c r="G2339" s="29"/>
      <c r="H2339" s="29"/>
      <c r="I2339" s="29"/>
      <c r="J2339" s="29"/>
      <c r="K2339" s="29"/>
      <c r="L2339" s="29"/>
      <c r="M2339" s="29"/>
      <c r="N2339" s="29"/>
      <c r="O2339" s="29"/>
      <c r="P2339" s="29"/>
      <c r="Q2339" s="29"/>
      <c r="R2339" s="29"/>
      <c r="S2339" s="29"/>
      <c r="T2339" s="29"/>
    </row>
    <row r="2340" spans="1:20" ht="15.75" customHeight="1" x14ac:dyDescent="0.25">
      <c r="A2340" s="29"/>
      <c r="B2340" s="29"/>
      <c r="C2340" s="29"/>
      <c r="D2340" s="29"/>
      <c r="E2340" s="29"/>
      <c r="F2340" s="29"/>
      <c r="G2340" s="29"/>
      <c r="H2340" s="29"/>
      <c r="I2340" s="29"/>
      <c r="J2340" s="29"/>
      <c r="K2340" s="29"/>
      <c r="L2340" s="29"/>
      <c r="M2340" s="29"/>
      <c r="N2340" s="29"/>
      <c r="O2340" s="29"/>
      <c r="P2340" s="29"/>
      <c r="Q2340" s="29"/>
      <c r="R2340" s="29"/>
      <c r="S2340" s="29"/>
      <c r="T2340" s="29"/>
    </row>
    <row r="2341" spans="1:20" ht="15.75" customHeight="1" x14ac:dyDescent="0.25">
      <c r="A2341" s="29"/>
      <c r="B2341" s="29"/>
      <c r="C2341" s="29"/>
      <c r="D2341" s="29"/>
      <c r="E2341" s="29"/>
      <c r="F2341" s="29"/>
      <c r="G2341" s="29"/>
      <c r="H2341" s="29"/>
      <c r="I2341" s="29"/>
      <c r="J2341" s="29"/>
      <c r="K2341" s="29"/>
      <c r="L2341" s="29"/>
      <c r="M2341" s="29"/>
      <c r="N2341" s="29"/>
      <c r="O2341" s="29"/>
      <c r="P2341" s="29"/>
      <c r="Q2341" s="29"/>
      <c r="R2341" s="29"/>
      <c r="S2341" s="29"/>
      <c r="T2341" s="29"/>
    </row>
    <row r="2342" spans="1:20" ht="15.75" customHeight="1" x14ac:dyDescent="0.25">
      <c r="A2342" s="29"/>
      <c r="B2342" s="29"/>
      <c r="C2342" s="29"/>
      <c r="D2342" s="29"/>
      <c r="E2342" s="29"/>
      <c r="F2342" s="29"/>
      <c r="G2342" s="29"/>
      <c r="H2342" s="29"/>
      <c r="I2342" s="29"/>
      <c r="J2342" s="29"/>
      <c r="K2342" s="29"/>
      <c r="L2342" s="29"/>
      <c r="M2342" s="29"/>
      <c r="N2342" s="29"/>
      <c r="O2342" s="29"/>
      <c r="P2342" s="29"/>
      <c r="Q2342" s="29"/>
      <c r="R2342" s="29"/>
      <c r="S2342" s="29"/>
      <c r="T2342" s="29"/>
    </row>
    <row r="2343" spans="1:20" ht="15.75" customHeight="1" x14ac:dyDescent="0.25">
      <c r="A2343" s="29"/>
      <c r="B2343" s="29"/>
      <c r="C2343" s="29"/>
      <c r="D2343" s="29"/>
      <c r="E2343" s="29"/>
      <c r="F2343" s="29"/>
      <c r="G2343" s="29"/>
      <c r="H2343" s="29"/>
      <c r="I2343" s="29"/>
      <c r="J2343" s="29"/>
      <c r="K2343" s="29"/>
      <c r="L2343" s="29"/>
      <c r="M2343" s="29"/>
      <c r="N2343" s="29"/>
      <c r="O2343" s="29"/>
      <c r="P2343" s="29"/>
      <c r="Q2343" s="29"/>
      <c r="R2343" s="29"/>
      <c r="S2343" s="29"/>
      <c r="T2343" s="29"/>
    </row>
    <row r="2344" spans="1:20" ht="15.75" customHeight="1" x14ac:dyDescent="0.25">
      <c r="A2344" s="29"/>
      <c r="B2344" s="29"/>
      <c r="C2344" s="29"/>
      <c r="D2344" s="29"/>
      <c r="E2344" s="29"/>
      <c r="F2344" s="29"/>
      <c r="G2344" s="29"/>
      <c r="H2344" s="29"/>
      <c r="I2344" s="29"/>
      <c r="J2344" s="29"/>
      <c r="K2344" s="29"/>
      <c r="L2344" s="29"/>
      <c r="M2344" s="29"/>
      <c r="N2344" s="29"/>
      <c r="O2344" s="29"/>
      <c r="P2344" s="29"/>
      <c r="Q2344" s="29"/>
      <c r="R2344" s="29"/>
      <c r="S2344" s="29"/>
      <c r="T2344" s="29"/>
    </row>
    <row r="2345" spans="1:20" ht="15.75" customHeight="1" x14ac:dyDescent="0.25">
      <c r="A2345" s="29"/>
      <c r="B2345" s="29"/>
      <c r="C2345" s="29"/>
      <c r="D2345" s="29"/>
      <c r="E2345" s="29"/>
      <c r="F2345" s="29"/>
      <c r="G2345" s="29"/>
      <c r="H2345" s="29"/>
      <c r="I2345" s="29"/>
      <c r="J2345" s="29"/>
      <c r="K2345" s="29"/>
      <c r="L2345" s="29"/>
      <c r="M2345" s="29"/>
      <c r="N2345" s="29"/>
      <c r="O2345" s="29"/>
      <c r="P2345" s="29"/>
      <c r="Q2345" s="29"/>
      <c r="R2345" s="29"/>
      <c r="S2345" s="29"/>
      <c r="T2345" s="29"/>
    </row>
    <row r="2346" spans="1:20" ht="15.75" customHeight="1" x14ac:dyDescent="0.25">
      <c r="A2346" s="29"/>
      <c r="B2346" s="29"/>
      <c r="C2346" s="29"/>
      <c r="D2346" s="29"/>
      <c r="E2346" s="29"/>
      <c r="F2346" s="29"/>
      <c r="G2346" s="29"/>
      <c r="H2346" s="29"/>
      <c r="I2346" s="29"/>
      <c r="J2346" s="29"/>
      <c r="K2346" s="29"/>
      <c r="L2346" s="29"/>
      <c r="M2346" s="29"/>
      <c r="N2346" s="29"/>
      <c r="O2346" s="29"/>
      <c r="P2346" s="29"/>
      <c r="Q2346" s="29"/>
      <c r="R2346" s="29"/>
      <c r="S2346" s="29"/>
      <c r="T2346" s="29"/>
    </row>
    <row r="2347" spans="1:20" ht="15.75" customHeight="1" x14ac:dyDescent="0.25">
      <c r="A2347" s="29"/>
      <c r="B2347" s="29"/>
      <c r="C2347" s="29"/>
      <c r="D2347" s="29"/>
      <c r="E2347" s="29"/>
      <c r="F2347" s="29"/>
      <c r="G2347" s="29"/>
      <c r="H2347" s="29"/>
      <c r="I2347" s="29"/>
      <c r="J2347" s="29"/>
      <c r="K2347" s="29"/>
      <c r="L2347" s="29"/>
      <c r="M2347" s="29"/>
      <c r="N2347" s="29"/>
      <c r="O2347" s="29"/>
      <c r="P2347" s="29"/>
      <c r="Q2347" s="29"/>
      <c r="R2347" s="29"/>
      <c r="S2347" s="29"/>
      <c r="T2347" s="29"/>
    </row>
    <row r="2348" spans="1:20" ht="15.75" customHeight="1" x14ac:dyDescent="0.25">
      <c r="A2348" s="29"/>
      <c r="B2348" s="29"/>
      <c r="C2348" s="29"/>
      <c r="D2348" s="29"/>
      <c r="E2348" s="29"/>
      <c r="F2348" s="29"/>
      <c r="G2348" s="29"/>
      <c r="H2348" s="29"/>
      <c r="I2348" s="29"/>
      <c r="J2348" s="29"/>
      <c r="K2348" s="29"/>
      <c r="L2348" s="29"/>
      <c r="M2348" s="29"/>
      <c r="N2348" s="29"/>
      <c r="O2348" s="29"/>
      <c r="P2348" s="29"/>
      <c r="Q2348" s="29"/>
      <c r="R2348" s="29"/>
      <c r="S2348" s="29"/>
      <c r="T2348" s="29"/>
    </row>
    <row r="2349" spans="1:20" ht="15.75" customHeight="1" x14ac:dyDescent="0.25">
      <c r="A2349" s="29"/>
      <c r="B2349" s="29"/>
      <c r="C2349" s="29"/>
      <c r="D2349" s="29"/>
      <c r="E2349" s="29"/>
      <c r="F2349" s="29"/>
      <c r="G2349" s="29"/>
      <c r="H2349" s="29"/>
      <c r="I2349" s="29"/>
      <c r="J2349" s="29"/>
      <c r="K2349" s="29"/>
      <c r="L2349" s="29"/>
      <c r="M2349" s="29"/>
      <c r="N2349" s="29"/>
      <c r="O2349" s="29"/>
      <c r="P2349" s="29"/>
      <c r="Q2349" s="29"/>
      <c r="R2349" s="29"/>
      <c r="S2349" s="29"/>
      <c r="T2349" s="29"/>
    </row>
    <row r="2350" spans="1:20" ht="15.75" customHeight="1" x14ac:dyDescent="0.25">
      <c r="A2350" s="29"/>
      <c r="B2350" s="29"/>
      <c r="C2350" s="29"/>
      <c r="D2350" s="29"/>
      <c r="E2350" s="29"/>
      <c r="F2350" s="29"/>
      <c r="G2350" s="29"/>
      <c r="H2350" s="29"/>
      <c r="I2350" s="29"/>
      <c r="J2350" s="29"/>
      <c r="K2350" s="29"/>
      <c r="L2350" s="29"/>
      <c r="M2350" s="29"/>
      <c r="N2350" s="29"/>
      <c r="O2350" s="29"/>
      <c r="P2350" s="29"/>
      <c r="Q2350" s="29"/>
      <c r="R2350" s="29"/>
      <c r="S2350" s="29"/>
      <c r="T2350" s="29"/>
    </row>
    <row r="2351" spans="1:20" ht="15.75" customHeight="1" x14ac:dyDescent="0.25">
      <c r="A2351" s="29"/>
      <c r="B2351" s="29"/>
      <c r="C2351" s="29"/>
      <c r="D2351" s="29"/>
      <c r="E2351" s="29"/>
      <c r="F2351" s="29"/>
      <c r="G2351" s="29"/>
      <c r="H2351" s="29"/>
      <c r="I2351" s="29"/>
      <c r="J2351" s="29"/>
      <c r="K2351" s="29"/>
      <c r="L2351" s="29"/>
      <c r="M2351" s="29"/>
      <c r="N2351" s="29"/>
      <c r="O2351" s="29"/>
      <c r="P2351" s="29"/>
      <c r="Q2351" s="29"/>
      <c r="R2351" s="29"/>
      <c r="S2351" s="29"/>
      <c r="T2351" s="29"/>
    </row>
    <row r="2352" spans="1:20" ht="15.75" customHeight="1" x14ac:dyDescent="0.25">
      <c r="A2352" s="29"/>
      <c r="B2352" s="29"/>
      <c r="C2352" s="29"/>
      <c r="D2352" s="29"/>
      <c r="E2352" s="29"/>
      <c r="F2352" s="29"/>
      <c r="G2352" s="29"/>
      <c r="H2352" s="29"/>
      <c r="I2352" s="29"/>
      <c r="J2352" s="29"/>
      <c r="K2352" s="29"/>
      <c r="L2352" s="29"/>
      <c r="M2352" s="29"/>
      <c r="N2352" s="29"/>
      <c r="O2352" s="29"/>
      <c r="P2352" s="29"/>
      <c r="Q2352" s="29"/>
      <c r="R2352" s="29"/>
      <c r="S2352" s="29"/>
      <c r="T2352" s="29"/>
    </row>
    <row r="2353" spans="1:20" ht="15.75" customHeight="1" x14ac:dyDescent="0.25">
      <c r="A2353" s="29"/>
      <c r="B2353" s="29"/>
      <c r="C2353" s="29"/>
      <c r="D2353" s="29"/>
      <c r="E2353" s="29"/>
      <c r="F2353" s="29"/>
      <c r="G2353" s="29"/>
      <c r="H2353" s="29"/>
      <c r="I2353" s="29"/>
      <c r="J2353" s="29"/>
      <c r="K2353" s="29"/>
      <c r="L2353" s="29"/>
      <c r="M2353" s="29"/>
      <c r="N2353" s="29"/>
      <c r="O2353" s="29"/>
      <c r="P2353" s="29"/>
      <c r="Q2353" s="29"/>
      <c r="R2353" s="29"/>
      <c r="S2353" s="29"/>
      <c r="T2353" s="29"/>
    </row>
    <row r="2354" spans="1:20" ht="15.75" customHeight="1" x14ac:dyDescent="0.25">
      <c r="A2354" s="29"/>
      <c r="B2354" s="29"/>
      <c r="C2354" s="29"/>
      <c r="D2354" s="29"/>
      <c r="E2354" s="29"/>
      <c r="F2354" s="29"/>
      <c r="G2354" s="29"/>
      <c r="H2354" s="29"/>
      <c r="I2354" s="29"/>
      <c r="J2354" s="29"/>
      <c r="K2354" s="29"/>
      <c r="L2354" s="29"/>
      <c r="M2354" s="29"/>
      <c r="N2354" s="29"/>
      <c r="O2354" s="29"/>
      <c r="P2354" s="29"/>
      <c r="Q2354" s="29"/>
      <c r="R2354" s="29"/>
      <c r="S2354" s="29"/>
      <c r="T2354" s="29"/>
    </row>
    <row r="2355" spans="1:20" ht="15.75" customHeight="1" x14ac:dyDescent="0.25">
      <c r="A2355" s="29"/>
      <c r="B2355" s="29"/>
      <c r="C2355" s="29"/>
      <c r="D2355" s="29"/>
      <c r="E2355" s="29"/>
      <c r="F2355" s="29"/>
      <c r="G2355" s="29"/>
      <c r="H2355" s="29"/>
      <c r="I2355" s="29"/>
      <c r="J2355" s="29"/>
      <c r="K2355" s="29"/>
      <c r="L2355" s="29"/>
      <c r="M2355" s="29"/>
      <c r="N2355" s="29"/>
      <c r="O2355" s="29"/>
      <c r="P2355" s="29"/>
      <c r="Q2355" s="29"/>
      <c r="R2355" s="29"/>
      <c r="S2355" s="29"/>
      <c r="T2355" s="29"/>
    </row>
    <row r="2356" spans="1:20" ht="15.75" customHeight="1" x14ac:dyDescent="0.25">
      <c r="A2356" s="29"/>
      <c r="B2356" s="29"/>
      <c r="C2356" s="29"/>
      <c r="D2356" s="29"/>
      <c r="E2356" s="29"/>
      <c r="F2356" s="29"/>
      <c r="G2356" s="29"/>
      <c r="H2356" s="29"/>
      <c r="I2356" s="29"/>
      <c r="J2356" s="29"/>
      <c r="K2356" s="29"/>
      <c r="L2356" s="29"/>
      <c r="M2356" s="29"/>
      <c r="N2356" s="29"/>
      <c r="O2356" s="29"/>
      <c r="P2356" s="29"/>
      <c r="Q2356" s="29"/>
      <c r="R2356" s="29"/>
      <c r="S2356" s="29"/>
      <c r="T2356" s="29"/>
    </row>
    <row r="2357" spans="1:20" ht="15.75" customHeight="1" x14ac:dyDescent="0.25">
      <c r="A2357" s="29"/>
      <c r="B2357" s="29"/>
      <c r="C2357" s="29"/>
      <c r="D2357" s="29"/>
      <c r="E2357" s="29"/>
      <c r="F2357" s="29"/>
      <c r="G2357" s="29"/>
      <c r="H2357" s="29"/>
      <c r="I2357" s="29"/>
      <c r="J2357" s="29"/>
      <c r="K2357" s="29"/>
      <c r="L2357" s="29"/>
      <c r="M2357" s="29"/>
      <c r="N2357" s="29"/>
      <c r="O2357" s="29"/>
      <c r="P2357" s="29"/>
      <c r="Q2357" s="29"/>
      <c r="R2357" s="29"/>
      <c r="S2357" s="29"/>
      <c r="T2357" s="29"/>
    </row>
    <row r="2358" spans="1:20" ht="15.75" customHeight="1" x14ac:dyDescent="0.25">
      <c r="A2358" s="29"/>
      <c r="B2358" s="29"/>
      <c r="C2358" s="29"/>
      <c r="D2358" s="29"/>
      <c r="E2358" s="29"/>
      <c r="F2358" s="29"/>
      <c r="G2358" s="29"/>
      <c r="H2358" s="29"/>
      <c r="I2358" s="29"/>
      <c r="J2358" s="29"/>
      <c r="K2358" s="29"/>
      <c r="L2358" s="29"/>
      <c r="M2358" s="29"/>
      <c r="N2358" s="29"/>
      <c r="O2358" s="29"/>
      <c r="P2358" s="29"/>
      <c r="Q2358" s="29"/>
      <c r="R2358" s="29"/>
      <c r="S2358" s="29"/>
      <c r="T2358" s="29"/>
    </row>
    <row r="2359" spans="1:20" ht="15.75" customHeight="1" x14ac:dyDescent="0.25">
      <c r="A2359" s="29"/>
      <c r="B2359" s="29"/>
      <c r="C2359" s="29"/>
      <c r="D2359" s="29"/>
      <c r="E2359" s="29"/>
      <c r="F2359" s="29"/>
      <c r="G2359" s="29"/>
      <c r="H2359" s="29"/>
      <c r="I2359" s="29"/>
      <c r="J2359" s="29"/>
      <c r="K2359" s="29"/>
      <c r="L2359" s="29"/>
      <c r="M2359" s="29"/>
      <c r="N2359" s="29"/>
      <c r="O2359" s="29"/>
      <c r="P2359" s="29"/>
      <c r="Q2359" s="29"/>
      <c r="R2359" s="29"/>
      <c r="S2359" s="29"/>
      <c r="T2359" s="29"/>
    </row>
    <row r="2360" spans="1:20" ht="15.75" customHeight="1" x14ac:dyDescent="0.25">
      <c r="A2360" s="29"/>
      <c r="B2360" s="29"/>
      <c r="C2360" s="29"/>
      <c r="D2360" s="29"/>
      <c r="E2360" s="29"/>
      <c r="F2360" s="29"/>
      <c r="G2360" s="29"/>
      <c r="H2360" s="29"/>
      <c r="I2360" s="29"/>
      <c r="J2360" s="29"/>
      <c r="K2360" s="29"/>
      <c r="L2360" s="29"/>
      <c r="M2360" s="29"/>
      <c r="N2360" s="29"/>
      <c r="O2360" s="29"/>
      <c r="P2360" s="29"/>
      <c r="Q2360" s="29"/>
      <c r="R2360" s="29"/>
      <c r="S2360" s="29"/>
      <c r="T2360" s="29"/>
    </row>
    <row r="2361" spans="1:20" ht="15.75" customHeight="1" x14ac:dyDescent="0.25">
      <c r="A2361" s="29"/>
      <c r="B2361" s="29"/>
      <c r="C2361" s="29"/>
      <c r="D2361" s="29"/>
      <c r="E2361" s="29"/>
      <c r="F2361" s="29"/>
      <c r="G2361" s="29"/>
      <c r="H2361" s="29"/>
      <c r="I2361" s="29"/>
      <c r="J2361" s="29"/>
      <c r="K2361" s="29"/>
      <c r="L2361" s="29"/>
      <c r="M2361" s="29"/>
      <c r="N2361" s="29"/>
      <c r="O2361" s="29"/>
      <c r="P2361" s="29"/>
      <c r="Q2361" s="29"/>
      <c r="R2361" s="29"/>
      <c r="S2361" s="29"/>
      <c r="T2361" s="29"/>
    </row>
    <row r="2362" spans="1:20" ht="15.75" customHeight="1" x14ac:dyDescent="0.25">
      <c r="A2362" s="29"/>
      <c r="B2362" s="29"/>
      <c r="C2362" s="29"/>
      <c r="D2362" s="29"/>
      <c r="E2362" s="29"/>
      <c r="F2362" s="29"/>
      <c r="G2362" s="29"/>
      <c r="H2362" s="29"/>
      <c r="I2362" s="29"/>
      <c r="J2362" s="29"/>
      <c r="K2362" s="29"/>
      <c r="L2362" s="29"/>
      <c r="M2362" s="29"/>
      <c r="N2362" s="29"/>
      <c r="O2362" s="29"/>
      <c r="P2362" s="29"/>
      <c r="Q2362" s="29"/>
      <c r="R2362" s="29"/>
      <c r="S2362" s="29"/>
      <c r="T2362" s="29"/>
    </row>
    <row r="2363" spans="1:20" ht="15.75" customHeight="1" x14ac:dyDescent="0.25">
      <c r="A2363" s="29"/>
      <c r="B2363" s="29"/>
      <c r="C2363" s="29"/>
      <c r="D2363" s="29"/>
      <c r="E2363" s="29"/>
      <c r="F2363" s="29"/>
      <c r="G2363" s="29"/>
      <c r="H2363" s="29"/>
      <c r="I2363" s="29"/>
      <c r="J2363" s="29"/>
      <c r="K2363" s="29"/>
      <c r="L2363" s="29"/>
      <c r="M2363" s="29"/>
      <c r="N2363" s="29"/>
      <c r="O2363" s="29"/>
      <c r="P2363" s="29"/>
      <c r="Q2363" s="29"/>
      <c r="R2363" s="29"/>
      <c r="S2363" s="29"/>
      <c r="T2363" s="29"/>
    </row>
    <row r="2364" spans="1:20" ht="15.75" customHeight="1" x14ac:dyDescent="0.25">
      <c r="A2364" s="29"/>
      <c r="B2364" s="29"/>
      <c r="C2364" s="29"/>
      <c r="D2364" s="29"/>
      <c r="E2364" s="29"/>
      <c r="F2364" s="29"/>
      <c r="G2364" s="29"/>
      <c r="H2364" s="29"/>
      <c r="I2364" s="29"/>
      <c r="J2364" s="29"/>
      <c r="K2364" s="29"/>
      <c r="L2364" s="29"/>
      <c r="M2364" s="29"/>
      <c r="N2364" s="29"/>
      <c r="O2364" s="29"/>
      <c r="P2364" s="29"/>
      <c r="Q2364" s="29"/>
      <c r="R2364" s="29"/>
      <c r="S2364" s="29"/>
      <c r="T2364" s="29"/>
    </row>
    <row r="2365" spans="1:20" ht="15.75" customHeight="1" x14ac:dyDescent="0.25">
      <c r="A2365" s="29"/>
      <c r="B2365" s="29"/>
      <c r="C2365" s="29"/>
      <c r="D2365" s="29"/>
      <c r="E2365" s="29"/>
      <c r="F2365" s="29"/>
      <c r="G2365" s="29"/>
      <c r="H2365" s="29"/>
      <c r="I2365" s="29"/>
      <c r="J2365" s="29"/>
      <c r="K2365" s="29"/>
      <c r="L2365" s="29"/>
      <c r="M2365" s="29"/>
      <c r="N2365" s="29"/>
      <c r="O2365" s="29"/>
      <c r="P2365" s="29"/>
      <c r="Q2365" s="29"/>
      <c r="R2365" s="29"/>
      <c r="S2365" s="29"/>
      <c r="T2365" s="29"/>
    </row>
    <row r="2366" spans="1:20" ht="15.75" customHeight="1" x14ac:dyDescent="0.25">
      <c r="A2366" s="29"/>
      <c r="B2366" s="29"/>
      <c r="C2366" s="29"/>
      <c r="D2366" s="29"/>
      <c r="E2366" s="29"/>
      <c r="F2366" s="29"/>
      <c r="G2366" s="29"/>
      <c r="H2366" s="29"/>
      <c r="I2366" s="29"/>
      <c r="J2366" s="29"/>
      <c r="K2366" s="29"/>
      <c r="L2366" s="29"/>
      <c r="M2366" s="29"/>
      <c r="N2366" s="29"/>
      <c r="O2366" s="29"/>
      <c r="P2366" s="29"/>
      <c r="Q2366" s="29"/>
      <c r="R2366" s="29"/>
      <c r="S2366" s="29"/>
      <c r="T2366" s="29"/>
    </row>
    <row r="2367" spans="1:20" ht="15.75" customHeight="1" x14ac:dyDescent="0.25">
      <c r="A2367" s="29"/>
      <c r="B2367" s="29"/>
      <c r="C2367" s="29"/>
      <c r="D2367" s="29"/>
      <c r="E2367" s="29"/>
      <c r="F2367" s="29"/>
      <c r="G2367" s="29"/>
      <c r="H2367" s="29"/>
      <c r="I2367" s="29"/>
      <c r="J2367" s="29"/>
      <c r="K2367" s="29"/>
      <c r="L2367" s="29"/>
      <c r="M2367" s="29"/>
      <c r="N2367" s="29"/>
      <c r="O2367" s="29"/>
      <c r="P2367" s="29"/>
      <c r="Q2367" s="29"/>
      <c r="R2367" s="29"/>
      <c r="S2367" s="29"/>
      <c r="T2367" s="29"/>
    </row>
    <row r="2368" spans="1:20" ht="15.75" customHeight="1" x14ac:dyDescent="0.25">
      <c r="A2368" s="29"/>
      <c r="B2368" s="29"/>
      <c r="C2368" s="29"/>
      <c r="D2368" s="29"/>
      <c r="E2368" s="29"/>
      <c r="F2368" s="29"/>
      <c r="G2368" s="29"/>
      <c r="H2368" s="29"/>
      <c r="I2368" s="29"/>
      <c r="J2368" s="29"/>
      <c r="K2368" s="29"/>
      <c r="L2368" s="29"/>
      <c r="M2368" s="29"/>
      <c r="N2368" s="29"/>
      <c r="O2368" s="29"/>
      <c r="P2368" s="29"/>
      <c r="Q2368" s="29"/>
      <c r="R2368" s="29"/>
      <c r="S2368" s="29"/>
      <c r="T2368" s="29"/>
    </row>
    <row r="2369" spans="1:20" ht="15.75" customHeight="1" x14ac:dyDescent="0.25">
      <c r="A2369" s="29"/>
      <c r="B2369" s="29"/>
      <c r="C2369" s="29"/>
      <c r="D2369" s="29"/>
      <c r="E2369" s="29"/>
      <c r="F2369" s="29"/>
      <c r="G2369" s="29"/>
      <c r="H2369" s="29"/>
      <c r="I2369" s="29"/>
      <c r="J2369" s="29"/>
      <c r="K2369" s="29"/>
      <c r="L2369" s="29"/>
      <c r="M2369" s="29"/>
      <c r="N2369" s="29"/>
      <c r="O2369" s="29"/>
      <c r="P2369" s="29"/>
      <c r="Q2369" s="29"/>
      <c r="R2369" s="29"/>
      <c r="S2369" s="29"/>
      <c r="T2369" s="29"/>
    </row>
    <row r="2370" spans="1:20" ht="15.75" customHeight="1" x14ac:dyDescent="0.25">
      <c r="A2370" s="29"/>
      <c r="B2370" s="29"/>
      <c r="C2370" s="29"/>
      <c r="D2370" s="29"/>
      <c r="E2370" s="29"/>
      <c r="F2370" s="29"/>
      <c r="G2370" s="29"/>
      <c r="H2370" s="29"/>
      <c r="I2370" s="29"/>
      <c r="J2370" s="29"/>
      <c r="K2370" s="29"/>
      <c r="L2370" s="29"/>
      <c r="M2370" s="29"/>
      <c r="N2370" s="29"/>
      <c r="O2370" s="29"/>
      <c r="P2370" s="29"/>
      <c r="Q2370" s="29"/>
      <c r="R2370" s="29"/>
      <c r="S2370" s="29"/>
      <c r="T2370" s="29"/>
    </row>
    <row r="2371" spans="1:20" ht="15.75" customHeight="1" x14ac:dyDescent="0.25">
      <c r="A2371" s="29"/>
      <c r="B2371" s="29"/>
      <c r="C2371" s="29"/>
      <c r="D2371" s="29"/>
      <c r="E2371" s="29"/>
      <c r="F2371" s="29"/>
      <c r="G2371" s="29"/>
      <c r="H2371" s="29"/>
      <c r="I2371" s="29"/>
      <c r="J2371" s="29"/>
      <c r="K2371" s="29"/>
      <c r="L2371" s="29"/>
      <c r="M2371" s="29"/>
      <c r="N2371" s="29"/>
      <c r="O2371" s="29"/>
      <c r="P2371" s="29"/>
      <c r="Q2371" s="29"/>
      <c r="R2371" s="29"/>
      <c r="S2371" s="29"/>
      <c r="T2371" s="29"/>
    </row>
    <row r="2372" spans="1:20" ht="15.75" customHeight="1" x14ac:dyDescent="0.25">
      <c r="A2372" s="29"/>
      <c r="B2372" s="29"/>
      <c r="C2372" s="29"/>
      <c r="D2372" s="29"/>
      <c r="E2372" s="29"/>
      <c r="F2372" s="29"/>
      <c r="G2372" s="29"/>
      <c r="H2372" s="29"/>
      <c r="I2372" s="29"/>
      <c r="J2372" s="29"/>
      <c r="K2372" s="29"/>
      <c r="L2372" s="29"/>
      <c r="M2372" s="29"/>
      <c r="N2372" s="29"/>
      <c r="O2372" s="29"/>
      <c r="P2372" s="29"/>
      <c r="Q2372" s="29"/>
      <c r="R2372" s="29"/>
      <c r="S2372" s="29"/>
      <c r="T2372" s="29"/>
    </row>
    <row r="2373" spans="1:20" ht="15.75" customHeight="1" x14ac:dyDescent="0.25">
      <c r="A2373" s="29"/>
      <c r="B2373" s="29"/>
      <c r="C2373" s="29"/>
      <c r="D2373" s="29"/>
      <c r="E2373" s="29"/>
      <c r="F2373" s="29"/>
      <c r="G2373" s="29"/>
      <c r="H2373" s="29"/>
      <c r="I2373" s="29"/>
      <c r="J2373" s="29"/>
      <c r="K2373" s="29"/>
      <c r="L2373" s="29"/>
      <c r="M2373" s="29"/>
      <c r="N2373" s="29"/>
      <c r="O2373" s="29"/>
      <c r="P2373" s="29"/>
      <c r="Q2373" s="29"/>
      <c r="R2373" s="29"/>
      <c r="S2373" s="29"/>
      <c r="T2373" s="29"/>
    </row>
    <row r="2374" spans="1:20" ht="15.75" customHeight="1" x14ac:dyDescent="0.25">
      <c r="A2374" s="29"/>
      <c r="B2374" s="29"/>
      <c r="C2374" s="29"/>
      <c r="D2374" s="29"/>
      <c r="E2374" s="29"/>
      <c r="F2374" s="29"/>
      <c r="G2374" s="29"/>
      <c r="H2374" s="29"/>
      <c r="I2374" s="29"/>
      <c r="J2374" s="29"/>
      <c r="K2374" s="29"/>
      <c r="L2374" s="29"/>
      <c r="M2374" s="29"/>
      <c r="N2374" s="29"/>
      <c r="O2374" s="29"/>
      <c r="P2374" s="29"/>
      <c r="Q2374" s="29"/>
      <c r="R2374" s="29"/>
      <c r="S2374" s="29"/>
      <c r="T2374" s="29"/>
    </row>
    <row r="2375" spans="1:20" ht="15.75" customHeight="1" x14ac:dyDescent="0.25">
      <c r="A2375" s="29"/>
      <c r="B2375" s="29"/>
      <c r="C2375" s="29"/>
      <c r="D2375" s="29"/>
      <c r="E2375" s="29"/>
      <c r="F2375" s="29"/>
      <c r="G2375" s="29"/>
      <c r="H2375" s="29"/>
      <c r="I2375" s="29"/>
      <c r="J2375" s="29"/>
      <c r="K2375" s="29"/>
      <c r="L2375" s="29"/>
      <c r="M2375" s="29"/>
      <c r="N2375" s="29"/>
      <c r="O2375" s="29"/>
      <c r="P2375" s="29"/>
      <c r="Q2375" s="29"/>
      <c r="R2375" s="29"/>
      <c r="S2375" s="29"/>
      <c r="T2375" s="29"/>
    </row>
    <row r="2376" spans="1:20" ht="15.75" customHeight="1" x14ac:dyDescent="0.25">
      <c r="A2376" s="29"/>
      <c r="B2376" s="29"/>
      <c r="C2376" s="29"/>
      <c r="D2376" s="29"/>
      <c r="E2376" s="29"/>
      <c r="F2376" s="29"/>
      <c r="G2376" s="29"/>
      <c r="H2376" s="29"/>
      <c r="I2376" s="29"/>
      <c r="J2376" s="29"/>
      <c r="K2376" s="29"/>
      <c r="L2376" s="29"/>
      <c r="M2376" s="29"/>
      <c r="N2376" s="29"/>
      <c r="O2376" s="29"/>
      <c r="P2376" s="29"/>
      <c r="Q2376" s="29"/>
      <c r="R2376" s="29"/>
      <c r="S2376" s="29"/>
      <c r="T2376" s="29"/>
    </row>
    <row r="2377" spans="1:20" ht="15.75" customHeight="1" x14ac:dyDescent="0.25">
      <c r="A2377" s="29"/>
      <c r="B2377" s="29"/>
      <c r="C2377" s="29"/>
      <c r="D2377" s="29"/>
      <c r="E2377" s="29"/>
      <c r="F2377" s="29"/>
      <c r="G2377" s="29"/>
      <c r="H2377" s="29"/>
      <c r="I2377" s="29"/>
      <c r="J2377" s="29"/>
      <c r="K2377" s="29"/>
      <c r="L2377" s="29"/>
      <c r="M2377" s="29"/>
      <c r="N2377" s="29"/>
      <c r="O2377" s="29"/>
      <c r="P2377" s="29"/>
      <c r="Q2377" s="29"/>
      <c r="R2377" s="29"/>
      <c r="S2377" s="29"/>
      <c r="T2377" s="29"/>
    </row>
    <row r="2378" spans="1:20" ht="15.75" customHeight="1" x14ac:dyDescent="0.25">
      <c r="A2378" s="29"/>
      <c r="B2378" s="29"/>
      <c r="C2378" s="29"/>
      <c r="D2378" s="29"/>
      <c r="E2378" s="29"/>
      <c r="F2378" s="29"/>
      <c r="G2378" s="29"/>
      <c r="H2378" s="29"/>
      <c r="I2378" s="29"/>
      <c r="J2378" s="29"/>
      <c r="K2378" s="29"/>
      <c r="L2378" s="29"/>
      <c r="M2378" s="29"/>
      <c r="N2378" s="29"/>
      <c r="O2378" s="29"/>
      <c r="P2378" s="29"/>
      <c r="Q2378" s="29"/>
      <c r="R2378" s="29"/>
      <c r="S2378" s="29"/>
      <c r="T2378" s="29"/>
    </row>
    <row r="2379" spans="1:20" ht="15.75" customHeight="1" x14ac:dyDescent="0.25">
      <c r="A2379" s="29"/>
      <c r="B2379" s="29"/>
      <c r="C2379" s="29"/>
      <c r="D2379" s="29"/>
      <c r="E2379" s="29"/>
      <c r="F2379" s="29"/>
      <c r="G2379" s="29"/>
      <c r="H2379" s="29"/>
      <c r="I2379" s="29"/>
      <c r="J2379" s="29"/>
      <c r="K2379" s="29"/>
      <c r="L2379" s="29"/>
      <c r="M2379" s="29"/>
      <c r="N2379" s="29"/>
      <c r="O2379" s="29"/>
      <c r="P2379" s="29"/>
      <c r="Q2379" s="29"/>
      <c r="R2379" s="29"/>
      <c r="S2379" s="29"/>
      <c r="T2379" s="29"/>
    </row>
    <row r="2380" spans="1:20" ht="15.75" customHeight="1" x14ac:dyDescent="0.25">
      <c r="A2380" s="29"/>
      <c r="B2380" s="29"/>
      <c r="C2380" s="29"/>
      <c r="D2380" s="29"/>
      <c r="E2380" s="29"/>
      <c r="F2380" s="29"/>
      <c r="G2380" s="29"/>
      <c r="H2380" s="29"/>
      <c r="I2380" s="29"/>
      <c r="J2380" s="29"/>
      <c r="K2380" s="29"/>
      <c r="L2380" s="29"/>
      <c r="M2380" s="29"/>
      <c r="N2380" s="29"/>
      <c r="O2380" s="29"/>
      <c r="P2380" s="29"/>
      <c r="Q2380" s="29"/>
      <c r="R2380" s="29"/>
      <c r="S2380" s="29"/>
      <c r="T2380" s="29"/>
    </row>
    <row r="2381" spans="1:20" ht="15.75" customHeight="1" x14ac:dyDescent="0.25">
      <c r="A2381" s="29"/>
      <c r="B2381" s="29"/>
      <c r="C2381" s="29"/>
      <c r="D2381" s="29"/>
      <c r="E2381" s="29"/>
      <c r="F2381" s="29"/>
      <c r="G2381" s="29"/>
      <c r="H2381" s="29"/>
      <c r="I2381" s="29"/>
      <c r="J2381" s="29"/>
      <c r="K2381" s="29"/>
      <c r="L2381" s="29"/>
      <c r="M2381" s="29"/>
      <c r="N2381" s="29"/>
      <c r="O2381" s="29"/>
      <c r="P2381" s="29"/>
      <c r="Q2381" s="29"/>
      <c r="R2381" s="29"/>
      <c r="S2381" s="29"/>
      <c r="T2381" s="29"/>
    </row>
    <row r="2382" spans="1:20" ht="15.75" customHeight="1" x14ac:dyDescent="0.25">
      <c r="A2382" s="29"/>
      <c r="B2382" s="29"/>
      <c r="C2382" s="29"/>
      <c r="D2382" s="29"/>
      <c r="E2382" s="29"/>
      <c r="F2382" s="29"/>
      <c r="G2382" s="29"/>
      <c r="H2382" s="29"/>
      <c r="I2382" s="29"/>
      <c r="J2382" s="29"/>
      <c r="K2382" s="29"/>
      <c r="L2382" s="29"/>
      <c r="M2382" s="29"/>
      <c r="N2382" s="29"/>
      <c r="O2382" s="29"/>
      <c r="P2382" s="29"/>
      <c r="Q2382" s="29"/>
      <c r="R2382" s="29"/>
      <c r="S2382" s="29"/>
      <c r="T2382" s="29"/>
    </row>
    <row r="2383" spans="1:20" ht="15.75" customHeight="1" x14ac:dyDescent="0.25">
      <c r="A2383" s="29"/>
      <c r="B2383" s="29"/>
      <c r="C2383" s="29"/>
      <c r="D2383" s="29"/>
      <c r="E2383" s="29"/>
      <c r="F2383" s="29"/>
      <c r="G2383" s="29"/>
      <c r="H2383" s="29"/>
      <c r="I2383" s="29"/>
      <c r="J2383" s="29"/>
      <c r="K2383" s="29"/>
      <c r="L2383" s="29"/>
      <c r="M2383" s="29"/>
      <c r="N2383" s="29"/>
      <c r="O2383" s="29"/>
      <c r="P2383" s="29"/>
      <c r="Q2383" s="29"/>
      <c r="R2383" s="29"/>
      <c r="S2383" s="29"/>
      <c r="T2383" s="29"/>
    </row>
    <row r="2384" spans="1:20" ht="15.75" customHeight="1" x14ac:dyDescent="0.25">
      <c r="A2384" s="29"/>
      <c r="B2384" s="29"/>
      <c r="C2384" s="29"/>
      <c r="D2384" s="29"/>
      <c r="E2384" s="29"/>
      <c r="F2384" s="29"/>
      <c r="G2384" s="29"/>
      <c r="H2384" s="29"/>
      <c r="I2384" s="29"/>
      <c r="J2384" s="29"/>
      <c r="K2384" s="29"/>
      <c r="L2384" s="29"/>
      <c r="M2384" s="29"/>
      <c r="N2384" s="29"/>
      <c r="O2384" s="29"/>
      <c r="P2384" s="29"/>
      <c r="Q2384" s="29"/>
      <c r="R2384" s="29"/>
      <c r="S2384" s="29"/>
      <c r="T2384" s="29"/>
    </row>
    <row r="2385" spans="1:20" ht="15.75" customHeight="1" x14ac:dyDescent="0.25">
      <c r="A2385" s="29"/>
      <c r="B2385" s="29"/>
      <c r="C2385" s="29"/>
      <c r="D2385" s="29"/>
      <c r="E2385" s="29"/>
      <c r="F2385" s="29"/>
      <c r="G2385" s="29"/>
      <c r="H2385" s="29"/>
      <c r="I2385" s="29"/>
      <c r="J2385" s="29"/>
      <c r="K2385" s="29"/>
      <c r="L2385" s="29"/>
      <c r="M2385" s="29"/>
      <c r="N2385" s="29"/>
      <c r="O2385" s="29"/>
      <c r="P2385" s="29"/>
      <c r="Q2385" s="29"/>
      <c r="R2385" s="29"/>
      <c r="S2385" s="29"/>
      <c r="T2385" s="29"/>
    </row>
    <row r="2386" spans="1:20" ht="15.75" customHeight="1" x14ac:dyDescent="0.25">
      <c r="A2386" s="29"/>
      <c r="B2386" s="29"/>
      <c r="C2386" s="29"/>
      <c r="D2386" s="29"/>
      <c r="E2386" s="29"/>
      <c r="F2386" s="29"/>
      <c r="G2386" s="29"/>
      <c r="H2386" s="29"/>
      <c r="I2386" s="29"/>
      <c r="J2386" s="29"/>
      <c r="K2386" s="29"/>
      <c r="L2386" s="29"/>
      <c r="M2386" s="29"/>
      <c r="N2386" s="29"/>
      <c r="O2386" s="29"/>
      <c r="P2386" s="29"/>
      <c r="Q2386" s="29"/>
      <c r="R2386" s="29"/>
      <c r="S2386" s="29"/>
      <c r="T2386" s="29"/>
    </row>
    <row r="2387" spans="1:20" ht="15.75" customHeight="1" x14ac:dyDescent="0.25">
      <c r="A2387" s="29"/>
      <c r="B2387" s="29"/>
      <c r="C2387" s="29"/>
      <c r="D2387" s="29"/>
      <c r="E2387" s="29"/>
      <c r="F2387" s="29"/>
      <c r="G2387" s="29"/>
      <c r="H2387" s="29"/>
      <c r="I2387" s="29"/>
      <c r="J2387" s="29"/>
      <c r="K2387" s="29"/>
      <c r="L2387" s="29"/>
      <c r="M2387" s="29"/>
      <c r="N2387" s="29"/>
      <c r="O2387" s="29"/>
      <c r="P2387" s="29"/>
      <c r="Q2387" s="29"/>
      <c r="R2387" s="29"/>
      <c r="S2387" s="29"/>
      <c r="T2387" s="29"/>
    </row>
    <row r="2388" spans="1:20" ht="15.75" customHeight="1" x14ac:dyDescent="0.25">
      <c r="A2388" s="29"/>
      <c r="B2388" s="29"/>
      <c r="C2388" s="29"/>
      <c r="D2388" s="29"/>
      <c r="E2388" s="29"/>
      <c r="F2388" s="29"/>
      <c r="G2388" s="29"/>
      <c r="H2388" s="29"/>
      <c r="I2388" s="29"/>
      <c r="J2388" s="29"/>
      <c r="K2388" s="29"/>
      <c r="L2388" s="29"/>
      <c r="M2388" s="29"/>
      <c r="N2388" s="29"/>
      <c r="O2388" s="29"/>
      <c r="P2388" s="29"/>
      <c r="Q2388" s="29"/>
      <c r="R2388" s="29"/>
      <c r="S2388" s="29"/>
      <c r="T2388" s="29"/>
    </row>
    <row r="2389" spans="1:20" ht="15.75" customHeight="1" x14ac:dyDescent="0.25">
      <c r="A2389" s="29"/>
      <c r="B2389" s="29"/>
      <c r="C2389" s="29"/>
      <c r="D2389" s="29"/>
      <c r="E2389" s="29"/>
      <c r="F2389" s="29"/>
      <c r="G2389" s="29"/>
      <c r="H2389" s="29"/>
      <c r="I2389" s="29"/>
      <c r="J2389" s="29"/>
      <c r="K2389" s="29"/>
      <c r="L2389" s="29"/>
      <c r="M2389" s="29"/>
      <c r="N2389" s="29"/>
      <c r="O2389" s="29"/>
      <c r="P2389" s="29"/>
      <c r="Q2389" s="29"/>
      <c r="R2389" s="29"/>
      <c r="S2389" s="29"/>
      <c r="T2389" s="29"/>
    </row>
    <row r="2390" spans="1:20" ht="15.75" customHeight="1" x14ac:dyDescent="0.25">
      <c r="A2390" s="29"/>
      <c r="B2390" s="29"/>
      <c r="C2390" s="29"/>
      <c r="D2390" s="29"/>
      <c r="E2390" s="29"/>
      <c r="F2390" s="29"/>
      <c r="G2390" s="29"/>
      <c r="H2390" s="29"/>
      <c r="I2390" s="29"/>
      <c r="J2390" s="29"/>
      <c r="K2390" s="29"/>
      <c r="L2390" s="29"/>
      <c r="M2390" s="29"/>
      <c r="N2390" s="29"/>
      <c r="O2390" s="29"/>
      <c r="P2390" s="29"/>
      <c r="Q2390" s="29"/>
      <c r="R2390" s="29"/>
      <c r="S2390" s="29"/>
      <c r="T2390" s="29"/>
    </row>
    <row r="2391" spans="1:20" ht="15.75" customHeight="1" x14ac:dyDescent="0.25">
      <c r="A2391" s="29"/>
      <c r="B2391" s="29"/>
      <c r="C2391" s="29"/>
      <c r="D2391" s="29"/>
      <c r="E2391" s="29"/>
      <c r="F2391" s="29"/>
      <c r="G2391" s="29"/>
      <c r="H2391" s="29"/>
      <c r="I2391" s="29"/>
      <c r="J2391" s="29"/>
      <c r="K2391" s="29"/>
      <c r="L2391" s="29"/>
      <c r="M2391" s="29"/>
      <c r="N2391" s="29"/>
      <c r="O2391" s="29"/>
      <c r="P2391" s="29"/>
      <c r="Q2391" s="29"/>
      <c r="R2391" s="29"/>
      <c r="S2391" s="29"/>
      <c r="T2391" s="29"/>
    </row>
    <row r="2392" spans="1:20" ht="15.75" customHeight="1" x14ac:dyDescent="0.25">
      <c r="A2392" s="29"/>
      <c r="B2392" s="29"/>
      <c r="C2392" s="29"/>
      <c r="D2392" s="29"/>
      <c r="E2392" s="29"/>
      <c r="F2392" s="29"/>
      <c r="G2392" s="29"/>
      <c r="H2392" s="29"/>
      <c r="I2392" s="29"/>
      <c r="J2392" s="29"/>
      <c r="K2392" s="29"/>
      <c r="L2392" s="29"/>
      <c r="M2392" s="29"/>
      <c r="N2392" s="29"/>
      <c r="O2392" s="29"/>
      <c r="P2392" s="29"/>
      <c r="Q2392" s="29"/>
      <c r="R2392" s="29"/>
      <c r="S2392" s="29"/>
      <c r="T2392" s="29"/>
    </row>
    <row r="2393" spans="1:20" ht="15.75" customHeight="1" x14ac:dyDescent="0.25">
      <c r="A2393" s="29"/>
      <c r="B2393" s="29"/>
      <c r="C2393" s="29"/>
      <c r="D2393" s="29"/>
      <c r="E2393" s="29"/>
      <c r="F2393" s="29"/>
      <c r="G2393" s="29"/>
      <c r="H2393" s="29"/>
      <c r="I2393" s="29"/>
      <c r="J2393" s="29"/>
      <c r="K2393" s="29"/>
      <c r="L2393" s="29"/>
      <c r="M2393" s="29"/>
      <c r="N2393" s="29"/>
      <c r="O2393" s="29"/>
      <c r="P2393" s="29"/>
      <c r="Q2393" s="29"/>
      <c r="R2393" s="29"/>
      <c r="S2393" s="29"/>
      <c r="T2393" s="29"/>
    </row>
    <row r="2394" spans="1:20" ht="15.75" customHeight="1" x14ac:dyDescent="0.25">
      <c r="A2394" s="29"/>
      <c r="B2394" s="29"/>
      <c r="C2394" s="29"/>
      <c r="D2394" s="29"/>
      <c r="E2394" s="29"/>
      <c r="F2394" s="29"/>
      <c r="G2394" s="29"/>
      <c r="H2394" s="29"/>
      <c r="I2394" s="29"/>
      <c r="J2394" s="29"/>
      <c r="K2394" s="29"/>
      <c r="L2394" s="29"/>
      <c r="M2394" s="29"/>
      <c r="N2394" s="29"/>
      <c r="O2394" s="29"/>
      <c r="P2394" s="29"/>
      <c r="Q2394" s="29"/>
      <c r="R2394" s="29"/>
      <c r="S2394" s="29"/>
      <c r="T2394" s="29"/>
    </row>
    <row r="2395" spans="1:20" ht="15.75" customHeight="1" x14ac:dyDescent="0.25">
      <c r="A2395" s="29"/>
      <c r="B2395" s="29"/>
      <c r="C2395" s="29"/>
      <c r="D2395" s="29"/>
      <c r="E2395" s="29"/>
      <c r="F2395" s="29"/>
      <c r="G2395" s="29"/>
      <c r="H2395" s="29"/>
      <c r="I2395" s="29"/>
      <c r="J2395" s="29"/>
      <c r="K2395" s="29"/>
      <c r="L2395" s="29"/>
      <c r="M2395" s="29"/>
      <c r="N2395" s="29"/>
      <c r="O2395" s="29"/>
      <c r="P2395" s="29"/>
      <c r="Q2395" s="29"/>
      <c r="R2395" s="29"/>
      <c r="S2395" s="29"/>
      <c r="T2395" s="29"/>
    </row>
    <row r="2396" spans="1:20" ht="15.75" customHeight="1" x14ac:dyDescent="0.25">
      <c r="A2396" s="29"/>
      <c r="B2396" s="29"/>
      <c r="C2396" s="29"/>
      <c r="D2396" s="29"/>
      <c r="E2396" s="29"/>
      <c r="F2396" s="29"/>
      <c r="G2396" s="29"/>
      <c r="H2396" s="29"/>
      <c r="I2396" s="29"/>
      <c r="J2396" s="29"/>
      <c r="K2396" s="29"/>
      <c r="L2396" s="29"/>
      <c r="M2396" s="29"/>
      <c r="N2396" s="29"/>
      <c r="O2396" s="29"/>
      <c r="P2396" s="29"/>
      <c r="Q2396" s="29"/>
      <c r="R2396" s="29"/>
      <c r="S2396" s="29"/>
      <c r="T2396" s="29"/>
    </row>
    <row r="2397" spans="1:20" ht="15.75" customHeight="1" x14ac:dyDescent="0.25">
      <c r="A2397" s="29"/>
      <c r="B2397" s="29"/>
      <c r="C2397" s="29"/>
      <c r="D2397" s="29"/>
      <c r="E2397" s="29"/>
      <c r="F2397" s="29"/>
      <c r="G2397" s="29"/>
      <c r="H2397" s="29"/>
      <c r="I2397" s="29"/>
      <c r="J2397" s="29"/>
      <c r="K2397" s="29"/>
      <c r="L2397" s="29"/>
      <c r="M2397" s="29"/>
      <c r="N2397" s="29"/>
      <c r="O2397" s="29"/>
      <c r="P2397" s="29"/>
      <c r="Q2397" s="29"/>
      <c r="R2397" s="29"/>
      <c r="S2397" s="29"/>
      <c r="T2397" s="29"/>
    </row>
    <row r="2398" spans="1:20" ht="15.75" customHeight="1" x14ac:dyDescent="0.25">
      <c r="A2398" s="29"/>
      <c r="B2398" s="29"/>
      <c r="C2398" s="29"/>
      <c r="D2398" s="29"/>
      <c r="E2398" s="29"/>
      <c r="F2398" s="29"/>
      <c r="G2398" s="29"/>
      <c r="H2398" s="29"/>
      <c r="I2398" s="29"/>
      <c r="J2398" s="29"/>
      <c r="K2398" s="29"/>
      <c r="L2398" s="29"/>
      <c r="M2398" s="29"/>
      <c r="N2398" s="29"/>
      <c r="O2398" s="29"/>
      <c r="P2398" s="29"/>
      <c r="Q2398" s="29"/>
      <c r="R2398" s="29"/>
      <c r="S2398" s="29"/>
      <c r="T2398" s="29"/>
    </row>
    <row r="2399" spans="1:20" ht="15.75" customHeight="1" x14ac:dyDescent="0.25">
      <c r="A2399" s="29"/>
      <c r="B2399" s="29"/>
      <c r="C2399" s="29"/>
      <c r="D2399" s="29"/>
      <c r="E2399" s="29"/>
      <c r="F2399" s="29"/>
      <c r="G2399" s="29"/>
      <c r="H2399" s="29"/>
      <c r="I2399" s="29"/>
      <c r="J2399" s="29"/>
      <c r="K2399" s="29"/>
      <c r="L2399" s="29"/>
      <c r="M2399" s="29"/>
      <c r="N2399" s="29"/>
      <c r="O2399" s="29"/>
      <c r="P2399" s="29"/>
      <c r="Q2399" s="29"/>
      <c r="R2399" s="29"/>
      <c r="S2399" s="29"/>
      <c r="T2399" s="29"/>
    </row>
    <row r="2400" spans="1:20" ht="15.75" customHeight="1" x14ac:dyDescent="0.25">
      <c r="A2400" s="29"/>
      <c r="B2400" s="29"/>
      <c r="C2400" s="29"/>
      <c r="D2400" s="29"/>
      <c r="E2400" s="29"/>
      <c r="F2400" s="29"/>
      <c r="G2400" s="29"/>
      <c r="H2400" s="29"/>
      <c r="I2400" s="29"/>
      <c r="J2400" s="29"/>
      <c r="K2400" s="29"/>
      <c r="L2400" s="29"/>
      <c r="M2400" s="29"/>
      <c r="N2400" s="29"/>
      <c r="O2400" s="29"/>
      <c r="P2400" s="29"/>
      <c r="Q2400" s="29"/>
      <c r="R2400" s="29"/>
      <c r="S2400" s="29"/>
      <c r="T2400" s="29"/>
    </row>
    <row r="2401" spans="1:20" ht="15.75" customHeight="1" x14ac:dyDescent="0.25">
      <c r="A2401" s="29"/>
      <c r="B2401" s="29"/>
      <c r="C2401" s="29"/>
      <c r="D2401" s="29"/>
      <c r="E2401" s="29"/>
      <c r="F2401" s="29"/>
      <c r="G2401" s="29"/>
      <c r="H2401" s="29"/>
      <c r="I2401" s="29"/>
      <c r="J2401" s="29"/>
      <c r="K2401" s="29"/>
      <c r="L2401" s="29"/>
      <c r="M2401" s="29"/>
      <c r="N2401" s="29"/>
      <c r="O2401" s="29"/>
      <c r="P2401" s="29"/>
      <c r="Q2401" s="29"/>
      <c r="R2401" s="29"/>
      <c r="S2401" s="29"/>
      <c r="T2401" s="29"/>
    </row>
    <row r="2402" spans="1:20" ht="15.75" customHeight="1" x14ac:dyDescent="0.25">
      <c r="A2402" s="29"/>
      <c r="B2402" s="29"/>
      <c r="C2402" s="29"/>
      <c r="D2402" s="29"/>
      <c r="E2402" s="29"/>
      <c r="F2402" s="29"/>
      <c r="G2402" s="29"/>
      <c r="H2402" s="29"/>
      <c r="I2402" s="29"/>
      <c r="J2402" s="29"/>
      <c r="K2402" s="29"/>
      <c r="L2402" s="29"/>
      <c r="M2402" s="29"/>
      <c r="N2402" s="29"/>
      <c r="O2402" s="29"/>
      <c r="P2402" s="29"/>
      <c r="Q2402" s="29"/>
      <c r="R2402" s="29"/>
      <c r="S2402" s="29"/>
      <c r="T2402" s="29"/>
    </row>
    <row r="2403" spans="1:20" ht="15.75" customHeight="1" x14ac:dyDescent="0.25">
      <c r="A2403" s="29"/>
      <c r="B2403" s="29"/>
      <c r="C2403" s="29"/>
      <c r="D2403" s="29"/>
      <c r="E2403" s="29"/>
      <c r="F2403" s="29"/>
      <c r="G2403" s="29"/>
      <c r="H2403" s="29"/>
      <c r="I2403" s="29"/>
      <c r="J2403" s="29"/>
      <c r="K2403" s="29"/>
      <c r="L2403" s="29"/>
      <c r="M2403" s="29"/>
      <c r="N2403" s="29"/>
      <c r="O2403" s="29"/>
      <c r="P2403" s="29"/>
      <c r="Q2403" s="29"/>
      <c r="R2403" s="29"/>
      <c r="S2403" s="29"/>
      <c r="T2403" s="29"/>
    </row>
    <row r="2404" spans="1:20" ht="15.75" customHeight="1" x14ac:dyDescent="0.25">
      <c r="A2404" s="29"/>
      <c r="B2404" s="29"/>
      <c r="C2404" s="29"/>
      <c r="D2404" s="29"/>
      <c r="E2404" s="29"/>
      <c r="F2404" s="29"/>
      <c r="G2404" s="29"/>
      <c r="H2404" s="29"/>
      <c r="I2404" s="29"/>
      <c r="J2404" s="29"/>
      <c r="K2404" s="29"/>
      <c r="L2404" s="29"/>
      <c r="M2404" s="29"/>
      <c r="N2404" s="29"/>
      <c r="O2404" s="29"/>
      <c r="P2404" s="29"/>
      <c r="Q2404" s="29"/>
      <c r="R2404" s="29"/>
      <c r="S2404" s="29"/>
      <c r="T2404" s="29"/>
    </row>
    <row r="2405" spans="1:20" ht="15.75" customHeight="1" x14ac:dyDescent="0.25">
      <c r="A2405" s="29"/>
      <c r="B2405" s="29"/>
      <c r="C2405" s="29"/>
      <c r="D2405" s="29"/>
      <c r="E2405" s="29"/>
      <c r="F2405" s="29"/>
      <c r="G2405" s="29"/>
      <c r="H2405" s="29"/>
      <c r="I2405" s="29"/>
      <c r="J2405" s="29"/>
      <c r="K2405" s="29"/>
      <c r="L2405" s="29"/>
      <c r="M2405" s="29"/>
      <c r="N2405" s="29"/>
      <c r="O2405" s="29"/>
      <c r="P2405" s="29"/>
      <c r="Q2405" s="29"/>
      <c r="R2405" s="29"/>
      <c r="S2405" s="29"/>
      <c r="T2405" s="29"/>
    </row>
    <row r="2406" spans="1:20" ht="15.75" customHeight="1" x14ac:dyDescent="0.25">
      <c r="A2406" s="29"/>
      <c r="B2406" s="29"/>
      <c r="C2406" s="29"/>
      <c r="D2406" s="29"/>
      <c r="E2406" s="29"/>
      <c r="F2406" s="29"/>
      <c r="G2406" s="29"/>
      <c r="H2406" s="29"/>
      <c r="I2406" s="29"/>
      <c r="J2406" s="29"/>
      <c r="K2406" s="29"/>
      <c r="L2406" s="29"/>
      <c r="M2406" s="29"/>
      <c r="N2406" s="29"/>
      <c r="O2406" s="29"/>
      <c r="P2406" s="29"/>
      <c r="Q2406" s="29"/>
      <c r="R2406" s="29"/>
      <c r="S2406" s="29"/>
      <c r="T2406" s="29"/>
    </row>
    <row r="2407" spans="1:20" ht="15.75" customHeight="1" x14ac:dyDescent="0.25">
      <c r="A2407" s="29"/>
      <c r="B2407" s="29"/>
      <c r="C2407" s="29"/>
      <c r="D2407" s="29"/>
      <c r="E2407" s="29"/>
      <c r="F2407" s="29"/>
      <c r="G2407" s="29"/>
      <c r="H2407" s="29"/>
      <c r="I2407" s="29"/>
      <c r="J2407" s="29"/>
      <c r="K2407" s="29"/>
      <c r="L2407" s="29"/>
      <c r="M2407" s="29"/>
      <c r="N2407" s="29"/>
      <c r="O2407" s="29"/>
      <c r="P2407" s="29"/>
      <c r="Q2407" s="29"/>
      <c r="R2407" s="29"/>
      <c r="S2407" s="29"/>
      <c r="T2407" s="29"/>
    </row>
    <row r="2408" spans="1:20" ht="15.75" customHeight="1" x14ac:dyDescent="0.25">
      <c r="A2408" s="29"/>
      <c r="B2408" s="29"/>
      <c r="C2408" s="29"/>
      <c r="D2408" s="29"/>
      <c r="E2408" s="29"/>
      <c r="F2408" s="29"/>
      <c r="G2408" s="29"/>
      <c r="H2408" s="29"/>
      <c r="I2408" s="29"/>
      <c r="J2408" s="29"/>
      <c r="K2408" s="29"/>
      <c r="L2408" s="29"/>
      <c r="M2408" s="29"/>
      <c r="N2408" s="29"/>
      <c r="O2408" s="29"/>
      <c r="P2408" s="29"/>
      <c r="Q2408" s="29"/>
      <c r="R2408" s="29"/>
      <c r="S2408" s="29"/>
      <c r="T2408" s="29"/>
    </row>
    <row r="2409" spans="1:20" ht="15.75" customHeight="1" x14ac:dyDescent="0.25">
      <c r="A2409" s="29"/>
      <c r="B2409" s="29"/>
      <c r="C2409" s="29"/>
      <c r="D2409" s="29"/>
      <c r="E2409" s="29"/>
      <c r="F2409" s="29"/>
      <c r="G2409" s="29"/>
      <c r="H2409" s="29"/>
      <c r="I2409" s="29"/>
      <c r="J2409" s="29"/>
      <c r="K2409" s="29"/>
      <c r="L2409" s="29"/>
      <c r="M2409" s="29"/>
      <c r="N2409" s="29"/>
      <c r="O2409" s="29"/>
      <c r="P2409" s="29"/>
      <c r="Q2409" s="29"/>
      <c r="R2409" s="29"/>
      <c r="S2409" s="29"/>
      <c r="T2409" s="29"/>
    </row>
    <row r="2410" spans="1:20" ht="15.75" customHeight="1" x14ac:dyDescent="0.25">
      <c r="A2410" s="29"/>
      <c r="B2410" s="29"/>
      <c r="C2410" s="29"/>
      <c r="D2410" s="29"/>
      <c r="E2410" s="29"/>
      <c r="F2410" s="29"/>
      <c r="G2410" s="29"/>
      <c r="H2410" s="29"/>
      <c r="I2410" s="29"/>
      <c r="J2410" s="29"/>
      <c r="K2410" s="29"/>
      <c r="L2410" s="29"/>
      <c r="M2410" s="29"/>
      <c r="N2410" s="29"/>
      <c r="O2410" s="29"/>
      <c r="P2410" s="29"/>
      <c r="Q2410" s="29"/>
      <c r="R2410" s="29"/>
      <c r="S2410" s="29"/>
      <c r="T2410" s="29"/>
    </row>
    <row r="2411" spans="1:20" ht="15.75" customHeight="1" x14ac:dyDescent="0.25">
      <c r="A2411" s="29"/>
      <c r="B2411" s="29"/>
      <c r="C2411" s="29"/>
      <c r="D2411" s="29"/>
      <c r="E2411" s="29"/>
      <c r="F2411" s="29"/>
      <c r="G2411" s="29"/>
      <c r="H2411" s="29"/>
      <c r="I2411" s="29"/>
      <c r="J2411" s="29"/>
      <c r="K2411" s="29"/>
      <c r="L2411" s="29"/>
      <c r="M2411" s="29"/>
      <c r="N2411" s="29"/>
      <c r="O2411" s="29"/>
      <c r="P2411" s="29"/>
      <c r="Q2411" s="29"/>
      <c r="R2411" s="29"/>
      <c r="S2411" s="29"/>
      <c r="T2411" s="29"/>
    </row>
    <row r="2412" spans="1:20" ht="15.75" customHeight="1" x14ac:dyDescent="0.25">
      <c r="A2412" s="29"/>
      <c r="B2412" s="29"/>
      <c r="C2412" s="29"/>
      <c r="D2412" s="29"/>
      <c r="E2412" s="29"/>
      <c r="F2412" s="29"/>
      <c r="G2412" s="29"/>
      <c r="H2412" s="29"/>
      <c r="I2412" s="29"/>
      <c r="J2412" s="29"/>
      <c r="K2412" s="29"/>
      <c r="L2412" s="29"/>
      <c r="M2412" s="29"/>
      <c r="N2412" s="29"/>
      <c r="O2412" s="29"/>
      <c r="P2412" s="29"/>
      <c r="Q2412" s="29"/>
      <c r="R2412" s="29"/>
      <c r="S2412" s="29"/>
      <c r="T2412" s="29"/>
    </row>
    <row r="2413" spans="1:20" ht="15.75" customHeight="1" x14ac:dyDescent="0.25">
      <c r="A2413" s="29"/>
      <c r="B2413" s="29"/>
      <c r="C2413" s="29"/>
      <c r="D2413" s="29"/>
      <c r="E2413" s="29"/>
      <c r="F2413" s="29"/>
      <c r="G2413" s="29"/>
      <c r="H2413" s="29"/>
      <c r="I2413" s="29"/>
      <c r="J2413" s="29"/>
      <c r="K2413" s="29"/>
      <c r="L2413" s="29"/>
      <c r="M2413" s="29"/>
      <c r="N2413" s="29"/>
      <c r="O2413" s="29"/>
      <c r="P2413" s="29"/>
      <c r="Q2413" s="29"/>
      <c r="R2413" s="29"/>
      <c r="S2413" s="29"/>
      <c r="T2413" s="29"/>
    </row>
    <row r="2414" spans="1:20" ht="15.75" customHeight="1" x14ac:dyDescent="0.25">
      <c r="A2414" s="29"/>
      <c r="B2414" s="29"/>
      <c r="C2414" s="29"/>
      <c r="D2414" s="29"/>
      <c r="E2414" s="29"/>
      <c r="F2414" s="29"/>
      <c r="G2414" s="29"/>
      <c r="H2414" s="29"/>
      <c r="I2414" s="29"/>
      <c r="J2414" s="29"/>
      <c r="K2414" s="29"/>
      <c r="L2414" s="29"/>
      <c r="M2414" s="29"/>
      <c r="N2414" s="29"/>
      <c r="O2414" s="29"/>
      <c r="P2414" s="29"/>
      <c r="Q2414" s="29"/>
      <c r="R2414" s="29"/>
      <c r="S2414" s="29"/>
      <c r="T2414" s="29"/>
    </row>
    <row r="2415" spans="1:20" ht="15.75" customHeight="1" x14ac:dyDescent="0.25">
      <c r="A2415" s="29"/>
      <c r="B2415" s="29"/>
      <c r="C2415" s="29"/>
      <c r="D2415" s="29"/>
      <c r="E2415" s="29"/>
      <c r="F2415" s="29"/>
      <c r="G2415" s="29"/>
      <c r="H2415" s="29"/>
      <c r="I2415" s="29"/>
      <c r="J2415" s="29"/>
      <c r="K2415" s="29"/>
      <c r="L2415" s="29"/>
      <c r="M2415" s="29"/>
      <c r="N2415" s="29"/>
      <c r="O2415" s="29"/>
      <c r="P2415" s="29"/>
      <c r="Q2415" s="29"/>
      <c r="R2415" s="29"/>
      <c r="S2415" s="29"/>
      <c r="T2415" s="29"/>
    </row>
    <row r="2416" spans="1:20" ht="15.75" customHeight="1" x14ac:dyDescent="0.25">
      <c r="A2416" s="29"/>
      <c r="B2416" s="29"/>
      <c r="C2416" s="29"/>
      <c r="D2416" s="29"/>
      <c r="E2416" s="29"/>
      <c r="F2416" s="29"/>
      <c r="G2416" s="29"/>
      <c r="H2416" s="29"/>
      <c r="I2416" s="29"/>
      <c r="J2416" s="29"/>
      <c r="K2416" s="29"/>
      <c r="L2416" s="29"/>
      <c r="M2416" s="29"/>
      <c r="N2416" s="29"/>
      <c r="O2416" s="29"/>
      <c r="P2416" s="29"/>
      <c r="Q2416" s="29"/>
      <c r="R2416" s="29"/>
      <c r="S2416" s="29"/>
      <c r="T2416" s="29"/>
    </row>
    <row r="2417" spans="1:20" ht="15.75" customHeight="1" x14ac:dyDescent="0.25">
      <c r="A2417" s="29"/>
      <c r="B2417" s="29"/>
      <c r="C2417" s="29"/>
      <c r="D2417" s="29"/>
      <c r="E2417" s="29"/>
      <c r="F2417" s="29"/>
      <c r="G2417" s="29"/>
      <c r="H2417" s="29"/>
      <c r="I2417" s="29"/>
      <c r="J2417" s="29"/>
      <c r="K2417" s="29"/>
      <c r="L2417" s="29"/>
      <c r="M2417" s="29"/>
      <c r="N2417" s="29"/>
      <c r="O2417" s="29"/>
      <c r="P2417" s="29"/>
      <c r="Q2417" s="29"/>
      <c r="R2417" s="29"/>
      <c r="S2417" s="29"/>
      <c r="T2417" s="29"/>
    </row>
    <row r="2418" spans="1:20" ht="15.75" customHeight="1" x14ac:dyDescent="0.25">
      <c r="A2418" s="29"/>
      <c r="B2418" s="29"/>
      <c r="C2418" s="29"/>
      <c r="D2418" s="29"/>
      <c r="E2418" s="29"/>
      <c r="F2418" s="29"/>
      <c r="G2418" s="29"/>
      <c r="H2418" s="29"/>
      <c r="I2418" s="29"/>
      <c r="J2418" s="29"/>
      <c r="K2418" s="29"/>
      <c r="L2418" s="29"/>
      <c r="M2418" s="29"/>
      <c r="N2418" s="29"/>
      <c r="O2418" s="29"/>
      <c r="P2418" s="29"/>
      <c r="Q2418" s="29"/>
      <c r="R2418" s="29"/>
      <c r="S2418" s="29"/>
      <c r="T2418" s="29"/>
    </row>
    <row r="2419" spans="1:20" ht="15.75" customHeight="1" x14ac:dyDescent="0.25">
      <c r="A2419" s="29"/>
      <c r="B2419" s="29"/>
      <c r="C2419" s="29"/>
      <c r="D2419" s="29"/>
      <c r="E2419" s="29"/>
      <c r="F2419" s="29"/>
      <c r="G2419" s="29"/>
      <c r="H2419" s="29"/>
      <c r="I2419" s="29"/>
      <c r="J2419" s="29"/>
      <c r="K2419" s="29"/>
      <c r="L2419" s="29"/>
      <c r="M2419" s="29"/>
      <c r="N2419" s="29"/>
      <c r="O2419" s="29"/>
      <c r="P2419" s="29"/>
      <c r="Q2419" s="29"/>
      <c r="R2419" s="29"/>
      <c r="S2419" s="29"/>
      <c r="T2419" s="29"/>
    </row>
    <row r="2420" spans="1:20" ht="15.75" customHeight="1" x14ac:dyDescent="0.25">
      <c r="A2420" s="29"/>
      <c r="B2420" s="29"/>
      <c r="C2420" s="29"/>
      <c r="D2420" s="29"/>
      <c r="E2420" s="29"/>
      <c r="F2420" s="29"/>
      <c r="G2420" s="29"/>
      <c r="H2420" s="29"/>
      <c r="I2420" s="29"/>
      <c r="J2420" s="29"/>
      <c r="K2420" s="29"/>
      <c r="L2420" s="29"/>
      <c r="M2420" s="29"/>
      <c r="N2420" s="29"/>
      <c r="O2420" s="29"/>
      <c r="P2420" s="29"/>
      <c r="Q2420" s="29"/>
      <c r="R2420" s="29"/>
      <c r="S2420" s="29"/>
      <c r="T2420" s="29"/>
    </row>
    <row r="2421" spans="1:20" ht="15.75" customHeight="1" x14ac:dyDescent="0.25">
      <c r="A2421" s="29"/>
      <c r="B2421" s="29"/>
      <c r="C2421" s="29"/>
      <c r="D2421" s="29"/>
      <c r="E2421" s="29"/>
      <c r="F2421" s="29"/>
      <c r="G2421" s="29"/>
      <c r="H2421" s="29"/>
      <c r="I2421" s="29"/>
      <c r="J2421" s="29"/>
      <c r="K2421" s="29"/>
      <c r="L2421" s="29"/>
      <c r="M2421" s="29"/>
      <c r="N2421" s="29"/>
      <c r="O2421" s="29"/>
      <c r="P2421" s="29"/>
      <c r="Q2421" s="29"/>
      <c r="R2421" s="29"/>
      <c r="S2421" s="29"/>
      <c r="T2421" s="29"/>
    </row>
    <row r="2422" spans="1:20" ht="15.75" customHeight="1" x14ac:dyDescent="0.25">
      <c r="A2422" s="29"/>
      <c r="B2422" s="29"/>
      <c r="C2422" s="29"/>
      <c r="D2422" s="29"/>
      <c r="E2422" s="29"/>
      <c r="F2422" s="29"/>
      <c r="G2422" s="29"/>
      <c r="H2422" s="29"/>
      <c r="I2422" s="29"/>
      <c r="J2422" s="29"/>
      <c r="K2422" s="29"/>
      <c r="L2422" s="29"/>
      <c r="M2422" s="29"/>
      <c r="N2422" s="29"/>
      <c r="O2422" s="29"/>
      <c r="P2422" s="29"/>
      <c r="Q2422" s="29"/>
      <c r="R2422" s="29"/>
      <c r="S2422" s="29"/>
      <c r="T2422" s="29"/>
    </row>
    <row r="2423" spans="1:20" ht="15.75" customHeight="1" x14ac:dyDescent="0.25">
      <c r="A2423" s="29"/>
      <c r="B2423" s="29"/>
      <c r="C2423" s="29"/>
      <c r="D2423" s="29"/>
      <c r="E2423" s="29"/>
      <c r="F2423" s="29"/>
      <c r="G2423" s="29"/>
      <c r="H2423" s="29"/>
      <c r="I2423" s="29"/>
      <c r="J2423" s="29"/>
      <c r="K2423" s="29"/>
      <c r="L2423" s="29"/>
      <c r="M2423" s="29"/>
      <c r="N2423" s="29"/>
      <c r="O2423" s="29"/>
      <c r="P2423" s="29"/>
      <c r="Q2423" s="29"/>
      <c r="R2423" s="29"/>
      <c r="S2423" s="29"/>
      <c r="T2423" s="29"/>
    </row>
    <row r="2424" spans="1:20" ht="15.75" customHeight="1" x14ac:dyDescent="0.25">
      <c r="A2424" s="29"/>
      <c r="B2424" s="29"/>
      <c r="C2424" s="29"/>
      <c r="D2424" s="29"/>
      <c r="E2424" s="29"/>
      <c r="F2424" s="29"/>
      <c r="G2424" s="29"/>
      <c r="H2424" s="29"/>
      <c r="I2424" s="29"/>
      <c r="J2424" s="29"/>
      <c r="K2424" s="29"/>
      <c r="L2424" s="29"/>
      <c r="M2424" s="29"/>
      <c r="N2424" s="29"/>
      <c r="O2424" s="29"/>
      <c r="P2424" s="29"/>
      <c r="Q2424" s="29"/>
      <c r="R2424" s="29"/>
      <c r="S2424" s="29"/>
      <c r="T2424" s="29"/>
    </row>
    <row r="2425" spans="1:20" ht="15.75" customHeight="1" x14ac:dyDescent="0.25">
      <c r="A2425" s="29"/>
      <c r="B2425" s="29"/>
      <c r="C2425" s="29"/>
      <c r="D2425" s="29"/>
      <c r="E2425" s="29"/>
      <c r="F2425" s="29"/>
      <c r="G2425" s="29"/>
      <c r="H2425" s="29"/>
      <c r="I2425" s="29"/>
      <c r="J2425" s="29"/>
      <c r="K2425" s="29"/>
      <c r="L2425" s="29"/>
      <c r="M2425" s="29"/>
      <c r="N2425" s="29"/>
      <c r="O2425" s="29"/>
      <c r="P2425" s="29"/>
      <c r="Q2425" s="29"/>
      <c r="R2425" s="29"/>
      <c r="S2425" s="29"/>
      <c r="T2425" s="29"/>
    </row>
    <row r="2426" spans="1:20" ht="15.75" customHeight="1" x14ac:dyDescent="0.25">
      <c r="A2426" s="29"/>
      <c r="B2426" s="29"/>
      <c r="C2426" s="29"/>
      <c r="D2426" s="29"/>
      <c r="E2426" s="29"/>
      <c r="F2426" s="29"/>
      <c r="G2426" s="29"/>
      <c r="H2426" s="29"/>
      <c r="I2426" s="29"/>
      <c r="J2426" s="29"/>
      <c r="K2426" s="29"/>
      <c r="L2426" s="29"/>
      <c r="M2426" s="29"/>
      <c r="N2426" s="29"/>
      <c r="O2426" s="29"/>
      <c r="P2426" s="29"/>
      <c r="Q2426" s="29"/>
      <c r="R2426" s="29"/>
      <c r="S2426" s="29"/>
      <c r="T2426" s="29"/>
    </row>
    <row r="2427" spans="1:20" ht="15.75" customHeight="1" x14ac:dyDescent="0.25">
      <c r="A2427" s="29"/>
      <c r="B2427" s="29"/>
      <c r="C2427" s="29"/>
      <c r="D2427" s="29"/>
      <c r="E2427" s="29"/>
      <c r="F2427" s="29"/>
      <c r="G2427" s="29"/>
      <c r="H2427" s="29"/>
      <c r="I2427" s="29"/>
      <c r="J2427" s="29"/>
      <c r="K2427" s="29"/>
      <c r="L2427" s="29"/>
      <c r="M2427" s="29"/>
      <c r="N2427" s="29"/>
      <c r="O2427" s="29"/>
      <c r="P2427" s="29"/>
      <c r="Q2427" s="29"/>
      <c r="R2427" s="29"/>
      <c r="S2427" s="29"/>
      <c r="T2427" s="29"/>
    </row>
    <row r="2428" spans="1:20" ht="15.75" customHeight="1" x14ac:dyDescent="0.25">
      <c r="A2428" s="29"/>
      <c r="B2428" s="29"/>
      <c r="C2428" s="29"/>
      <c r="D2428" s="29"/>
      <c r="E2428" s="29"/>
      <c r="F2428" s="29"/>
      <c r="G2428" s="29"/>
      <c r="H2428" s="29"/>
      <c r="I2428" s="29"/>
      <c r="J2428" s="29"/>
      <c r="K2428" s="29"/>
      <c r="L2428" s="29"/>
      <c r="M2428" s="29"/>
      <c r="N2428" s="29"/>
      <c r="O2428" s="29"/>
      <c r="P2428" s="29"/>
      <c r="Q2428" s="29"/>
      <c r="R2428" s="29"/>
      <c r="S2428" s="29"/>
      <c r="T2428" s="29"/>
    </row>
    <row r="2429" spans="1:20" ht="15.75" customHeight="1" x14ac:dyDescent="0.25">
      <c r="A2429" s="29"/>
      <c r="B2429" s="29"/>
      <c r="C2429" s="29"/>
      <c r="D2429" s="29"/>
      <c r="E2429" s="29"/>
      <c r="F2429" s="29"/>
      <c r="G2429" s="29"/>
      <c r="H2429" s="29"/>
      <c r="I2429" s="29"/>
      <c r="J2429" s="29"/>
      <c r="K2429" s="29"/>
      <c r="L2429" s="29"/>
      <c r="M2429" s="29"/>
      <c r="N2429" s="29"/>
      <c r="O2429" s="29"/>
      <c r="P2429" s="29"/>
      <c r="Q2429" s="29"/>
      <c r="R2429" s="29"/>
      <c r="S2429" s="29"/>
      <c r="T2429" s="29"/>
    </row>
    <row r="2430" spans="1:20" ht="15.75" customHeight="1" x14ac:dyDescent="0.25">
      <c r="A2430" s="29"/>
      <c r="B2430" s="29"/>
      <c r="C2430" s="29"/>
      <c r="D2430" s="29"/>
      <c r="E2430" s="29"/>
      <c r="F2430" s="29"/>
      <c r="G2430" s="29"/>
      <c r="H2430" s="29"/>
      <c r="I2430" s="29"/>
      <c r="J2430" s="29"/>
      <c r="K2430" s="29"/>
      <c r="L2430" s="29"/>
      <c r="M2430" s="29"/>
      <c r="N2430" s="29"/>
      <c r="O2430" s="29"/>
      <c r="P2430" s="29"/>
      <c r="Q2430" s="29"/>
      <c r="R2430" s="29"/>
      <c r="S2430" s="29"/>
      <c r="T2430" s="29"/>
    </row>
    <row r="2431" spans="1:20" ht="15.75" customHeight="1" x14ac:dyDescent="0.25">
      <c r="A2431" s="29"/>
      <c r="B2431" s="29"/>
      <c r="C2431" s="29"/>
      <c r="D2431" s="29"/>
      <c r="E2431" s="29"/>
      <c r="F2431" s="29"/>
      <c r="G2431" s="29"/>
      <c r="H2431" s="29"/>
      <c r="I2431" s="29"/>
      <c r="J2431" s="29"/>
      <c r="K2431" s="29"/>
      <c r="L2431" s="29"/>
      <c r="M2431" s="29"/>
      <c r="N2431" s="29"/>
      <c r="O2431" s="29"/>
      <c r="P2431" s="29"/>
      <c r="Q2431" s="29"/>
      <c r="R2431" s="29"/>
      <c r="S2431" s="29"/>
      <c r="T2431" s="29"/>
    </row>
    <row r="2432" spans="1:20" ht="15.75" customHeight="1" x14ac:dyDescent="0.25">
      <c r="A2432" s="29"/>
      <c r="B2432" s="29"/>
      <c r="C2432" s="29"/>
      <c r="D2432" s="29"/>
      <c r="E2432" s="29"/>
      <c r="F2432" s="29"/>
      <c r="G2432" s="29"/>
      <c r="H2432" s="29"/>
      <c r="I2432" s="29"/>
      <c r="J2432" s="29"/>
      <c r="K2432" s="29"/>
      <c r="L2432" s="29"/>
      <c r="M2432" s="29"/>
      <c r="N2432" s="29"/>
      <c r="O2432" s="29"/>
      <c r="P2432" s="29"/>
      <c r="Q2432" s="29"/>
      <c r="R2432" s="29"/>
      <c r="S2432" s="29"/>
      <c r="T2432" s="29"/>
    </row>
    <row r="2433" spans="1:20" ht="15.75" customHeight="1" x14ac:dyDescent="0.25">
      <c r="A2433" s="29"/>
      <c r="B2433" s="29"/>
      <c r="C2433" s="29"/>
      <c r="D2433" s="29"/>
      <c r="E2433" s="29"/>
      <c r="F2433" s="29"/>
      <c r="G2433" s="29"/>
      <c r="H2433" s="29"/>
      <c r="I2433" s="29"/>
      <c r="J2433" s="29"/>
      <c r="K2433" s="29"/>
      <c r="L2433" s="29"/>
      <c r="M2433" s="29"/>
      <c r="N2433" s="29"/>
      <c r="O2433" s="29"/>
      <c r="P2433" s="29"/>
      <c r="Q2433" s="29"/>
      <c r="R2433" s="29"/>
      <c r="S2433" s="29"/>
      <c r="T2433" s="29"/>
    </row>
    <row r="2434" spans="1:20" ht="15.75" customHeight="1" x14ac:dyDescent="0.25">
      <c r="A2434" s="29"/>
      <c r="B2434" s="29"/>
      <c r="C2434" s="29"/>
      <c r="D2434" s="29"/>
      <c r="E2434" s="29"/>
      <c r="F2434" s="29"/>
      <c r="G2434" s="29"/>
      <c r="H2434" s="29"/>
      <c r="I2434" s="29"/>
      <c r="J2434" s="29"/>
      <c r="K2434" s="29"/>
      <c r="L2434" s="29"/>
      <c r="M2434" s="29"/>
      <c r="N2434" s="29"/>
      <c r="O2434" s="29"/>
      <c r="P2434" s="29"/>
      <c r="Q2434" s="29"/>
      <c r="R2434" s="29"/>
      <c r="S2434" s="29"/>
      <c r="T2434" s="29"/>
    </row>
    <row r="2435" spans="1:20" ht="15.75" customHeight="1" x14ac:dyDescent="0.25">
      <c r="A2435" s="29"/>
      <c r="B2435" s="29"/>
      <c r="C2435" s="29"/>
      <c r="D2435" s="29"/>
      <c r="E2435" s="29"/>
      <c r="F2435" s="29"/>
      <c r="G2435" s="29"/>
      <c r="H2435" s="29"/>
      <c r="I2435" s="29"/>
      <c r="J2435" s="29"/>
      <c r="K2435" s="29"/>
      <c r="L2435" s="29"/>
      <c r="M2435" s="29"/>
      <c r="N2435" s="29"/>
      <c r="O2435" s="29"/>
      <c r="P2435" s="29"/>
      <c r="Q2435" s="29"/>
      <c r="R2435" s="29"/>
      <c r="S2435" s="29"/>
      <c r="T2435" s="29"/>
    </row>
    <row r="2436" spans="1:20" ht="15.75" customHeight="1" x14ac:dyDescent="0.25">
      <c r="A2436" s="29"/>
      <c r="B2436" s="29"/>
      <c r="C2436" s="29"/>
      <c r="D2436" s="29"/>
      <c r="E2436" s="29"/>
      <c r="F2436" s="29"/>
      <c r="G2436" s="29"/>
      <c r="H2436" s="29"/>
      <c r="I2436" s="29"/>
      <c r="J2436" s="29"/>
      <c r="K2436" s="29"/>
      <c r="L2436" s="29"/>
      <c r="M2436" s="29"/>
      <c r="N2436" s="29"/>
      <c r="O2436" s="29"/>
      <c r="P2436" s="29"/>
      <c r="Q2436" s="29"/>
      <c r="R2436" s="29"/>
      <c r="S2436" s="29"/>
      <c r="T2436" s="29"/>
    </row>
    <row r="2437" spans="1:20" ht="15.75" customHeight="1" x14ac:dyDescent="0.25">
      <c r="A2437" s="29"/>
      <c r="B2437" s="29"/>
      <c r="C2437" s="29"/>
      <c r="D2437" s="29"/>
      <c r="E2437" s="29"/>
      <c r="F2437" s="29"/>
      <c r="G2437" s="29"/>
      <c r="H2437" s="29"/>
      <c r="I2437" s="29"/>
      <c r="J2437" s="29"/>
      <c r="K2437" s="29"/>
      <c r="L2437" s="29"/>
      <c r="M2437" s="29"/>
      <c r="N2437" s="29"/>
      <c r="O2437" s="29"/>
      <c r="P2437" s="29"/>
      <c r="Q2437" s="29"/>
      <c r="R2437" s="29"/>
      <c r="S2437" s="29"/>
      <c r="T2437" s="29"/>
    </row>
    <row r="2438" spans="1:20" ht="15.75" customHeight="1" x14ac:dyDescent="0.25">
      <c r="A2438" s="29"/>
      <c r="B2438" s="29"/>
      <c r="C2438" s="29"/>
      <c r="D2438" s="29"/>
      <c r="E2438" s="29"/>
      <c r="F2438" s="29"/>
      <c r="G2438" s="29"/>
      <c r="H2438" s="29"/>
      <c r="I2438" s="29"/>
      <c r="J2438" s="29"/>
      <c r="K2438" s="29"/>
      <c r="L2438" s="29"/>
      <c r="M2438" s="29"/>
      <c r="N2438" s="29"/>
      <c r="O2438" s="29"/>
      <c r="P2438" s="29"/>
      <c r="Q2438" s="29"/>
      <c r="R2438" s="29"/>
      <c r="S2438" s="29"/>
      <c r="T2438" s="29"/>
    </row>
    <row r="2439" spans="1:20" ht="15.75" customHeight="1" x14ac:dyDescent="0.25">
      <c r="A2439" s="29"/>
      <c r="B2439" s="29"/>
      <c r="C2439" s="29"/>
      <c r="D2439" s="29"/>
      <c r="E2439" s="29"/>
      <c r="F2439" s="29"/>
      <c r="G2439" s="29"/>
      <c r="H2439" s="29"/>
      <c r="I2439" s="29"/>
      <c r="J2439" s="29"/>
      <c r="K2439" s="29"/>
      <c r="L2439" s="29"/>
      <c r="M2439" s="29"/>
      <c r="N2439" s="29"/>
      <c r="O2439" s="29"/>
      <c r="P2439" s="29"/>
      <c r="Q2439" s="29"/>
      <c r="R2439" s="29"/>
      <c r="S2439" s="29"/>
      <c r="T2439" s="29"/>
    </row>
    <row r="2440" spans="1:20" ht="15.75" customHeight="1" x14ac:dyDescent="0.25">
      <c r="A2440" s="29"/>
      <c r="B2440" s="29"/>
      <c r="C2440" s="29"/>
      <c r="D2440" s="29"/>
      <c r="E2440" s="29"/>
      <c r="F2440" s="29"/>
      <c r="G2440" s="29"/>
      <c r="H2440" s="29"/>
      <c r="I2440" s="29"/>
      <c r="J2440" s="29"/>
      <c r="K2440" s="29"/>
      <c r="L2440" s="29"/>
      <c r="M2440" s="29"/>
      <c r="N2440" s="29"/>
      <c r="O2440" s="29"/>
      <c r="P2440" s="29"/>
      <c r="Q2440" s="29"/>
      <c r="R2440" s="29"/>
      <c r="S2440" s="29"/>
      <c r="T2440" s="29"/>
    </row>
    <row r="2441" spans="1:20" ht="15.75" customHeight="1" x14ac:dyDescent="0.25">
      <c r="A2441" s="29"/>
      <c r="B2441" s="29"/>
      <c r="C2441" s="29"/>
      <c r="D2441" s="29"/>
      <c r="E2441" s="29"/>
      <c r="F2441" s="29"/>
      <c r="G2441" s="29"/>
      <c r="H2441" s="29"/>
      <c r="I2441" s="29"/>
      <c r="J2441" s="29"/>
      <c r="K2441" s="29"/>
      <c r="L2441" s="29"/>
      <c r="M2441" s="29"/>
      <c r="N2441" s="29"/>
      <c r="O2441" s="29"/>
      <c r="P2441" s="29"/>
      <c r="Q2441" s="29"/>
      <c r="R2441" s="29"/>
      <c r="S2441" s="29"/>
      <c r="T2441" s="29"/>
    </row>
    <row r="2442" spans="1:20" ht="15.75" customHeight="1" x14ac:dyDescent="0.25">
      <c r="A2442" s="29"/>
      <c r="B2442" s="29"/>
      <c r="C2442" s="29"/>
      <c r="D2442" s="29"/>
      <c r="E2442" s="29"/>
      <c r="F2442" s="29"/>
      <c r="G2442" s="29"/>
      <c r="H2442" s="29"/>
      <c r="I2442" s="29"/>
      <c r="J2442" s="29"/>
      <c r="K2442" s="29"/>
      <c r="L2442" s="29"/>
      <c r="M2442" s="29"/>
      <c r="N2442" s="29"/>
      <c r="O2442" s="29"/>
      <c r="P2442" s="29"/>
      <c r="Q2442" s="29"/>
      <c r="R2442" s="29"/>
      <c r="S2442" s="29"/>
      <c r="T2442" s="29"/>
    </row>
    <row r="2443" spans="1:20" ht="15.75" customHeight="1" x14ac:dyDescent="0.25">
      <c r="A2443" s="29"/>
      <c r="B2443" s="29"/>
      <c r="C2443" s="29"/>
      <c r="D2443" s="29"/>
      <c r="E2443" s="29"/>
      <c r="F2443" s="29"/>
      <c r="G2443" s="29"/>
      <c r="H2443" s="29"/>
      <c r="I2443" s="29"/>
      <c r="J2443" s="29"/>
      <c r="K2443" s="29"/>
      <c r="L2443" s="29"/>
      <c r="M2443" s="29"/>
      <c r="N2443" s="29"/>
      <c r="O2443" s="29"/>
      <c r="P2443" s="29"/>
      <c r="Q2443" s="29"/>
      <c r="R2443" s="29"/>
      <c r="S2443" s="29"/>
      <c r="T2443" s="29"/>
    </row>
    <row r="2444" spans="1:20" ht="15.75" customHeight="1" x14ac:dyDescent="0.25">
      <c r="A2444" s="29"/>
      <c r="B2444" s="29"/>
      <c r="C2444" s="29"/>
      <c r="D2444" s="29"/>
      <c r="E2444" s="29"/>
      <c r="F2444" s="29"/>
      <c r="G2444" s="29"/>
      <c r="H2444" s="29"/>
      <c r="I2444" s="29"/>
      <c r="J2444" s="29"/>
      <c r="K2444" s="29"/>
      <c r="L2444" s="29"/>
      <c r="M2444" s="29"/>
      <c r="N2444" s="29"/>
      <c r="O2444" s="29"/>
      <c r="P2444" s="29"/>
      <c r="Q2444" s="29"/>
      <c r="R2444" s="29"/>
      <c r="S2444" s="29"/>
      <c r="T2444" s="29"/>
    </row>
    <row r="2445" spans="1:20" ht="15.75" customHeight="1" x14ac:dyDescent="0.25">
      <c r="A2445" s="29"/>
      <c r="B2445" s="29"/>
      <c r="C2445" s="29"/>
      <c r="D2445" s="29"/>
      <c r="E2445" s="29"/>
      <c r="F2445" s="29"/>
      <c r="G2445" s="29"/>
      <c r="H2445" s="29"/>
      <c r="I2445" s="29"/>
      <c r="J2445" s="29"/>
      <c r="K2445" s="29"/>
      <c r="L2445" s="29"/>
      <c r="M2445" s="29"/>
      <c r="N2445" s="29"/>
      <c r="O2445" s="29"/>
      <c r="P2445" s="29"/>
      <c r="Q2445" s="29"/>
      <c r="R2445" s="29"/>
      <c r="S2445" s="29"/>
      <c r="T2445" s="29"/>
    </row>
    <row r="2446" spans="1:20" ht="15.75" customHeight="1" x14ac:dyDescent="0.25">
      <c r="A2446" s="29"/>
      <c r="B2446" s="29"/>
      <c r="C2446" s="29"/>
      <c r="D2446" s="29"/>
      <c r="E2446" s="29"/>
      <c r="F2446" s="29"/>
      <c r="G2446" s="29"/>
      <c r="H2446" s="29"/>
      <c r="I2446" s="29"/>
      <c r="J2446" s="29"/>
      <c r="K2446" s="29"/>
      <c r="L2446" s="29"/>
      <c r="M2446" s="29"/>
      <c r="N2446" s="29"/>
      <c r="O2446" s="29"/>
      <c r="P2446" s="29"/>
      <c r="Q2446" s="29"/>
      <c r="R2446" s="29"/>
      <c r="S2446" s="29"/>
      <c r="T2446" s="29"/>
    </row>
    <row r="2447" spans="1:20" ht="15.75" customHeight="1" x14ac:dyDescent="0.25">
      <c r="A2447" s="29"/>
      <c r="B2447" s="29"/>
      <c r="C2447" s="29"/>
      <c r="D2447" s="29"/>
      <c r="E2447" s="29"/>
      <c r="F2447" s="29"/>
      <c r="G2447" s="29"/>
      <c r="H2447" s="29"/>
      <c r="I2447" s="29"/>
      <c r="J2447" s="29"/>
      <c r="K2447" s="29"/>
      <c r="L2447" s="29"/>
      <c r="M2447" s="29"/>
      <c r="N2447" s="29"/>
      <c r="O2447" s="29"/>
      <c r="P2447" s="29"/>
      <c r="Q2447" s="29"/>
      <c r="R2447" s="29"/>
      <c r="S2447" s="29"/>
      <c r="T2447" s="29"/>
    </row>
    <row r="2448" spans="1:20" ht="15.75" customHeight="1" x14ac:dyDescent="0.25">
      <c r="A2448" s="29"/>
      <c r="B2448" s="29"/>
      <c r="C2448" s="29"/>
      <c r="D2448" s="29"/>
      <c r="E2448" s="29"/>
      <c r="F2448" s="29"/>
      <c r="G2448" s="29"/>
      <c r="H2448" s="29"/>
      <c r="I2448" s="29"/>
      <c r="J2448" s="29"/>
      <c r="K2448" s="29"/>
      <c r="L2448" s="29"/>
      <c r="M2448" s="29"/>
      <c r="N2448" s="29"/>
      <c r="O2448" s="29"/>
      <c r="P2448" s="29"/>
      <c r="Q2448" s="29"/>
      <c r="R2448" s="29"/>
      <c r="S2448" s="29"/>
      <c r="T2448" s="29"/>
    </row>
    <row r="2449" spans="1:20" ht="15.75" customHeight="1" x14ac:dyDescent="0.25">
      <c r="A2449" s="29"/>
      <c r="B2449" s="29"/>
      <c r="C2449" s="29"/>
      <c r="D2449" s="29"/>
      <c r="E2449" s="29"/>
      <c r="F2449" s="29"/>
      <c r="G2449" s="29"/>
      <c r="H2449" s="29"/>
      <c r="I2449" s="29"/>
      <c r="J2449" s="29"/>
      <c r="K2449" s="29"/>
      <c r="L2449" s="29"/>
      <c r="M2449" s="29"/>
      <c r="N2449" s="29"/>
      <c r="O2449" s="29"/>
      <c r="P2449" s="29"/>
      <c r="Q2449" s="29"/>
      <c r="R2449" s="29"/>
      <c r="S2449" s="29"/>
      <c r="T2449" s="29"/>
    </row>
    <row r="2450" spans="1:20" ht="15.75" customHeight="1" x14ac:dyDescent="0.25">
      <c r="A2450" s="29"/>
      <c r="B2450" s="29"/>
      <c r="C2450" s="29"/>
      <c r="D2450" s="29"/>
      <c r="E2450" s="29"/>
      <c r="F2450" s="29"/>
      <c r="G2450" s="29"/>
      <c r="H2450" s="29"/>
      <c r="I2450" s="29"/>
      <c r="J2450" s="29"/>
      <c r="K2450" s="29"/>
      <c r="L2450" s="29"/>
      <c r="M2450" s="29"/>
      <c r="N2450" s="29"/>
      <c r="O2450" s="29"/>
      <c r="P2450" s="29"/>
      <c r="Q2450" s="29"/>
      <c r="R2450" s="29"/>
      <c r="S2450" s="29"/>
      <c r="T2450" s="29"/>
    </row>
    <row r="2451" spans="1:20" ht="15.75" customHeight="1" x14ac:dyDescent="0.25">
      <c r="A2451" s="29"/>
      <c r="B2451" s="29"/>
      <c r="C2451" s="29"/>
      <c r="D2451" s="29"/>
      <c r="E2451" s="29"/>
      <c r="F2451" s="29"/>
      <c r="G2451" s="29"/>
      <c r="H2451" s="29"/>
      <c r="I2451" s="29"/>
      <c r="J2451" s="29"/>
      <c r="K2451" s="29"/>
      <c r="L2451" s="29"/>
      <c r="M2451" s="29"/>
      <c r="N2451" s="29"/>
      <c r="O2451" s="29"/>
      <c r="P2451" s="29"/>
      <c r="Q2451" s="29"/>
      <c r="R2451" s="29"/>
      <c r="S2451" s="29"/>
      <c r="T2451" s="29"/>
    </row>
    <row r="2452" spans="1:20" ht="15.75" customHeight="1" x14ac:dyDescent="0.25">
      <c r="A2452" s="29"/>
      <c r="B2452" s="29"/>
      <c r="C2452" s="29"/>
      <c r="D2452" s="29"/>
      <c r="E2452" s="29"/>
      <c r="F2452" s="29"/>
      <c r="G2452" s="29"/>
      <c r="H2452" s="29"/>
      <c r="I2452" s="29"/>
      <c r="J2452" s="29"/>
      <c r="K2452" s="29"/>
      <c r="L2452" s="29"/>
      <c r="M2452" s="29"/>
      <c r="N2452" s="29"/>
      <c r="O2452" s="29"/>
      <c r="P2452" s="29"/>
      <c r="Q2452" s="29"/>
      <c r="R2452" s="29"/>
      <c r="S2452" s="29"/>
      <c r="T2452" s="29"/>
    </row>
    <row r="2453" spans="1:20" ht="15.75" customHeight="1" x14ac:dyDescent="0.25">
      <c r="A2453" s="29"/>
      <c r="B2453" s="29"/>
      <c r="C2453" s="29"/>
      <c r="D2453" s="29"/>
      <c r="E2453" s="29"/>
      <c r="F2453" s="29"/>
      <c r="G2453" s="29"/>
      <c r="H2453" s="29"/>
      <c r="I2453" s="29"/>
      <c r="J2453" s="29"/>
      <c r="K2453" s="29"/>
      <c r="L2453" s="29"/>
      <c r="M2453" s="29"/>
      <c r="N2453" s="29"/>
      <c r="O2453" s="29"/>
      <c r="P2453" s="29"/>
      <c r="Q2453" s="29"/>
      <c r="R2453" s="29"/>
      <c r="S2453" s="29"/>
      <c r="T2453" s="29"/>
    </row>
    <row r="2454" spans="1:20" ht="15.75" customHeight="1" x14ac:dyDescent="0.25">
      <c r="A2454" s="29"/>
      <c r="B2454" s="29"/>
      <c r="C2454" s="29"/>
      <c r="D2454" s="29"/>
      <c r="E2454" s="29"/>
      <c r="F2454" s="29"/>
      <c r="G2454" s="29"/>
      <c r="H2454" s="29"/>
      <c r="I2454" s="29"/>
      <c r="J2454" s="29"/>
      <c r="K2454" s="29"/>
      <c r="L2454" s="29"/>
      <c r="M2454" s="29"/>
      <c r="N2454" s="29"/>
      <c r="O2454" s="29"/>
      <c r="P2454" s="29"/>
      <c r="Q2454" s="29"/>
      <c r="R2454" s="29"/>
      <c r="S2454" s="29"/>
      <c r="T2454" s="29"/>
    </row>
    <row r="2455" spans="1:20" ht="15.75" customHeight="1" x14ac:dyDescent="0.25">
      <c r="A2455" s="29"/>
      <c r="B2455" s="29"/>
      <c r="C2455" s="29"/>
      <c r="D2455" s="29"/>
      <c r="E2455" s="29"/>
      <c r="F2455" s="29"/>
      <c r="G2455" s="29"/>
      <c r="H2455" s="29"/>
      <c r="I2455" s="29"/>
      <c r="J2455" s="29"/>
      <c r="K2455" s="29"/>
      <c r="L2455" s="29"/>
      <c r="M2455" s="29"/>
      <c r="N2455" s="29"/>
      <c r="O2455" s="29"/>
      <c r="P2455" s="29"/>
      <c r="Q2455" s="29"/>
      <c r="R2455" s="29"/>
      <c r="S2455" s="29"/>
      <c r="T2455" s="29"/>
    </row>
    <row r="2456" spans="1:20" ht="15.75" customHeight="1" x14ac:dyDescent="0.25">
      <c r="A2456" s="29"/>
      <c r="B2456" s="29"/>
      <c r="C2456" s="29"/>
      <c r="D2456" s="29"/>
      <c r="E2456" s="29"/>
      <c r="F2456" s="29"/>
      <c r="G2456" s="29"/>
      <c r="H2456" s="29"/>
      <c r="I2456" s="29"/>
      <c r="J2456" s="29"/>
      <c r="K2456" s="29"/>
      <c r="L2456" s="29"/>
      <c r="M2456" s="29"/>
      <c r="N2456" s="29"/>
      <c r="O2456" s="29"/>
      <c r="P2456" s="29"/>
      <c r="Q2456" s="29"/>
      <c r="R2456" s="29"/>
      <c r="S2456" s="29"/>
      <c r="T2456" s="29"/>
    </row>
    <row r="2457" spans="1:20" ht="15.75" customHeight="1" x14ac:dyDescent="0.25">
      <c r="A2457" s="29"/>
      <c r="B2457" s="29"/>
      <c r="C2457" s="29"/>
      <c r="D2457" s="29"/>
      <c r="E2457" s="29"/>
      <c r="F2457" s="29"/>
      <c r="G2457" s="29"/>
      <c r="H2457" s="29"/>
      <c r="I2457" s="29"/>
      <c r="J2457" s="29"/>
      <c r="K2457" s="29"/>
      <c r="L2457" s="29"/>
      <c r="M2457" s="29"/>
      <c r="N2457" s="29"/>
      <c r="O2457" s="29"/>
      <c r="P2457" s="29"/>
      <c r="Q2457" s="29"/>
      <c r="R2457" s="29"/>
      <c r="S2457" s="29"/>
      <c r="T2457" s="29"/>
    </row>
    <row r="2458" spans="1:20" ht="15.75" customHeight="1" x14ac:dyDescent="0.25">
      <c r="A2458" s="29"/>
      <c r="B2458" s="29"/>
      <c r="C2458" s="29"/>
      <c r="D2458" s="29"/>
      <c r="E2458" s="29"/>
      <c r="F2458" s="29"/>
      <c r="G2458" s="29"/>
      <c r="H2458" s="29"/>
      <c r="I2458" s="29"/>
      <c r="J2458" s="29"/>
      <c r="K2458" s="29"/>
      <c r="L2458" s="29"/>
      <c r="M2458" s="29"/>
      <c r="N2458" s="29"/>
      <c r="O2458" s="29"/>
      <c r="P2458" s="29"/>
      <c r="Q2458" s="29"/>
      <c r="R2458" s="29"/>
      <c r="S2458" s="29"/>
      <c r="T2458" s="29"/>
    </row>
    <row r="2459" spans="1:20" ht="15.75" customHeight="1" x14ac:dyDescent="0.25">
      <c r="A2459" s="29"/>
      <c r="B2459" s="29"/>
      <c r="C2459" s="29"/>
      <c r="D2459" s="29"/>
      <c r="E2459" s="29"/>
      <c r="F2459" s="29"/>
      <c r="G2459" s="29"/>
      <c r="H2459" s="29"/>
      <c r="I2459" s="29"/>
      <c r="J2459" s="29"/>
      <c r="K2459" s="29"/>
      <c r="L2459" s="29"/>
      <c r="M2459" s="29"/>
      <c r="N2459" s="29"/>
      <c r="O2459" s="29"/>
      <c r="P2459" s="29"/>
      <c r="Q2459" s="29"/>
      <c r="R2459" s="29"/>
      <c r="S2459" s="29"/>
      <c r="T2459" s="29"/>
    </row>
    <row r="2460" spans="1:20" ht="15.75" customHeight="1" x14ac:dyDescent="0.25">
      <c r="A2460" s="29"/>
      <c r="B2460" s="29"/>
      <c r="C2460" s="29"/>
      <c r="D2460" s="29"/>
      <c r="E2460" s="29"/>
      <c r="F2460" s="29"/>
      <c r="G2460" s="29"/>
      <c r="H2460" s="29"/>
      <c r="I2460" s="29"/>
      <c r="J2460" s="29"/>
      <c r="K2460" s="29"/>
      <c r="L2460" s="29"/>
      <c r="M2460" s="29"/>
      <c r="N2460" s="29"/>
      <c r="O2460" s="29"/>
      <c r="P2460" s="29"/>
      <c r="Q2460" s="29"/>
      <c r="R2460" s="29"/>
      <c r="S2460" s="29"/>
      <c r="T2460" s="29"/>
    </row>
    <row r="2461" spans="1:20" ht="15.75" customHeight="1" x14ac:dyDescent="0.25">
      <c r="A2461" s="29"/>
      <c r="B2461" s="29"/>
      <c r="C2461" s="29"/>
      <c r="D2461" s="29"/>
      <c r="E2461" s="29"/>
      <c r="F2461" s="29"/>
      <c r="G2461" s="29"/>
      <c r="H2461" s="29"/>
      <c r="I2461" s="29"/>
      <c r="J2461" s="29"/>
      <c r="K2461" s="29"/>
      <c r="L2461" s="29"/>
      <c r="M2461" s="29"/>
      <c r="N2461" s="29"/>
      <c r="O2461" s="29"/>
      <c r="P2461" s="29"/>
      <c r="Q2461" s="29"/>
      <c r="R2461" s="29"/>
      <c r="S2461" s="29"/>
      <c r="T2461" s="29"/>
    </row>
    <row r="2462" spans="1:20" ht="15.75" customHeight="1" x14ac:dyDescent="0.25">
      <c r="A2462" s="29"/>
      <c r="B2462" s="29"/>
      <c r="C2462" s="29"/>
      <c r="D2462" s="29"/>
      <c r="E2462" s="29"/>
      <c r="F2462" s="29"/>
      <c r="G2462" s="29"/>
      <c r="H2462" s="29"/>
      <c r="I2462" s="29"/>
      <c r="J2462" s="29"/>
      <c r="K2462" s="29"/>
      <c r="L2462" s="29"/>
      <c r="M2462" s="29"/>
      <c r="N2462" s="29"/>
      <c r="O2462" s="29"/>
      <c r="P2462" s="29"/>
      <c r="Q2462" s="29"/>
      <c r="R2462" s="29"/>
      <c r="S2462" s="29"/>
      <c r="T2462" s="29"/>
    </row>
    <row r="2463" spans="1:20" ht="15.75" customHeight="1" x14ac:dyDescent="0.25">
      <c r="A2463" s="29"/>
      <c r="B2463" s="29"/>
      <c r="C2463" s="29"/>
      <c r="D2463" s="29"/>
      <c r="E2463" s="29"/>
      <c r="F2463" s="29"/>
      <c r="G2463" s="29"/>
      <c r="H2463" s="29"/>
      <c r="I2463" s="29"/>
      <c r="J2463" s="29"/>
      <c r="K2463" s="29"/>
      <c r="L2463" s="29"/>
      <c r="M2463" s="29"/>
      <c r="N2463" s="29"/>
      <c r="O2463" s="29"/>
      <c r="P2463" s="29"/>
      <c r="Q2463" s="29"/>
      <c r="R2463" s="29"/>
      <c r="S2463" s="29"/>
      <c r="T2463" s="29"/>
    </row>
    <row r="2464" spans="1:20" ht="15.75" customHeight="1" x14ac:dyDescent="0.25">
      <c r="A2464" s="29"/>
      <c r="B2464" s="29"/>
      <c r="C2464" s="29"/>
      <c r="D2464" s="29"/>
      <c r="E2464" s="29"/>
      <c r="F2464" s="29"/>
      <c r="G2464" s="29"/>
      <c r="H2464" s="29"/>
      <c r="I2464" s="29"/>
      <c r="J2464" s="29"/>
      <c r="K2464" s="29"/>
      <c r="L2464" s="29"/>
      <c r="M2464" s="29"/>
      <c r="N2464" s="29"/>
      <c r="O2464" s="29"/>
      <c r="P2464" s="29"/>
      <c r="Q2464" s="29"/>
      <c r="R2464" s="29"/>
      <c r="S2464" s="29"/>
      <c r="T2464" s="29"/>
    </row>
    <row r="2465" spans="1:20" ht="15.75" customHeight="1" x14ac:dyDescent="0.25">
      <c r="A2465" s="29"/>
      <c r="B2465" s="29"/>
      <c r="C2465" s="29"/>
      <c r="D2465" s="29"/>
      <c r="E2465" s="29"/>
      <c r="F2465" s="29"/>
      <c r="G2465" s="29"/>
      <c r="H2465" s="29"/>
      <c r="I2465" s="29"/>
      <c r="J2465" s="29"/>
      <c r="K2465" s="29"/>
      <c r="L2465" s="29"/>
      <c r="M2465" s="29"/>
      <c r="N2465" s="29"/>
      <c r="O2465" s="29"/>
      <c r="P2465" s="29"/>
      <c r="Q2465" s="29"/>
      <c r="R2465" s="29"/>
      <c r="S2465" s="29"/>
      <c r="T2465" s="29"/>
    </row>
    <row r="2466" spans="1:20" ht="15.75" customHeight="1" x14ac:dyDescent="0.25">
      <c r="A2466" s="29"/>
      <c r="B2466" s="29"/>
      <c r="C2466" s="29"/>
      <c r="D2466" s="29"/>
      <c r="E2466" s="29"/>
      <c r="F2466" s="29"/>
      <c r="G2466" s="29"/>
      <c r="H2466" s="29"/>
      <c r="I2466" s="29"/>
      <c r="J2466" s="29"/>
      <c r="K2466" s="29"/>
      <c r="L2466" s="29"/>
      <c r="M2466" s="29"/>
      <c r="N2466" s="29"/>
      <c r="O2466" s="29"/>
      <c r="P2466" s="29"/>
      <c r="Q2466" s="29"/>
      <c r="R2466" s="29"/>
      <c r="S2466" s="29"/>
      <c r="T2466" s="29"/>
    </row>
    <row r="2467" spans="1:20" ht="15.75" customHeight="1" x14ac:dyDescent="0.25">
      <c r="A2467" s="29"/>
      <c r="B2467" s="29"/>
      <c r="C2467" s="29"/>
      <c r="D2467" s="29"/>
      <c r="E2467" s="29"/>
      <c r="F2467" s="29"/>
      <c r="G2467" s="29"/>
      <c r="H2467" s="29"/>
      <c r="I2467" s="29"/>
      <c r="J2467" s="29"/>
      <c r="K2467" s="29"/>
      <c r="L2467" s="29"/>
      <c r="M2467" s="29"/>
      <c r="N2467" s="29"/>
      <c r="O2467" s="29"/>
      <c r="P2467" s="29"/>
      <c r="Q2467" s="29"/>
      <c r="R2467" s="29"/>
      <c r="S2467" s="29"/>
      <c r="T2467" s="29"/>
    </row>
    <row r="2468" spans="1:20" ht="15.75" customHeight="1" x14ac:dyDescent="0.25">
      <c r="A2468" s="29"/>
      <c r="B2468" s="29"/>
      <c r="C2468" s="29"/>
      <c r="D2468" s="29"/>
      <c r="E2468" s="29"/>
      <c r="F2468" s="29"/>
      <c r="G2468" s="29"/>
      <c r="H2468" s="29"/>
      <c r="I2468" s="29"/>
      <c r="J2468" s="29"/>
      <c r="K2468" s="29"/>
      <c r="L2468" s="29"/>
      <c r="M2468" s="29"/>
      <c r="N2468" s="29"/>
      <c r="O2468" s="29"/>
      <c r="P2468" s="29"/>
      <c r="Q2468" s="29"/>
      <c r="R2468" s="29"/>
      <c r="S2468" s="29"/>
      <c r="T2468" s="29"/>
    </row>
    <row r="2469" spans="1:20" ht="15.75" customHeight="1" x14ac:dyDescent="0.25">
      <c r="A2469" s="29"/>
      <c r="B2469" s="29"/>
      <c r="C2469" s="29"/>
      <c r="D2469" s="29"/>
      <c r="E2469" s="29"/>
      <c r="F2469" s="29"/>
      <c r="G2469" s="29"/>
      <c r="H2469" s="29"/>
      <c r="I2469" s="29"/>
      <c r="J2469" s="29"/>
      <c r="K2469" s="29"/>
      <c r="L2469" s="29"/>
      <c r="M2469" s="29"/>
      <c r="N2469" s="29"/>
      <c r="O2469" s="29"/>
      <c r="P2469" s="29"/>
      <c r="Q2469" s="29"/>
      <c r="R2469" s="29"/>
      <c r="S2469" s="29"/>
      <c r="T2469" s="29"/>
    </row>
    <row r="2470" spans="1:20" ht="15.75" customHeight="1" x14ac:dyDescent="0.25">
      <c r="A2470" s="29"/>
      <c r="B2470" s="29"/>
      <c r="C2470" s="29"/>
      <c r="D2470" s="29"/>
      <c r="E2470" s="29"/>
      <c r="F2470" s="29"/>
      <c r="G2470" s="29"/>
      <c r="H2470" s="29"/>
      <c r="I2470" s="29"/>
      <c r="J2470" s="29"/>
      <c r="K2470" s="29"/>
      <c r="L2470" s="29"/>
      <c r="M2470" s="29"/>
      <c r="N2470" s="29"/>
      <c r="O2470" s="29"/>
      <c r="P2470" s="29"/>
      <c r="Q2470" s="29"/>
      <c r="R2470" s="29"/>
      <c r="S2470" s="29"/>
      <c r="T2470" s="29"/>
    </row>
    <row r="2471" spans="1:20" ht="15.75" customHeight="1" x14ac:dyDescent="0.25">
      <c r="A2471" s="29"/>
      <c r="B2471" s="29"/>
      <c r="C2471" s="29"/>
      <c r="D2471" s="29"/>
      <c r="E2471" s="29"/>
      <c r="F2471" s="29"/>
      <c r="G2471" s="29"/>
      <c r="H2471" s="29"/>
      <c r="I2471" s="29"/>
      <c r="J2471" s="29"/>
      <c r="K2471" s="29"/>
      <c r="L2471" s="29"/>
      <c r="M2471" s="29"/>
      <c r="N2471" s="29"/>
      <c r="O2471" s="29"/>
      <c r="P2471" s="29"/>
      <c r="Q2471" s="29"/>
      <c r="R2471" s="29"/>
      <c r="S2471" s="29"/>
      <c r="T2471" s="29"/>
    </row>
    <row r="2472" spans="1:20" ht="15.75" customHeight="1" x14ac:dyDescent="0.25">
      <c r="A2472" s="29"/>
      <c r="B2472" s="29"/>
      <c r="C2472" s="29"/>
      <c r="D2472" s="29"/>
      <c r="E2472" s="29"/>
      <c r="F2472" s="29"/>
      <c r="G2472" s="29"/>
      <c r="H2472" s="29"/>
      <c r="I2472" s="29"/>
      <c r="J2472" s="29"/>
      <c r="K2472" s="29"/>
      <c r="L2472" s="29"/>
      <c r="M2472" s="29"/>
      <c r="N2472" s="29"/>
      <c r="O2472" s="29"/>
      <c r="P2472" s="29"/>
      <c r="Q2472" s="29"/>
      <c r="R2472" s="29"/>
      <c r="S2472" s="29"/>
      <c r="T2472" s="29"/>
    </row>
    <row r="2473" spans="1:20" ht="15.75" customHeight="1" x14ac:dyDescent="0.25">
      <c r="A2473" s="29"/>
      <c r="B2473" s="29"/>
      <c r="C2473" s="29"/>
      <c r="D2473" s="29"/>
      <c r="E2473" s="29"/>
      <c r="F2473" s="29"/>
      <c r="G2473" s="29"/>
      <c r="H2473" s="29"/>
      <c r="I2473" s="29"/>
      <c r="J2473" s="29"/>
      <c r="K2473" s="29"/>
      <c r="L2473" s="29"/>
      <c r="M2473" s="29"/>
      <c r="N2473" s="29"/>
      <c r="O2473" s="29"/>
      <c r="P2473" s="29"/>
      <c r="Q2473" s="29"/>
      <c r="R2473" s="29"/>
      <c r="S2473" s="29"/>
      <c r="T2473" s="29"/>
    </row>
    <row r="2474" spans="1:20" ht="15.75" customHeight="1" x14ac:dyDescent="0.25">
      <c r="A2474" s="29"/>
      <c r="B2474" s="29"/>
      <c r="C2474" s="29"/>
      <c r="D2474" s="29"/>
      <c r="E2474" s="29"/>
      <c r="F2474" s="29"/>
      <c r="G2474" s="29"/>
      <c r="H2474" s="29"/>
      <c r="I2474" s="29"/>
      <c r="J2474" s="29"/>
      <c r="K2474" s="29"/>
      <c r="L2474" s="29"/>
      <c r="M2474" s="29"/>
      <c r="N2474" s="29"/>
      <c r="O2474" s="29"/>
      <c r="P2474" s="29"/>
      <c r="Q2474" s="29"/>
      <c r="R2474" s="29"/>
      <c r="S2474" s="29"/>
      <c r="T2474" s="29"/>
    </row>
    <row r="2475" spans="1:20" ht="15.75" customHeight="1" x14ac:dyDescent="0.25">
      <c r="A2475" s="29"/>
      <c r="B2475" s="29"/>
      <c r="C2475" s="29"/>
      <c r="D2475" s="29"/>
      <c r="E2475" s="29"/>
      <c r="F2475" s="29"/>
      <c r="G2475" s="29"/>
      <c r="H2475" s="29"/>
      <c r="I2475" s="29"/>
      <c r="J2475" s="29"/>
      <c r="K2475" s="29"/>
      <c r="L2475" s="29"/>
      <c r="M2475" s="29"/>
      <c r="N2475" s="29"/>
      <c r="O2475" s="29"/>
      <c r="P2475" s="29"/>
      <c r="Q2475" s="29"/>
      <c r="R2475" s="29"/>
      <c r="S2475" s="29"/>
      <c r="T2475" s="29"/>
    </row>
    <row r="2476" spans="1:20" ht="15.75" customHeight="1" x14ac:dyDescent="0.25">
      <c r="A2476" s="29"/>
      <c r="B2476" s="29"/>
      <c r="C2476" s="29"/>
      <c r="D2476" s="29"/>
      <c r="E2476" s="29"/>
      <c r="F2476" s="29"/>
      <c r="G2476" s="29"/>
      <c r="H2476" s="29"/>
      <c r="I2476" s="29"/>
      <c r="J2476" s="29"/>
      <c r="K2476" s="29"/>
      <c r="L2476" s="29"/>
      <c r="M2476" s="29"/>
      <c r="N2476" s="29"/>
      <c r="O2476" s="29"/>
      <c r="P2476" s="29"/>
      <c r="Q2476" s="29"/>
      <c r="R2476" s="29"/>
      <c r="S2476" s="29"/>
      <c r="T2476" s="29"/>
    </row>
    <row r="2477" spans="1:20" ht="15.75" customHeight="1" x14ac:dyDescent="0.25">
      <c r="A2477" s="29"/>
      <c r="B2477" s="29"/>
      <c r="C2477" s="29"/>
      <c r="D2477" s="29"/>
      <c r="E2477" s="29"/>
      <c r="F2477" s="29"/>
      <c r="G2477" s="29"/>
      <c r="H2477" s="29"/>
      <c r="I2477" s="29"/>
      <c r="J2477" s="29"/>
      <c r="K2477" s="29"/>
      <c r="L2477" s="29"/>
      <c r="M2477" s="29"/>
      <c r="N2477" s="29"/>
      <c r="O2477" s="29"/>
      <c r="P2477" s="29"/>
      <c r="Q2477" s="29"/>
      <c r="R2477" s="29"/>
      <c r="S2477" s="29"/>
      <c r="T2477" s="29"/>
    </row>
    <row r="2478" spans="1:20" ht="15.75" customHeight="1" x14ac:dyDescent="0.25">
      <c r="A2478" s="29"/>
      <c r="B2478" s="29"/>
      <c r="C2478" s="29"/>
      <c r="D2478" s="29"/>
      <c r="E2478" s="29"/>
      <c r="F2478" s="29"/>
      <c r="G2478" s="29"/>
      <c r="H2478" s="29"/>
      <c r="I2478" s="29"/>
      <c r="J2478" s="29"/>
      <c r="K2478" s="29"/>
      <c r="L2478" s="29"/>
      <c r="M2478" s="29"/>
      <c r="N2478" s="29"/>
      <c r="O2478" s="29"/>
      <c r="P2478" s="29"/>
      <c r="Q2478" s="29"/>
      <c r="R2478" s="29"/>
      <c r="S2478" s="29"/>
      <c r="T2478" s="29"/>
    </row>
    <row r="2479" spans="1:20" ht="15.75" customHeight="1" x14ac:dyDescent="0.25">
      <c r="A2479" s="29"/>
      <c r="B2479" s="29"/>
      <c r="C2479" s="29"/>
      <c r="D2479" s="29"/>
      <c r="E2479" s="29"/>
      <c r="F2479" s="29"/>
      <c r="G2479" s="29"/>
      <c r="H2479" s="29"/>
      <c r="I2479" s="29"/>
      <c r="J2479" s="29"/>
      <c r="K2479" s="29"/>
      <c r="L2479" s="29"/>
      <c r="M2479" s="29"/>
      <c r="N2479" s="29"/>
      <c r="O2479" s="29"/>
      <c r="P2479" s="29"/>
      <c r="Q2479" s="29"/>
      <c r="R2479" s="29"/>
      <c r="S2479" s="29"/>
      <c r="T2479" s="29"/>
    </row>
    <row r="2480" spans="1:20" ht="15.75" customHeight="1" x14ac:dyDescent="0.25">
      <c r="A2480" s="29"/>
      <c r="B2480" s="29"/>
      <c r="C2480" s="29"/>
      <c r="D2480" s="29"/>
      <c r="E2480" s="29"/>
      <c r="F2480" s="29"/>
      <c r="G2480" s="29"/>
      <c r="H2480" s="29"/>
      <c r="I2480" s="29"/>
      <c r="J2480" s="29"/>
      <c r="K2480" s="29"/>
      <c r="L2480" s="29"/>
      <c r="M2480" s="29"/>
      <c r="N2480" s="29"/>
      <c r="O2480" s="29"/>
      <c r="P2480" s="29"/>
      <c r="Q2480" s="29"/>
      <c r="R2480" s="29"/>
      <c r="S2480" s="29"/>
      <c r="T2480" s="29"/>
    </row>
    <row r="2481" spans="1:20" ht="15.75" customHeight="1" x14ac:dyDescent="0.25">
      <c r="A2481" s="29"/>
      <c r="B2481" s="29"/>
      <c r="C2481" s="29"/>
      <c r="D2481" s="29"/>
      <c r="E2481" s="29"/>
      <c r="F2481" s="29"/>
      <c r="G2481" s="29"/>
      <c r="H2481" s="29"/>
      <c r="I2481" s="29"/>
      <c r="J2481" s="29"/>
      <c r="K2481" s="29"/>
      <c r="L2481" s="29"/>
      <c r="M2481" s="29"/>
      <c r="N2481" s="29"/>
      <c r="O2481" s="29"/>
      <c r="P2481" s="29"/>
      <c r="Q2481" s="29"/>
      <c r="R2481" s="29"/>
      <c r="S2481" s="29"/>
      <c r="T2481" s="29"/>
    </row>
    <row r="2482" spans="1:20" ht="15.75" customHeight="1" x14ac:dyDescent="0.25">
      <c r="A2482" s="29"/>
      <c r="B2482" s="29"/>
      <c r="C2482" s="29"/>
      <c r="D2482" s="29"/>
      <c r="E2482" s="29"/>
      <c r="F2482" s="29"/>
      <c r="G2482" s="29"/>
      <c r="H2482" s="29"/>
      <c r="I2482" s="29"/>
      <c r="J2482" s="29"/>
      <c r="K2482" s="29"/>
      <c r="L2482" s="29"/>
      <c r="M2482" s="29"/>
      <c r="N2482" s="29"/>
      <c r="O2482" s="29"/>
      <c r="P2482" s="29"/>
      <c r="Q2482" s="29"/>
      <c r="R2482" s="29"/>
      <c r="S2482" s="29"/>
      <c r="T2482" s="29"/>
    </row>
    <row r="2483" spans="1:20" ht="15.75" customHeight="1" x14ac:dyDescent="0.25">
      <c r="A2483" s="29"/>
      <c r="B2483" s="29"/>
      <c r="C2483" s="29"/>
      <c r="D2483" s="29"/>
      <c r="E2483" s="29"/>
      <c r="F2483" s="29"/>
      <c r="G2483" s="29"/>
      <c r="H2483" s="29"/>
      <c r="I2483" s="29"/>
      <c r="J2483" s="29"/>
      <c r="K2483" s="29"/>
      <c r="L2483" s="29"/>
      <c r="M2483" s="29"/>
      <c r="N2483" s="29"/>
      <c r="O2483" s="29"/>
      <c r="P2483" s="29"/>
      <c r="Q2483" s="29"/>
      <c r="R2483" s="29"/>
      <c r="S2483" s="29"/>
      <c r="T2483" s="29"/>
    </row>
    <row r="2484" spans="1:20" ht="15.75" customHeight="1" x14ac:dyDescent="0.25">
      <c r="A2484" s="29"/>
      <c r="B2484" s="29"/>
      <c r="C2484" s="29"/>
      <c r="D2484" s="29"/>
      <c r="E2484" s="29"/>
      <c r="F2484" s="29"/>
      <c r="G2484" s="29"/>
      <c r="H2484" s="29"/>
      <c r="I2484" s="29"/>
      <c r="J2484" s="29"/>
      <c r="K2484" s="29"/>
      <c r="L2484" s="29"/>
      <c r="M2484" s="29"/>
      <c r="N2484" s="29"/>
      <c r="O2484" s="29"/>
      <c r="P2484" s="29"/>
      <c r="Q2484" s="29"/>
      <c r="R2484" s="29"/>
      <c r="S2484" s="29"/>
      <c r="T2484" s="29"/>
    </row>
    <row r="2485" spans="1:20" ht="15.75" customHeight="1" x14ac:dyDescent="0.25">
      <c r="A2485" s="29"/>
      <c r="B2485" s="29"/>
      <c r="C2485" s="29"/>
      <c r="D2485" s="29"/>
      <c r="E2485" s="29"/>
      <c r="F2485" s="29"/>
      <c r="G2485" s="29"/>
      <c r="H2485" s="29"/>
      <c r="I2485" s="29"/>
      <c r="J2485" s="29"/>
      <c r="K2485" s="29"/>
      <c r="L2485" s="29"/>
      <c r="M2485" s="29"/>
      <c r="N2485" s="29"/>
      <c r="O2485" s="29"/>
      <c r="P2485" s="29"/>
      <c r="Q2485" s="29"/>
      <c r="R2485" s="29"/>
      <c r="S2485" s="29"/>
      <c r="T2485" s="29"/>
    </row>
    <row r="2486" spans="1:20" ht="15.75" customHeight="1" x14ac:dyDescent="0.25">
      <c r="A2486" s="29"/>
      <c r="B2486" s="29"/>
      <c r="C2486" s="29"/>
      <c r="D2486" s="29"/>
      <c r="E2486" s="29"/>
      <c r="F2486" s="29"/>
      <c r="G2486" s="29"/>
      <c r="H2486" s="29"/>
      <c r="I2486" s="29"/>
      <c r="J2486" s="29"/>
      <c r="K2486" s="29"/>
      <c r="L2486" s="29"/>
      <c r="M2486" s="29"/>
      <c r="N2486" s="29"/>
      <c r="O2486" s="29"/>
      <c r="P2486" s="29"/>
      <c r="Q2486" s="29"/>
      <c r="R2486" s="29"/>
      <c r="S2486" s="29"/>
      <c r="T2486" s="29"/>
    </row>
    <row r="2487" spans="1:20" ht="15.75" customHeight="1" x14ac:dyDescent="0.25">
      <c r="A2487" s="29"/>
      <c r="B2487" s="29"/>
      <c r="C2487" s="29"/>
      <c r="D2487" s="29"/>
      <c r="E2487" s="29"/>
      <c r="F2487" s="29"/>
      <c r="G2487" s="29"/>
      <c r="H2487" s="29"/>
      <c r="I2487" s="29"/>
      <c r="J2487" s="29"/>
      <c r="K2487" s="29"/>
      <c r="L2487" s="29"/>
      <c r="M2487" s="29"/>
      <c r="N2487" s="29"/>
      <c r="O2487" s="29"/>
      <c r="P2487" s="29"/>
      <c r="Q2487" s="29"/>
      <c r="R2487" s="29"/>
      <c r="S2487" s="29"/>
      <c r="T2487" s="29"/>
    </row>
    <row r="2488" spans="1:20" ht="15.75" customHeight="1" x14ac:dyDescent="0.25">
      <c r="A2488" s="29"/>
      <c r="B2488" s="29"/>
      <c r="C2488" s="29"/>
      <c r="D2488" s="29"/>
      <c r="E2488" s="29"/>
      <c r="F2488" s="29"/>
      <c r="G2488" s="29"/>
      <c r="H2488" s="29"/>
      <c r="I2488" s="29"/>
      <c r="J2488" s="29"/>
      <c r="K2488" s="29"/>
      <c r="L2488" s="29"/>
      <c r="M2488" s="29"/>
      <c r="N2488" s="29"/>
      <c r="O2488" s="29"/>
      <c r="P2488" s="29"/>
      <c r="Q2488" s="29"/>
      <c r="R2488" s="29"/>
      <c r="S2488" s="29"/>
      <c r="T2488" s="29"/>
    </row>
    <row r="2489" spans="1:20" ht="15.75" customHeight="1" x14ac:dyDescent="0.25">
      <c r="A2489" s="29"/>
      <c r="B2489" s="29"/>
      <c r="C2489" s="29"/>
      <c r="D2489" s="29"/>
      <c r="E2489" s="29"/>
      <c r="F2489" s="29"/>
      <c r="G2489" s="29"/>
      <c r="H2489" s="29"/>
      <c r="I2489" s="29"/>
      <c r="J2489" s="29"/>
      <c r="K2489" s="29"/>
      <c r="L2489" s="29"/>
      <c r="M2489" s="29"/>
      <c r="N2489" s="29"/>
      <c r="O2489" s="29"/>
      <c r="P2489" s="29"/>
      <c r="Q2489" s="29"/>
      <c r="R2489" s="29"/>
      <c r="S2489" s="29"/>
      <c r="T2489" s="29"/>
    </row>
    <row r="2490" spans="1:20" ht="15.75" customHeight="1" x14ac:dyDescent="0.25">
      <c r="A2490" s="29"/>
      <c r="B2490" s="29"/>
      <c r="C2490" s="29"/>
      <c r="D2490" s="29"/>
      <c r="E2490" s="29"/>
      <c r="F2490" s="29"/>
      <c r="G2490" s="29"/>
      <c r="H2490" s="29"/>
      <c r="I2490" s="29"/>
      <c r="J2490" s="29"/>
      <c r="K2490" s="29"/>
      <c r="L2490" s="29"/>
      <c r="M2490" s="29"/>
      <c r="N2490" s="29"/>
      <c r="O2490" s="29"/>
      <c r="P2490" s="29"/>
      <c r="Q2490" s="29"/>
      <c r="R2490" s="29"/>
      <c r="S2490" s="29"/>
      <c r="T2490" s="29"/>
    </row>
    <row r="2491" spans="1:20" ht="15.75" customHeight="1" x14ac:dyDescent="0.25">
      <c r="A2491" s="29"/>
      <c r="B2491" s="29"/>
      <c r="C2491" s="29"/>
      <c r="D2491" s="29"/>
      <c r="E2491" s="29"/>
      <c r="F2491" s="29"/>
      <c r="G2491" s="29"/>
      <c r="H2491" s="29"/>
      <c r="I2491" s="29"/>
      <c r="J2491" s="29"/>
      <c r="K2491" s="29"/>
      <c r="L2491" s="29"/>
      <c r="M2491" s="29"/>
      <c r="N2491" s="29"/>
      <c r="O2491" s="29"/>
      <c r="P2491" s="29"/>
      <c r="Q2491" s="29"/>
      <c r="R2491" s="29"/>
      <c r="S2491" s="29"/>
      <c r="T2491" s="29"/>
    </row>
    <row r="2492" spans="1:20" ht="15.75" customHeight="1" x14ac:dyDescent="0.25">
      <c r="A2492" s="29"/>
      <c r="B2492" s="29"/>
      <c r="C2492" s="29"/>
      <c r="D2492" s="29"/>
      <c r="E2492" s="29"/>
      <c r="F2492" s="29"/>
      <c r="G2492" s="29"/>
      <c r="H2492" s="29"/>
      <c r="I2492" s="29"/>
      <c r="J2492" s="29"/>
      <c r="K2492" s="29"/>
      <c r="L2492" s="29"/>
      <c r="M2492" s="29"/>
      <c r="N2492" s="29"/>
      <c r="O2492" s="29"/>
      <c r="P2492" s="29"/>
      <c r="Q2492" s="29"/>
      <c r="R2492" s="29"/>
      <c r="S2492" s="29"/>
      <c r="T2492" s="29"/>
    </row>
    <row r="2493" spans="1:20" ht="15.75" customHeight="1" x14ac:dyDescent="0.25">
      <c r="A2493" s="29"/>
      <c r="B2493" s="29"/>
      <c r="C2493" s="29"/>
      <c r="D2493" s="29"/>
      <c r="E2493" s="29"/>
      <c r="F2493" s="29"/>
      <c r="G2493" s="29"/>
      <c r="H2493" s="29"/>
      <c r="I2493" s="29"/>
      <c r="J2493" s="29"/>
      <c r="K2493" s="29"/>
      <c r="L2493" s="29"/>
      <c r="M2493" s="29"/>
      <c r="N2493" s="29"/>
      <c r="O2493" s="29"/>
      <c r="P2493" s="29"/>
      <c r="Q2493" s="29"/>
      <c r="R2493" s="29"/>
      <c r="S2493" s="29"/>
      <c r="T2493" s="29"/>
    </row>
    <row r="2494" spans="1:20" ht="15.75" customHeight="1" x14ac:dyDescent="0.25">
      <c r="A2494" s="29"/>
      <c r="B2494" s="29"/>
      <c r="C2494" s="29"/>
      <c r="D2494" s="29"/>
      <c r="E2494" s="29"/>
      <c r="F2494" s="29"/>
      <c r="G2494" s="29"/>
      <c r="H2494" s="29"/>
      <c r="I2494" s="29"/>
      <c r="J2494" s="29"/>
      <c r="K2494" s="29"/>
      <c r="L2494" s="29"/>
      <c r="M2494" s="29"/>
      <c r="N2494" s="29"/>
      <c r="O2494" s="29"/>
      <c r="P2494" s="29"/>
      <c r="Q2494" s="29"/>
      <c r="R2494" s="29"/>
      <c r="S2494" s="29"/>
      <c r="T2494" s="29"/>
    </row>
    <row r="2495" spans="1:20" ht="15.75" customHeight="1" x14ac:dyDescent="0.25">
      <c r="A2495" s="29"/>
      <c r="B2495" s="29"/>
      <c r="C2495" s="29"/>
      <c r="D2495" s="29"/>
      <c r="E2495" s="29"/>
      <c r="F2495" s="29"/>
      <c r="G2495" s="29"/>
      <c r="H2495" s="29"/>
      <c r="I2495" s="29"/>
      <c r="J2495" s="29"/>
      <c r="K2495" s="29"/>
      <c r="L2495" s="29"/>
      <c r="M2495" s="29"/>
      <c r="N2495" s="29"/>
      <c r="O2495" s="29"/>
      <c r="P2495" s="29"/>
      <c r="Q2495" s="29"/>
      <c r="R2495" s="29"/>
      <c r="S2495" s="29"/>
      <c r="T2495" s="29"/>
    </row>
    <row r="2496" spans="1:20" ht="15.75" customHeight="1" x14ac:dyDescent="0.25">
      <c r="A2496" s="29"/>
      <c r="B2496" s="29"/>
      <c r="C2496" s="29"/>
      <c r="D2496" s="29"/>
      <c r="E2496" s="29"/>
      <c r="F2496" s="29"/>
      <c r="G2496" s="29"/>
      <c r="H2496" s="29"/>
      <c r="I2496" s="29"/>
      <c r="J2496" s="29"/>
      <c r="K2496" s="29"/>
      <c r="L2496" s="29"/>
      <c r="M2496" s="29"/>
      <c r="N2496" s="29"/>
      <c r="O2496" s="29"/>
      <c r="P2496" s="29"/>
      <c r="Q2496" s="29"/>
      <c r="R2496" s="29"/>
      <c r="S2496" s="29"/>
      <c r="T2496" s="29"/>
    </row>
    <row r="2497" spans="1:20" ht="15.75" customHeight="1" x14ac:dyDescent="0.25">
      <c r="A2497" s="29"/>
      <c r="B2497" s="29"/>
      <c r="C2497" s="29"/>
      <c r="D2497" s="29"/>
      <c r="E2497" s="29"/>
      <c r="F2497" s="29"/>
      <c r="G2497" s="29"/>
      <c r="H2497" s="29"/>
      <c r="I2497" s="29"/>
      <c r="J2497" s="29"/>
      <c r="K2497" s="29"/>
      <c r="L2497" s="29"/>
      <c r="M2497" s="29"/>
      <c r="N2497" s="29"/>
      <c r="O2497" s="29"/>
      <c r="P2497" s="29"/>
      <c r="Q2497" s="29"/>
      <c r="R2497" s="29"/>
      <c r="S2497" s="29"/>
      <c r="T2497" s="29"/>
    </row>
    <row r="2498" spans="1:20" ht="15.75" customHeight="1" x14ac:dyDescent="0.25">
      <c r="A2498" s="29"/>
      <c r="B2498" s="29"/>
      <c r="C2498" s="29"/>
      <c r="D2498" s="29"/>
      <c r="E2498" s="29"/>
      <c r="F2498" s="29"/>
      <c r="G2498" s="29"/>
      <c r="H2498" s="29"/>
      <c r="I2498" s="29"/>
      <c r="J2498" s="29"/>
      <c r="K2498" s="29"/>
      <c r="L2498" s="29"/>
      <c r="M2498" s="29"/>
      <c r="N2498" s="29"/>
      <c r="O2498" s="29"/>
      <c r="P2498" s="29"/>
      <c r="Q2498" s="29"/>
      <c r="R2498" s="29"/>
      <c r="S2498" s="29"/>
      <c r="T2498" s="29"/>
    </row>
    <row r="2499" spans="1:20" ht="15.75" customHeight="1" x14ac:dyDescent="0.25">
      <c r="A2499" s="29"/>
      <c r="B2499" s="29"/>
      <c r="C2499" s="29"/>
      <c r="D2499" s="29"/>
      <c r="E2499" s="29"/>
      <c r="F2499" s="29"/>
      <c r="G2499" s="29"/>
      <c r="H2499" s="29"/>
      <c r="I2499" s="29"/>
      <c r="J2499" s="29"/>
      <c r="K2499" s="29"/>
      <c r="L2499" s="29"/>
      <c r="M2499" s="29"/>
      <c r="N2499" s="29"/>
      <c r="O2499" s="29"/>
      <c r="P2499" s="29"/>
      <c r="Q2499" s="29"/>
      <c r="R2499" s="29"/>
      <c r="S2499" s="29"/>
      <c r="T2499" s="29"/>
    </row>
    <row r="2500" spans="1:20" ht="15.75" customHeight="1" x14ac:dyDescent="0.25">
      <c r="A2500" s="29"/>
      <c r="B2500" s="29"/>
      <c r="C2500" s="29"/>
      <c r="D2500" s="29"/>
      <c r="E2500" s="29"/>
      <c r="F2500" s="29"/>
      <c r="G2500" s="29"/>
      <c r="H2500" s="29"/>
      <c r="I2500" s="29"/>
      <c r="J2500" s="29"/>
      <c r="K2500" s="29"/>
      <c r="L2500" s="29"/>
      <c r="M2500" s="29"/>
      <c r="N2500" s="29"/>
      <c r="O2500" s="29"/>
      <c r="P2500" s="29"/>
      <c r="Q2500" s="29"/>
      <c r="R2500" s="29"/>
      <c r="S2500" s="29"/>
      <c r="T2500" s="29"/>
    </row>
    <row r="2501" spans="1:20" ht="15.75" customHeight="1" x14ac:dyDescent="0.25">
      <c r="A2501" s="29"/>
      <c r="B2501" s="29"/>
      <c r="C2501" s="29"/>
      <c r="D2501" s="29"/>
      <c r="E2501" s="29"/>
      <c r="F2501" s="29"/>
      <c r="G2501" s="29"/>
      <c r="H2501" s="29"/>
      <c r="I2501" s="29"/>
      <c r="J2501" s="29"/>
      <c r="K2501" s="29"/>
      <c r="L2501" s="29"/>
      <c r="M2501" s="29"/>
      <c r="N2501" s="29"/>
      <c r="O2501" s="29"/>
      <c r="P2501" s="29"/>
      <c r="Q2501" s="29"/>
      <c r="R2501" s="29"/>
      <c r="S2501" s="29"/>
      <c r="T2501" s="29"/>
    </row>
    <row r="2502" spans="1:20" ht="15.75" customHeight="1" x14ac:dyDescent="0.25">
      <c r="A2502" s="29"/>
      <c r="B2502" s="29"/>
      <c r="C2502" s="29"/>
      <c r="D2502" s="29"/>
      <c r="E2502" s="29"/>
      <c r="F2502" s="29"/>
      <c r="G2502" s="29"/>
      <c r="H2502" s="29"/>
      <c r="I2502" s="29"/>
      <c r="J2502" s="29"/>
      <c r="K2502" s="29"/>
      <c r="L2502" s="29"/>
      <c r="M2502" s="29"/>
      <c r="N2502" s="29"/>
      <c r="O2502" s="29"/>
      <c r="P2502" s="29"/>
      <c r="Q2502" s="29"/>
      <c r="R2502" s="29"/>
      <c r="S2502" s="29"/>
      <c r="T2502" s="29"/>
    </row>
    <row r="2503" spans="1:20" ht="15.75" customHeight="1" x14ac:dyDescent="0.25">
      <c r="A2503" s="29"/>
      <c r="B2503" s="29"/>
      <c r="C2503" s="29"/>
      <c r="D2503" s="29"/>
      <c r="E2503" s="29"/>
      <c r="F2503" s="29"/>
      <c r="G2503" s="29"/>
      <c r="H2503" s="29"/>
      <c r="I2503" s="29"/>
      <c r="J2503" s="29"/>
      <c r="K2503" s="29"/>
      <c r="L2503" s="29"/>
      <c r="M2503" s="29"/>
      <c r="N2503" s="29"/>
      <c r="O2503" s="29"/>
      <c r="P2503" s="29"/>
      <c r="Q2503" s="29"/>
      <c r="R2503" s="29"/>
      <c r="S2503" s="29"/>
      <c r="T2503" s="29"/>
    </row>
    <row r="2504" spans="1:20" ht="15.75" customHeight="1" x14ac:dyDescent="0.25">
      <c r="A2504" s="29"/>
      <c r="B2504" s="29"/>
      <c r="C2504" s="29"/>
      <c r="D2504" s="29"/>
      <c r="E2504" s="29"/>
      <c r="F2504" s="29"/>
      <c r="G2504" s="29"/>
      <c r="H2504" s="29"/>
      <c r="I2504" s="29"/>
      <c r="J2504" s="29"/>
      <c r="K2504" s="29"/>
      <c r="L2504" s="29"/>
      <c r="M2504" s="29"/>
      <c r="N2504" s="29"/>
      <c r="O2504" s="29"/>
      <c r="P2504" s="29"/>
      <c r="Q2504" s="29"/>
      <c r="R2504" s="29"/>
      <c r="S2504" s="29"/>
      <c r="T2504" s="29"/>
    </row>
    <row r="2505" spans="1:20" ht="15.75" customHeight="1" x14ac:dyDescent="0.25">
      <c r="A2505" s="29"/>
      <c r="B2505" s="29"/>
      <c r="C2505" s="29"/>
      <c r="D2505" s="29"/>
      <c r="E2505" s="29"/>
      <c r="F2505" s="29"/>
      <c r="G2505" s="29"/>
      <c r="H2505" s="29"/>
      <c r="I2505" s="29"/>
      <c r="J2505" s="29"/>
      <c r="K2505" s="29"/>
      <c r="L2505" s="29"/>
      <c r="M2505" s="29"/>
      <c r="N2505" s="29"/>
      <c r="O2505" s="29"/>
      <c r="P2505" s="29"/>
      <c r="Q2505" s="29"/>
      <c r="R2505" s="29"/>
      <c r="S2505" s="29"/>
      <c r="T2505" s="29"/>
    </row>
    <row r="2506" spans="1:20" ht="15.75" customHeight="1" x14ac:dyDescent="0.25">
      <c r="A2506" s="29"/>
      <c r="B2506" s="29"/>
      <c r="C2506" s="29"/>
      <c r="D2506" s="29"/>
      <c r="E2506" s="29"/>
      <c r="F2506" s="29"/>
      <c r="G2506" s="29"/>
      <c r="H2506" s="29"/>
      <c r="I2506" s="29"/>
      <c r="J2506" s="29"/>
      <c r="K2506" s="29"/>
      <c r="L2506" s="29"/>
      <c r="M2506" s="29"/>
      <c r="N2506" s="29"/>
      <c r="O2506" s="29"/>
      <c r="P2506" s="29"/>
      <c r="Q2506" s="29"/>
      <c r="R2506" s="29"/>
      <c r="S2506" s="29"/>
      <c r="T2506" s="29"/>
    </row>
    <row r="2507" spans="1:20" ht="15.75" customHeight="1" x14ac:dyDescent="0.25">
      <c r="A2507" s="29"/>
      <c r="B2507" s="29"/>
      <c r="C2507" s="29"/>
      <c r="D2507" s="29"/>
      <c r="E2507" s="29"/>
      <c r="F2507" s="29"/>
      <c r="G2507" s="29"/>
      <c r="H2507" s="29"/>
      <c r="I2507" s="29"/>
      <c r="J2507" s="29"/>
      <c r="K2507" s="29"/>
      <c r="L2507" s="29"/>
      <c r="M2507" s="29"/>
      <c r="N2507" s="29"/>
      <c r="O2507" s="29"/>
      <c r="P2507" s="29"/>
      <c r="Q2507" s="29"/>
      <c r="R2507" s="29"/>
      <c r="S2507" s="29"/>
      <c r="T2507" s="29"/>
    </row>
    <row r="2508" spans="1:20" ht="15.75" customHeight="1" x14ac:dyDescent="0.25">
      <c r="A2508" s="29"/>
      <c r="B2508" s="29"/>
      <c r="C2508" s="29"/>
      <c r="D2508" s="29"/>
      <c r="E2508" s="29"/>
      <c r="F2508" s="29"/>
      <c r="G2508" s="29"/>
      <c r="H2508" s="29"/>
      <c r="I2508" s="29"/>
      <c r="J2508" s="29"/>
      <c r="K2508" s="29"/>
      <c r="L2508" s="29"/>
      <c r="M2508" s="29"/>
      <c r="N2508" s="29"/>
      <c r="O2508" s="29"/>
      <c r="P2508" s="29"/>
      <c r="Q2508" s="29"/>
      <c r="R2508" s="29"/>
      <c r="S2508" s="29"/>
      <c r="T2508" s="29"/>
    </row>
    <row r="2509" spans="1:20" ht="15.75" customHeight="1" x14ac:dyDescent="0.25">
      <c r="A2509" s="29"/>
      <c r="B2509" s="29"/>
      <c r="C2509" s="29"/>
      <c r="D2509" s="29"/>
      <c r="E2509" s="29"/>
      <c r="F2509" s="29"/>
      <c r="G2509" s="29"/>
      <c r="H2509" s="29"/>
      <c r="I2509" s="29"/>
      <c r="J2509" s="29"/>
      <c r="K2509" s="29"/>
      <c r="L2509" s="29"/>
      <c r="M2509" s="29"/>
      <c r="N2509" s="29"/>
      <c r="O2509" s="29"/>
      <c r="P2509" s="29"/>
      <c r="Q2509" s="29"/>
      <c r="R2509" s="29"/>
      <c r="S2509" s="29"/>
      <c r="T2509" s="29"/>
    </row>
    <row r="2510" spans="1:20" ht="15.75" customHeight="1" x14ac:dyDescent="0.25">
      <c r="A2510" s="29"/>
      <c r="B2510" s="29"/>
      <c r="C2510" s="29"/>
      <c r="D2510" s="29"/>
      <c r="E2510" s="29"/>
      <c r="F2510" s="29"/>
      <c r="G2510" s="29"/>
      <c r="H2510" s="29"/>
      <c r="I2510" s="29"/>
      <c r="J2510" s="29"/>
      <c r="K2510" s="29"/>
      <c r="L2510" s="29"/>
      <c r="M2510" s="29"/>
      <c r="N2510" s="29"/>
      <c r="O2510" s="29"/>
      <c r="P2510" s="29"/>
      <c r="Q2510" s="29"/>
      <c r="R2510" s="29"/>
      <c r="S2510" s="29"/>
      <c r="T2510" s="29"/>
    </row>
    <row r="2511" spans="1:20" ht="15.75" customHeight="1" x14ac:dyDescent="0.25">
      <c r="A2511" s="29"/>
      <c r="B2511" s="29"/>
      <c r="C2511" s="29"/>
      <c r="D2511" s="29"/>
      <c r="E2511" s="29"/>
      <c r="F2511" s="29"/>
      <c r="G2511" s="29"/>
      <c r="H2511" s="29"/>
      <c r="I2511" s="29"/>
      <c r="J2511" s="29"/>
      <c r="K2511" s="29"/>
      <c r="L2511" s="29"/>
      <c r="M2511" s="29"/>
      <c r="N2511" s="29"/>
      <c r="O2511" s="29"/>
      <c r="P2511" s="29"/>
      <c r="Q2511" s="29"/>
      <c r="R2511" s="29"/>
      <c r="S2511" s="29"/>
      <c r="T2511" s="29"/>
    </row>
    <row r="2512" spans="1:20" ht="15.75" customHeight="1" x14ac:dyDescent="0.25">
      <c r="A2512" s="29"/>
      <c r="B2512" s="29"/>
      <c r="C2512" s="29"/>
      <c r="D2512" s="29"/>
      <c r="E2512" s="29"/>
      <c r="F2512" s="29"/>
      <c r="G2512" s="29"/>
      <c r="H2512" s="29"/>
      <c r="I2512" s="29"/>
      <c r="J2512" s="29"/>
      <c r="K2512" s="29"/>
      <c r="L2512" s="29"/>
      <c r="M2512" s="29"/>
      <c r="N2512" s="29"/>
      <c r="O2512" s="29"/>
      <c r="P2512" s="29"/>
      <c r="Q2512" s="29"/>
      <c r="R2512" s="29"/>
      <c r="S2512" s="29"/>
      <c r="T2512" s="29"/>
    </row>
    <row r="2513" spans="1:20" ht="15.75" customHeight="1" x14ac:dyDescent="0.25">
      <c r="A2513" s="29"/>
      <c r="B2513" s="29"/>
      <c r="C2513" s="29"/>
      <c r="D2513" s="29"/>
      <c r="E2513" s="29"/>
      <c r="F2513" s="29"/>
      <c r="G2513" s="29"/>
      <c r="H2513" s="29"/>
      <c r="I2513" s="29"/>
      <c r="J2513" s="29"/>
      <c r="K2513" s="29"/>
      <c r="L2513" s="29"/>
      <c r="M2513" s="29"/>
      <c r="N2513" s="29"/>
      <c r="O2513" s="29"/>
      <c r="P2513" s="29"/>
      <c r="Q2513" s="29"/>
      <c r="R2513" s="29"/>
      <c r="S2513" s="29"/>
      <c r="T2513" s="29"/>
    </row>
    <row r="2514" spans="1:20" ht="15.75" customHeight="1" x14ac:dyDescent="0.25">
      <c r="A2514" s="29"/>
      <c r="B2514" s="29"/>
      <c r="C2514" s="29"/>
      <c r="D2514" s="29"/>
      <c r="E2514" s="29"/>
      <c r="F2514" s="29"/>
      <c r="G2514" s="29"/>
      <c r="H2514" s="29"/>
      <c r="I2514" s="29"/>
      <c r="J2514" s="29"/>
      <c r="K2514" s="29"/>
      <c r="L2514" s="29"/>
      <c r="M2514" s="29"/>
      <c r="N2514" s="29"/>
      <c r="O2514" s="29"/>
      <c r="P2514" s="29"/>
      <c r="Q2514" s="29"/>
      <c r="R2514" s="29"/>
      <c r="S2514" s="29"/>
      <c r="T2514" s="29"/>
    </row>
    <row r="2515" spans="1:20" ht="15.75" customHeight="1" x14ac:dyDescent="0.25">
      <c r="A2515" s="29"/>
      <c r="B2515" s="29"/>
      <c r="C2515" s="29"/>
      <c r="D2515" s="29"/>
      <c r="E2515" s="29"/>
      <c r="F2515" s="29"/>
      <c r="G2515" s="29"/>
      <c r="H2515" s="29"/>
      <c r="I2515" s="29"/>
      <c r="J2515" s="29"/>
      <c r="K2515" s="29"/>
      <c r="L2515" s="29"/>
      <c r="M2515" s="29"/>
      <c r="N2515" s="29"/>
      <c r="O2515" s="29"/>
      <c r="P2515" s="29"/>
      <c r="Q2515" s="29"/>
      <c r="R2515" s="29"/>
      <c r="S2515" s="29"/>
      <c r="T2515" s="29"/>
    </row>
    <row r="2516" spans="1:20" ht="15.75" customHeight="1" x14ac:dyDescent="0.25">
      <c r="A2516" s="29"/>
      <c r="B2516" s="29"/>
      <c r="C2516" s="29"/>
      <c r="D2516" s="29"/>
      <c r="E2516" s="29"/>
      <c r="F2516" s="29"/>
      <c r="G2516" s="29"/>
      <c r="H2516" s="29"/>
      <c r="I2516" s="29"/>
      <c r="J2516" s="29"/>
      <c r="K2516" s="29"/>
      <c r="L2516" s="29"/>
      <c r="M2516" s="29"/>
      <c r="N2516" s="29"/>
      <c r="O2516" s="29"/>
      <c r="P2516" s="29"/>
      <c r="Q2516" s="29"/>
      <c r="R2516" s="29"/>
      <c r="S2516" s="29"/>
      <c r="T2516" s="29"/>
    </row>
    <row r="2517" spans="1:20" ht="15.75" customHeight="1" x14ac:dyDescent="0.25">
      <c r="A2517" s="29"/>
      <c r="B2517" s="29"/>
      <c r="C2517" s="29"/>
      <c r="D2517" s="29"/>
      <c r="E2517" s="29"/>
      <c r="F2517" s="29"/>
      <c r="G2517" s="29"/>
      <c r="H2517" s="29"/>
      <c r="I2517" s="29"/>
      <c r="J2517" s="29"/>
      <c r="K2517" s="29"/>
      <c r="L2517" s="29"/>
      <c r="M2517" s="29"/>
      <c r="N2517" s="29"/>
      <c r="O2517" s="29"/>
      <c r="P2517" s="29"/>
      <c r="Q2517" s="29"/>
      <c r="R2517" s="29"/>
      <c r="S2517" s="29"/>
      <c r="T2517" s="29"/>
    </row>
    <row r="2518" spans="1:20" ht="15.75" customHeight="1" x14ac:dyDescent="0.25">
      <c r="A2518" s="29"/>
      <c r="B2518" s="29"/>
      <c r="C2518" s="29"/>
      <c r="D2518" s="29"/>
      <c r="E2518" s="29"/>
      <c r="F2518" s="29"/>
      <c r="G2518" s="29"/>
      <c r="H2518" s="29"/>
      <c r="I2518" s="29"/>
      <c r="J2518" s="29"/>
      <c r="K2518" s="29"/>
      <c r="L2518" s="29"/>
      <c r="M2518" s="29"/>
      <c r="N2518" s="29"/>
      <c r="O2518" s="29"/>
      <c r="P2518" s="29"/>
      <c r="Q2518" s="29"/>
      <c r="R2518" s="29"/>
      <c r="S2518" s="29"/>
      <c r="T2518" s="29"/>
    </row>
    <row r="2519" spans="1:20" ht="15.75" customHeight="1" x14ac:dyDescent="0.25">
      <c r="A2519" s="29"/>
      <c r="B2519" s="29"/>
      <c r="C2519" s="29"/>
      <c r="D2519" s="29"/>
      <c r="E2519" s="29"/>
      <c r="F2519" s="29"/>
      <c r="G2519" s="29"/>
      <c r="H2519" s="29"/>
      <c r="I2519" s="29"/>
      <c r="J2519" s="29"/>
      <c r="K2519" s="29"/>
      <c r="L2519" s="29"/>
      <c r="M2519" s="29"/>
      <c r="N2519" s="29"/>
      <c r="O2519" s="29"/>
      <c r="P2519" s="29"/>
      <c r="Q2519" s="29"/>
      <c r="R2519" s="29"/>
      <c r="S2519" s="29"/>
      <c r="T2519" s="29"/>
    </row>
    <row r="2520" spans="1:20" ht="15.75" customHeight="1" x14ac:dyDescent="0.25">
      <c r="A2520" s="29"/>
      <c r="B2520" s="29"/>
      <c r="C2520" s="29"/>
      <c r="D2520" s="29"/>
      <c r="E2520" s="29"/>
      <c r="F2520" s="29"/>
      <c r="G2520" s="29"/>
      <c r="H2520" s="29"/>
      <c r="I2520" s="29"/>
      <c r="J2520" s="29"/>
      <c r="K2520" s="29"/>
      <c r="L2520" s="29"/>
      <c r="M2520" s="29"/>
      <c r="N2520" s="29"/>
      <c r="O2520" s="29"/>
      <c r="P2520" s="29"/>
      <c r="Q2520" s="29"/>
      <c r="R2520" s="29"/>
      <c r="S2520" s="29"/>
      <c r="T2520" s="29"/>
    </row>
    <row r="2521" spans="1:20" ht="15.75" customHeight="1" x14ac:dyDescent="0.25">
      <c r="A2521" s="29"/>
      <c r="B2521" s="29"/>
      <c r="C2521" s="29"/>
      <c r="D2521" s="29"/>
      <c r="E2521" s="29"/>
      <c r="F2521" s="29"/>
      <c r="G2521" s="29"/>
      <c r="H2521" s="29"/>
      <c r="I2521" s="29"/>
      <c r="J2521" s="29"/>
      <c r="K2521" s="29"/>
      <c r="L2521" s="29"/>
      <c r="M2521" s="29"/>
      <c r="N2521" s="29"/>
      <c r="O2521" s="29"/>
      <c r="P2521" s="29"/>
      <c r="Q2521" s="29"/>
      <c r="R2521" s="29"/>
      <c r="S2521" s="29"/>
      <c r="T2521" s="29"/>
    </row>
    <row r="2522" spans="1:20" ht="15.75" customHeight="1" x14ac:dyDescent="0.25">
      <c r="A2522" s="29"/>
      <c r="B2522" s="29"/>
      <c r="C2522" s="29"/>
      <c r="D2522" s="29"/>
      <c r="E2522" s="29"/>
      <c r="F2522" s="29"/>
      <c r="G2522" s="29"/>
      <c r="H2522" s="29"/>
      <c r="I2522" s="29"/>
      <c r="J2522" s="29"/>
      <c r="K2522" s="29"/>
      <c r="L2522" s="29"/>
      <c r="M2522" s="29"/>
      <c r="N2522" s="29"/>
      <c r="O2522" s="29"/>
      <c r="P2522" s="29"/>
      <c r="Q2522" s="29"/>
      <c r="R2522" s="29"/>
      <c r="S2522" s="29"/>
      <c r="T2522" s="29"/>
    </row>
    <row r="2523" spans="1:20" ht="15.75" customHeight="1" x14ac:dyDescent="0.25">
      <c r="A2523" s="29"/>
      <c r="B2523" s="29"/>
      <c r="C2523" s="29"/>
      <c r="D2523" s="29"/>
      <c r="E2523" s="29"/>
      <c r="F2523" s="29"/>
      <c r="G2523" s="29"/>
      <c r="H2523" s="29"/>
      <c r="I2523" s="29"/>
      <c r="J2523" s="29"/>
      <c r="K2523" s="29"/>
      <c r="L2523" s="29"/>
      <c r="M2523" s="29"/>
      <c r="N2523" s="29"/>
      <c r="O2523" s="29"/>
      <c r="P2523" s="29"/>
      <c r="Q2523" s="29"/>
      <c r="R2523" s="29"/>
      <c r="S2523" s="29"/>
      <c r="T2523" s="29"/>
    </row>
    <row r="2524" spans="1:20" ht="15.75" customHeight="1" x14ac:dyDescent="0.25">
      <c r="A2524" s="29"/>
      <c r="B2524" s="29"/>
      <c r="C2524" s="29"/>
      <c r="D2524" s="29"/>
      <c r="E2524" s="29"/>
      <c r="F2524" s="29"/>
      <c r="G2524" s="29"/>
      <c r="H2524" s="29"/>
      <c r="I2524" s="29"/>
      <c r="J2524" s="29"/>
      <c r="K2524" s="29"/>
      <c r="L2524" s="29"/>
      <c r="M2524" s="29"/>
      <c r="N2524" s="29"/>
      <c r="O2524" s="29"/>
      <c r="P2524" s="29"/>
      <c r="Q2524" s="29"/>
      <c r="R2524" s="29"/>
      <c r="S2524" s="29"/>
      <c r="T2524" s="29"/>
    </row>
    <row r="2525" spans="1:20" ht="15.75" customHeight="1" x14ac:dyDescent="0.25">
      <c r="A2525" s="29"/>
      <c r="B2525" s="29"/>
      <c r="C2525" s="29"/>
      <c r="D2525" s="29"/>
      <c r="E2525" s="29"/>
      <c r="F2525" s="29"/>
      <c r="G2525" s="29"/>
      <c r="H2525" s="29"/>
      <c r="I2525" s="29"/>
      <c r="J2525" s="29"/>
      <c r="K2525" s="29"/>
      <c r="L2525" s="29"/>
      <c r="M2525" s="29"/>
      <c r="N2525" s="29"/>
      <c r="O2525" s="29"/>
      <c r="P2525" s="29"/>
      <c r="Q2525" s="29"/>
      <c r="R2525" s="29"/>
      <c r="S2525" s="29"/>
      <c r="T2525" s="29"/>
    </row>
    <row r="2526" spans="1:20" ht="15.75" customHeight="1" x14ac:dyDescent="0.25">
      <c r="A2526" s="29"/>
      <c r="B2526" s="29"/>
      <c r="C2526" s="29"/>
      <c r="D2526" s="29"/>
      <c r="E2526" s="29"/>
      <c r="F2526" s="29"/>
      <c r="G2526" s="29"/>
      <c r="H2526" s="29"/>
      <c r="I2526" s="29"/>
      <c r="J2526" s="29"/>
      <c r="K2526" s="29"/>
      <c r="L2526" s="29"/>
      <c r="M2526" s="29"/>
      <c r="N2526" s="29"/>
      <c r="O2526" s="29"/>
      <c r="P2526" s="29"/>
      <c r="Q2526" s="29"/>
      <c r="R2526" s="29"/>
      <c r="S2526" s="29"/>
      <c r="T2526" s="29"/>
    </row>
    <row r="2527" spans="1:20" ht="15.75" customHeight="1" x14ac:dyDescent="0.25">
      <c r="A2527" s="29"/>
      <c r="B2527" s="29"/>
      <c r="C2527" s="29"/>
      <c r="D2527" s="29"/>
      <c r="E2527" s="29"/>
      <c r="F2527" s="29"/>
      <c r="G2527" s="29"/>
      <c r="H2527" s="29"/>
      <c r="I2527" s="29"/>
      <c r="J2527" s="29"/>
      <c r="K2527" s="29"/>
      <c r="L2527" s="29"/>
      <c r="M2527" s="29"/>
      <c r="N2527" s="29"/>
      <c r="O2527" s="29"/>
      <c r="P2527" s="29"/>
      <c r="Q2527" s="29"/>
      <c r="R2527" s="29"/>
      <c r="S2527" s="29"/>
      <c r="T2527" s="29"/>
    </row>
    <row r="2528" spans="1:20" ht="15.75" customHeight="1" x14ac:dyDescent="0.25">
      <c r="A2528" s="29"/>
      <c r="B2528" s="29"/>
      <c r="C2528" s="29"/>
      <c r="D2528" s="29"/>
      <c r="E2528" s="29"/>
      <c r="F2528" s="29"/>
      <c r="G2528" s="29"/>
      <c r="H2528" s="29"/>
      <c r="I2528" s="29"/>
      <c r="J2528" s="29"/>
      <c r="K2528" s="29"/>
      <c r="L2528" s="29"/>
      <c r="M2528" s="29"/>
      <c r="N2528" s="29"/>
      <c r="O2528" s="29"/>
      <c r="P2528" s="29"/>
      <c r="Q2528" s="29"/>
      <c r="R2528" s="29"/>
      <c r="S2528" s="29"/>
      <c r="T2528" s="29"/>
    </row>
    <row r="2529" spans="1:20" ht="15.75" customHeight="1" x14ac:dyDescent="0.25">
      <c r="A2529" s="29"/>
      <c r="B2529" s="29"/>
      <c r="C2529" s="29"/>
      <c r="D2529" s="29"/>
      <c r="E2529" s="29"/>
      <c r="F2529" s="29"/>
      <c r="G2529" s="29"/>
      <c r="H2529" s="29"/>
      <c r="I2529" s="29"/>
      <c r="J2529" s="29"/>
      <c r="K2529" s="29"/>
      <c r="L2529" s="29"/>
      <c r="M2529" s="29"/>
      <c r="N2529" s="29"/>
      <c r="O2529" s="29"/>
      <c r="P2529" s="29"/>
      <c r="Q2529" s="29"/>
      <c r="R2529" s="29"/>
      <c r="S2529" s="29"/>
      <c r="T2529" s="29"/>
    </row>
    <row r="2530" spans="1:20" ht="15.75" customHeight="1" x14ac:dyDescent="0.25">
      <c r="A2530" s="29"/>
      <c r="B2530" s="29"/>
      <c r="C2530" s="29"/>
      <c r="D2530" s="29"/>
      <c r="E2530" s="29"/>
      <c r="F2530" s="29"/>
      <c r="G2530" s="29"/>
      <c r="H2530" s="29"/>
      <c r="I2530" s="29"/>
      <c r="J2530" s="29"/>
      <c r="K2530" s="29"/>
      <c r="L2530" s="29"/>
      <c r="M2530" s="29"/>
      <c r="N2530" s="29"/>
      <c r="O2530" s="29"/>
      <c r="P2530" s="29"/>
      <c r="Q2530" s="29"/>
      <c r="R2530" s="29"/>
      <c r="S2530" s="29"/>
      <c r="T2530" s="29"/>
    </row>
    <row r="2531" spans="1:20" ht="15.75" customHeight="1" x14ac:dyDescent="0.25">
      <c r="A2531" s="29"/>
      <c r="B2531" s="29"/>
      <c r="C2531" s="29"/>
      <c r="D2531" s="29"/>
      <c r="E2531" s="29"/>
      <c r="F2531" s="29"/>
      <c r="G2531" s="29"/>
      <c r="H2531" s="29"/>
      <c r="I2531" s="29"/>
      <c r="J2531" s="29"/>
      <c r="K2531" s="29"/>
      <c r="L2531" s="29"/>
      <c r="M2531" s="29"/>
      <c r="N2531" s="29"/>
      <c r="O2531" s="29"/>
      <c r="P2531" s="29"/>
      <c r="Q2531" s="29"/>
      <c r="R2531" s="29"/>
      <c r="S2531" s="29"/>
      <c r="T2531" s="29"/>
    </row>
    <row r="2532" spans="1:20" ht="15.75" customHeight="1" x14ac:dyDescent="0.25">
      <c r="A2532" s="29"/>
      <c r="B2532" s="29"/>
      <c r="C2532" s="29"/>
      <c r="D2532" s="29"/>
      <c r="E2532" s="29"/>
      <c r="F2532" s="29"/>
      <c r="G2532" s="29"/>
      <c r="H2532" s="29"/>
      <c r="I2532" s="29"/>
      <c r="J2532" s="29"/>
      <c r="K2532" s="29"/>
      <c r="L2532" s="29"/>
      <c r="M2532" s="29"/>
      <c r="N2532" s="29"/>
      <c r="O2532" s="29"/>
      <c r="P2532" s="29"/>
      <c r="Q2532" s="29"/>
      <c r="R2532" s="29"/>
      <c r="S2532" s="29"/>
      <c r="T2532" s="29"/>
    </row>
    <row r="2533" spans="1:20" ht="15.75" customHeight="1" x14ac:dyDescent="0.25">
      <c r="A2533" s="29"/>
      <c r="B2533" s="29"/>
      <c r="C2533" s="29"/>
      <c r="D2533" s="29"/>
      <c r="E2533" s="29"/>
      <c r="F2533" s="29"/>
      <c r="G2533" s="29"/>
      <c r="H2533" s="29"/>
      <c r="I2533" s="29"/>
      <c r="J2533" s="29"/>
      <c r="K2533" s="29"/>
      <c r="L2533" s="29"/>
      <c r="M2533" s="29"/>
      <c r="N2533" s="29"/>
      <c r="O2533" s="29"/>
      <c r="P2533" s="29"/>
      <c r="Q2533" s="29"/>
      <c r="R2533" s="29"/>
      <c r="S2533" s="29"/>
      <c r="T2533" s="29"/>
    </row>
    <row r="2534" spans="1:20" ht="15.75" customHeight="1" x14ac:dyDescent="0.25">
      <c r="A2534" s="29"/>
      <c r="B2534" s="29"/>
      <c r="C2534" s="29"/>
      <c r="D2534" s="29"/>
      <c r="E2534" s="29"/>
      <c r="F2534" s="29"/>
      <c r="G2534" s="29"/>
      <c r="H2534" s="29"/>
      <c r="I2534" s="29"/>
      <c r="J2534" s="29"/>
      <c r="K2534" s="29"/>
      <c r="L2534" s="29"/>
      <c r="M2534" s="29"/>
      <c r="N2534" s="29"/>
      <c r="O2534" s="29"/>
      <c r="P2534" s="29"/>
      <c r="Q2534" s="29"/>
      <c r="R2534" s="29"/>
      <c r="S2534" s="29"/>
      <c r="T2534" s="29"/>
    </row>
    <row r="2535" spans="1:20" ht="15.75" customHeight="1" x14ac:dyDescent="0.25">
      <c r="A2535" s="29"/>
      <c r="B2535" s="29"/>
      <c r="C2535" s="29"/>
      <c r="D2535" s="29"/>
      <c r="E2535" s="29"/>
      <c r="F2535" s="29"/>
      <c r="G2535" s="29"/>
      <c r="H2535" s="29"/>
      <c r="I2535" s="29"/>
      <c r="J2535" s="29"/>
      <c r="K2535" s="29"/>
      <c r="L2535" s="29"/>
      <c r="M2535" s="29"/>
      <c r="N2535" s="29"/>
      <c r="O2535" s="29"/>
      <c r="P2535" s="29"/>
      <c r="Q2535" s="29"/>
      <c r="R2535" s="29"/>
      <c r="S2535" s="29"/>
      <c r="T2535" s="29"/>
    </row>
    <row r="2536" spans="1:20" ht="15.75" customHeight="1" x14ac:dyDescent="0.25">
      <c r="A2536" s="29"/>
      <c r="B2536" s="29"/>
      <c r="C2536" s="29"/>
      <c r="D2536" s="29"/>
      <c r="E2536" s="29"/>
      <c r="F2536" s="29"/>
      <c r="G2536" s="29"/>
      <c r="H2536" s="29"/>
      <c r="I2536" s="29"/>
      <c r="J2536" s="29"/>
      <c r="K2536" s="29"/>
      <c r="L2536" s="29"/>
      <c r="M2536" s="29"/>
      <c r="N2536" s="29"/>
      <c r="O2536" s="29"/>
      <c r="P2536" s="29"/>
      <c r="Q2536" s="29"/>
      <c r="R2536" s="29"/>
      <c r="S2536" s="29"/>
      <c r="T2536" s="29"/>
    </row>
    <row r="2537" spans="1:20" ht="15.75" customHeight="1" x14ac:dyDescent="0.25">
      <c r="A2537" s="29"/>
      <c r="B2537" s="29"/>
      <c r="C2537" s="29"/>
      <c r="D2537" s="29"/>
      <c r="E2537" s="29"/>
      <c r="F2537" s="29"/>
      <c r="G2537" s="29"/>
      <c r="H2537" s="29"/>
      <c r="I2537" s="29"/>
      <c r="J2537" s="29"/>
      <c r="K2537" s="29"/>
      <c r="L2537" s="29"/>
      <c r="M2537" s="29"/>
      <c r="N2537" s="29"/>
      <c r="O2537" s="29"/>
      <c r="P2537" s="29"/>
      <c r="Q2537" s="29"/>
      <c r="R2537" s="29"/>
      <c r="S2537" s="29"/>
      <c r="T2537" s="29"/>
    </row>
    <row r="2538" spans="1:20" ht="15.75" customHeight="1" x14ac:dyDescent="0.25">
      <c r="A2538" s="29"/>
      <c r="B2538" s="29"/>
      <c r="C2538" s="29"/>
      <c r="D2538" s="29"/>
      <c r="E2538" s="29"/>
      <c r="F2538" s="29"/>
      <c r="G2538" s="29"/>
      <c r="H2538" s="29"/>
      <c r="I2538" s="29"/>
      <c r="J2538" s="29"/>
      <c r="K2538" s="29"/>
      <c r="L2538" s="29"/>
      <c r="M2538" s="29"/>
      <c r="N2538" s="29"/>
      <c r="O2538" s="29"/>
      <c r="P2538" s="29"/>
      <c r="Q2538" s="29"/>
      <c r="R2538" s="29"/>
      <c r="S2538" s="29"/>
      <c r="T2538" s="29"/>
    </row>
    <row r="2539" spans="1:20" ht="15.75" customHeight="1" x14ac:dyDescent="0.25">
      <c r="A2539" s="29"/>
      <c r="B2539" s="29"/>
      <c r="C2539" s="29"/>
      <c r="D2539" s="29"/>
      <c r="E2539" s="29"/>
      <c r="F2539" s="29"/>
      <c r="G2539" s="29"/>
      <c r="H2539" s="29"/>
      <c r="I2539" s="29"/>
      <c r="J2539" s="29"/>
      <c r="K2539" s="29"/>
      <c r="L2539" s="29"/>
      <c r="M2539" s="29"/>
      <c r="N2539" s="29"/>
      <c r="O2539" s="29"/>
      <c r="P2539" s="29"/>
      <c r="Q2539" s="29"/>
      <c r="R2539" s="29"/>
      <c r="S2539" s="29"/>
      <c r="T2539" s="29"/>
    </row>
    <row r="2540" spans="1:20" ht="15.75" customHeight="1" x14ac:dyDescent="0.25">
      <c r="A2540" s="29"/>
      <c r="B2540" s="29"/>
      <c r="C2540" s="29"/>
      <c r="D2540" s="29"/>
      <c r="E2540" s="29"/>
      <c r="F2540" s="29"/>
      <c r="G2540" s="29"/>
      <c r="H2540" s="29"/>
      <c r="I2540" s="29"/>
      <c r="J2540" s="29"/>
      <c r="K2540" s="29"/>
      <c r="L2540" s="29"/>
      <c r="M2540" s="29"/>
      <c r="N2540" s="29"/>
      <c r="O2540" s="29"/>
      <c r="P2540" s="29"/>
      <c r="Q2540" s="29"/>
      <c r="R2540" s="29"/>
      <c r="S2540" s="29"/>
      <c r="T2540" s="29"/>
    </row>
    <row r="2541" spans="1:20" ht="15.75" customHeight="1" x14ac:dyDescent="0.25">
      <c r="A2541" s="29"/>
      <c r="B2541" s="29"/>
      <c r="C2541" s="29"/>
      <c r="D2541" s="29"/>
      <c r="E2541" s="29"/>
      <c r="F2541" s="29"/>
      <c r="G2541" s="29"/>
      <c r="H2541" s="29"/>
      <c r="I2541" s="29"/>
      <c r="J2541" s="29"/>
      <c r="K2541" s="29"/>
      <c r="L2541" s="29"/>
      <c r="M2541" s="29"/>
      <c r="N2541" s="29"/>
      <c r="O2541" s="29"/>
      <c r="P2541" s="29"/>
      <c r="Q2541" s="29"/>
      <c r="R2541" s="29"/>
      <c r="S2541" s="29"/>
      <c r="T2541" s="29"/>
    </row>
    <row r="2542" spans="1:20" ht="15.75" customHeight="1" x14ac:dyDescent="0.25">
      <c r="A2542" s="29"/>
      <c r="B2542" s="29"/>
      <c r="C2542" s="29"/>
      <c r="D2542" s="29"/>
      <c r="E2542" s="29"/>
      <c r="F2542" s="29"/>
      <c r="G2542" s="29"/>
      <c r="H2542" s="29"/>
      <c r="I2542" s="29"/>
      <c r="J2542" s="29"/>
      <c r="K2542" s="29"/>
      <c r="L2542" s="29"/>
      <c r="M2542" s="29"/>
      <c r="N2542" s="29"/>
      <c r="O2542" s="29"/>
      <c r="P2542" s="29"/>
      <c r="Q2542" s="29"/>
      <c r="R2542" s="29"/>
      <c r="S2542" s="29"/>
      <c r="T2542" s="29"/>
    </row>
    <row r="2543" spans="1:20" ht="15.75" customHeight="1" x14ac:dyDescent="0.25">
      <c r="A2543" s="29"/>
      <c r="B2543" s="29"/>
      <c r="C2543" s="29"/>
      <c r="D2543" s="29"/>
      <c r="E2543" s="29"/>
      <c r="F2543" s="29"/>
      <c r="G2543" s="29"/>
      <c r="H2543" s="29"/>
      <c r="I2543" s="29"/>
      <c r="J2543" s="29"/>
      <c r="K2543" s="29"/>
      <c r="L2543" s="29"/>
      <c r="M2543" s="29"/>
      <c r="N2543" s="29"/>
      <c r="O2543" s="29"/>
      <c r="P2543" s="29"/>
      <c r="Q2543" s="29"/>
      <c r="R2543" s="29"/>
      <c r="S2543" s="29"/>
      <c r="T2543" s="29"/>
    </row>
    <row r="2544" spans="1:20" ht="15.75" customHeight="1" x14ac:dyDescent="0.25">
      <c r="A2544" s="29"/>
      <c r="B2544" s="29"/>
      <c r="C2544" s="29"/>
      <c r="D2544" s="29"/>
      <c r="E2544" s="29"/>
      <c r="F2544" s="29"/>
      <c r="G2544" s="29"/>
      <c r="H2544" s="29"/>
      <c r="I2544" s="29"/>
      <c r="J2544" s="29"/>
      <c r="K2544" s="29"/>
      <c r="L2544" s="29"/>
      <c r="M2544" s="29"/>
      <c r="N2544" s="29"/>
      <c r="O2544" s="29"/>
      <c r="P2544" s="29"/>
      <c r="Q2544" s="29"/>
      <c r="R2544" s="29"/>
      <c r="S2544" s="29"/>
      <c r="T2544" s="29"/>
    </row>
    <row r="2545" spans="1:20" ht="15.75" customHeight="1" x14ac:dyDescent="0.25">
      <c r="A2545" s="29"/>
      <c r="B2545" s="29"/>
      <c r="C2545" s="29"/>
      <c r="D2545" s="29"/>
      <c r="E2545" s="29"/>
      <c r="F2545" s="29"/>
      <c r="G2545" s="29"/>
      <c r="H2545" s="29"/>
      <c r="I2545" s="29"/>
      <c r="J2545" s="29"/>
      <c r="K2545" s="29"/>
      <c r="L2545" s="29"/>
      <c r="M2545" s="29"/>
      <c r="N2545" s="29"/>
      <c r="O2545" s="29"/>
      <c r="P2545" s="29"/>
      <c r="Q2545" s="29"/>
      <c r="R2545" s="29"/>
      <c r="S2545" s="29"/>
      <c r="T2545" s="29"/>
    </row>
    <row r="2546" spans="1:20" ht="15.75" customHeight="1" x14ac:dyDescent="0.25">
      <c r="A2546" s="29"/>
      <c r="B2546" s="29"/>
      <c r="C2546" s="29"/>
      <c r="D2546" s="29"/>
      <c r="E2546" s="29"/>
      <c r="F2546" s="29"/>
      <c r="G2546" s="29"/>
      <c r="H2546" s="29"/>
      <c r="I2546" s="29"/>
      <c r="J2546" s="29"/>
      <c r="K2546" s="29"/>
      <c r="L2546" s="29"/>
      <c r="M2546" s="29"/>
      <c r="N2546" s="29"/>
      <c r="O2546" s="29"/>
      <c r="P2546" s="29"/>
      <c r="Q2546" s="29"/>
      <c r="R2546" s="29"/>
      <c r="S2546" s="29"/>
      <c r="T2546" s="29"/>
    </row>
    <row r="2547" spans="1:20" ht="15.75" customHeight="1" x14ac:dyDescent="0.25">
      <c r="A2547" s="29"/>
      <c r="B2547" s="29"/>
      <c r="C2547" s="29"/>
      <c r="D2547" s="29"/>
      <c r="E2547" s="29"/>
      <c r="F2547" s="29"/>
      <c r="G2547" s="29"/>
      <c r="H2547" s="29"/>
      <c r="I2547" s="29"/>
      <c r="J2547" s="29"/>
      <c r="K2547" s="29"/>
      <c r="L2547" s="29"/>
      <c r="M2547" s="29"/>
      <c r="N2547" s="29"/>
      <c r="O2547" s="29"/>
      <c r="P2547" s="29"/>
      <c r="Q2547" s="29"/>
      <c r="R2547" s="29"/>
      <c r="S2547" s="29"/>
      <c r="T2547" s="29"/>
    </row>
    <row r="2548" spans="1:20" ht="15.75" customHeight="1" x14ac:dyDescent="0.25">
      <c r="A2548" s="29"/>
      <c r="B2548" s="29"/>
      <c r="C2548" s="29"/>
      <c r="D2548" s="29"/>
      <c r="E2548" s="29"/>
      <c r="F2548" s="29"/>
      <c r="G2548" s="29"/>
      <c r="H2548" s="29"/>
      <c r="I2548" s="29"/>
      <c r="J2548" s="29"/>
      <c r="K2548" s="29"/>
      <c r="L2548" s="29"/>
      <c r="M2548" s="29"/>
      <c r="N2548" s="29"/>
      <c r="O2548" s="29"/>
      <c r="P2548" s="29"/>
      <c r="Q2548" s="29"/>
      <c r="R2548" s="29"/>
      <c r="S2548" s="29"/>
      <c r="T2548" s="29"/>
    </row>
    <row r="2549" spans="1:20" ht="15.75" customHeight="1" x14ac:dyDescent="0.25">
      <c r="A2549" s="29"/>
      <c r="B2549" s="29"/>
      <c r="C2549" s="29"/>
      <c r="D2549" s="29"/>
      <c r="E2549" s="29"/>
      <c r="F2549" s="29"/>
      <c r="G2549" s="29"/>
      <c r="H2549" s="29"/>
      <c r="I2549" s="29"/>
      <c r="J2549" s="29"/>
      <c r="K2549" s="29"/>
      <c r="L2549" s="29"/>
      <c r="M2549" s="29"/>
      <c r="N2549" s="29"/>
      <c r="O2549" s="29"/>
      <c r="P2549" s="29"/>
      <c r="Q2549" s="29"/>
      <c r="R2549" s="29"/>
      <c r="S2549" s="29"/>
      <c r="T2549" s="29"/>
    </row>
    <row r="2550" spans="1:20" ht="15.75" customHeight="1" x14ac:dyDescent="0.25">
      <c r="A2550" s="29"/>
      <c r="B2550" s="29"/>
      <c r="C2550" s="29"/>
      <c r="D2550" s="29"/>
      <c r="E2550" s="29"/>
      <c r="F2550" s="29"/>
      <c r="G2550" s="29"/>
      <c r="H2550" s="29"/>
      <c r="I2550" s="29"/>
      <c r="J2550" s="29"/>
      <c r="K2550" s="29"/>
      <c r="L2550" s="29"/>
      <c r="M2550" s="29"/>
      <c r="N2550" s="29"/>
      <c r="O2550" s="29"/>
      <c r="P2550" s="29"/>
      <c r="Q2550" s="29"/>
      <c r="R2550" s="29"/>
      <c r="S2550" s="29"/>
      <c r="T2550" s="29"/>
    </row>
    <row r="2551" spans="1:20" ht="15.75" customHeight="1" x14ac:dyDescent="0.25">
      <c r="A2551" s="29"/>
      <c r="B2551" s="29"/>
      <c r="C2551" s="29"/>
      <c r="D2551" s="29"/>
      <c r="E2551" s="29"/>
      <c r="F2551" s="29"/>
      <c r="G2551" s="29"/>
      <c r="H2551" s="29"/>
      <c r="I2551" s="29"/>
      <c r="J2551" s="29"/>
      <c r="K2551" s="29"/>
      <c r="L2551" s="29"/>
      <c r="M2551" s="29"/>
      <c r="N2551" s="29"/>
      <c r="O2551" s="29"/>
      <c r="P2551" s="29"/>
      <c r="Q2551" s="29"/>
      <c r="R2551" s="29"/>
      <c r="S2551" s="29"/>
      <c r="T2551" s="29"/>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Línea 1</vt:lpstr>
      <vt:lpstr>Línea 2</vt:lpstr>
      <vt:lpstr>Línea 3</vt:lpstr>
      <vt:lpstr>aux_validacion_datos</vt:lpstr>
      <vt:lpstr>aux_universo_t011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Julieta Stupenengo</cp:lastModifiedBy>
  <dcterms:created xsi:type="dcterms:W3CDTF">2021-11-08T12:33:29Z</dcterms:created>
  <dcterms:modified xsi:type="dcterms:W3CDTF">2023-06-05T19:05:22Z</dcterms:modified>
</cp:coreProperties>
</file>