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ncdc01\SFGSLD\DTOSLD\Estadistica\Pasajeros\"/>
    </mc:Choice>
  </mc:AlternateContent>
  <bookViews>
    <workbookView xWindow="0" yWindow="0" windowWidth="20400" windowHeight="7650" tabRatio="636"/>
  </bookViews>
  <sheets>
    <sheet name="Indice" sheetId="24" r:id="rId1"/>
    <sheet name="Pax desde 1994 hasta 2006" sheetId="13" r:id="rId2"/>
    <sheet name="Pax 2007" sheetId="11" r:id="rId3"/>
    <sheet name="Pax 2008" sheetId="12" r:id="rId4"/>
    <sheet name="Pax 2009" sheetId="9" r:id="rId5"/>
    <sheet name="Pax 2010" sheetId="8" r:id="rId6"/>
    <sheet name="Pax 2011" sheetId="10" r:id="rId7"/>
    <sheet name="Pax 2012" sheetId="1" r:id="rId8"/>
    <sheet name="Pax 2013" sheetId="15" r:id="rId9"/>
    <sheet name="Pax 2014" sheetId="16" r:id="rId10"/>
    <sheet name="Pax 2015" sheetId="18" r:id="rId11"/>
    <sheet name="Pax 2016" sheetId="20" r:id="rId12"/>
    <sheet name="Pax 2017" sheetId="21" r:id="rId13"/>
    <sheet name="Pax 2018" sheetId="22" r:id="rId14"/>
    <sheet name="Pax 2019" sheetId="23" r:id="rId15"/>
    <sheet name="Pax 2020" sheetId="27" r:id="rId16"/>
    <sheet name="Pax 2021" sheetId="29" r:id="rId17"/>
    <sheet name="Pax 2022" sheetId="31" r:id="rId18"/>
  </sheets>
  <definedNames>
    <definedName name="_xlnm._FilterDatabase" localSheetId="14" hidden="1">'Pax 2019'!$A$4:$P$28</definedName>
    <definedName name="_xlnm._FilterDatabase" localSheetId="15" hidden="1">'Pax 2020'!$A$4:$P$28</definedName>
    <definedName name="_xlnm._FilterDatabase" localSheetId="16" hidden="1">'Pax 2021'!#REF!</definedName>
    <definedName name="_xlnm.Print_Area" localSheetId="0">Indice!$A$1:$J$32</definedName>
    <definedName name="_xlnm.Print_Area" localSheetId="2">'Pax 2007'!$A$1:$N$29</definedName>
    <definedName name="_xlnm.Print_Area" localSheetId="3">'Pax 2008'!$A$1:$N$44</definedName>
    <definedName name="_xlnm.Print_Area" localSheetId="4">'Pax 2009'!$A$1:$P$74</definedName>
    <definedName name="_xlnm.Print_Area" localSheetId="5">'Pax 2010'!$A$1:$P$73</definedName>
    <definedName name="_xlnm.Print_Area" localSheetId="6">'Pax 2011'!$A$1:$N$64</definedName>
    <definedName name="_xlnm.Print_Area" localSheetId="7">'Pax 2012'!$A$2:$N$55</definedName>
    <definedName name="_xlnm.Print_Area" localSheetId="8">'Pax 2013'!$A$1:$O$67</definedName>
    <definedName name="_xlnm.Print_Area" localSheetId="9">'Pax 2014'!$A$2:$N$50</definedName>
    <definedName name="_xlnm.Print_Area" localSheetId="10">'Pax 2015'!$A$4:$N$59</definedName>
    <definedName name="_xlnm.Print_Area" localSheetId="11">'Pax 2016'!$A$2:$N$59</definedName>
    <definedName name="_xlnm.Print_Area" localSheetId="12">'Pax 2017'!$A$1:$N$49</definedName>
    <definedName name="_xlnm.Print_Area" localSheetId="13">'Pax 2018'!$A$1:$P$27</definedName>
    <definedName name="_xlnm.Print_Area" localSheetId="14">'Pax 2019'!$A$1:$P$32</definedName>
    <definedName name="_xlnm.Print_Area" localSheetId="15">'Pax 2020'!$A$1:$P$32</definedName>
    <definedName name="_xlnm.Print_Area" localSheetId="16">'Pax 2021'!$A$1:$P$2</definedName>
    <definedName name="_xlnm.Print_Area" localSheetId="17">'Pax 2022'!$A$4:$C$33</definedName>
    <definedName name="_xlnm.Print_Area" localSheetId="1">'Pax desde 1994 hasta 2006'!$A$2:$N$24</definedName>
  </definedNames>
  <calcPr calcId="162913"/>
</workbook>
</file>

<file path=xl/calcChain.xml><?xml version="1.0" encoding="utf-8"?>
<calcChain xmlns="http://schemas.openxmlformats.org/spreadsheetml/2006/main">
  <c r="O37" i="31" l="1"/>
  <c r="N37" i="31"/>
  <c r="M37" i="31"/>
  <c r="L37" i="31"/>
  <c r="K37" i="31"/>
  <c r="J37" i="31"/>
  <c r="I37" i="31"/>
  <c r="H37" i="31"/>
  <c r="G37" i="31"/>
  <c r="F37" i="31"/>
  <c r="E37" i="31"/>
  <c r="D37" i="31"/>
  <c r="O36" i="31"/>
  <c r="N36" i="31"/>
  <c r="M36" i="31"/>
  <c r="L36" i="31"/>
  <c r="K36" i="31"/>
  <c r="J36" i="31"/>
  <c r="I36" i="31"/>
  <c r="H36" i="31"/>
  <c r="G36" i="31"/>
  <c r="F36" i="31"/>
  <c r="E36" i="31"/>
  <c r="D36" i="31"/>
  <c r="O35" i="31"/>
  <c r="N35" i="31"/>
  <c r="M35" i="31"/>
  <c r="L35" i="31"/>
  <c r="K35" i="31"/>
  <c r="J35" i="31"/>
  <c r="I35" i="31"/>
  <c r="H35" i="31"/>
  <c r="G35" i="31"/>
  <c r="F35" i="31"/>
  <c r="E35" i="31"/>
  <c r="D35" i="31"/>
  <c r="O34" i="31"/>
  <c r="N34" i="31"/>
  <c r="M34" i="31"/>
  <c r="L34" i="31"/>
  <c r="K34" i="31"/>
  <c r="J34" i="31"/>
  <c r="I34" i="31"/>
  <c r="H34" i="31"/>
  <c r="G34" i="31"/>
  <c r="F34" i="31"/>
  <c r="E34" i="31"/>
  <c r="D34" i="31"/>
  <c r="P33" i="31"/>
  <c r="P32" i="31"/>
  <c r="P31" i="31"/>
  <c r="P30" i="31"/>
  <c r="P29" i="31"/>
  <c r="P28" i="31"/>
  <c r="P27" i="31"/>
  <c r="P37" i="31" s="1"/>
  <c r="P26" i="31"/>
  <c r="P36" i="31" s="1"/>
  <c r="P25" i="31"/>
  <c r="P24" i="31"/>
  <c r="P23" i="31"/>
  <c r="P22" i="31"/>
  <c r="P21" i="31"/>
  <c r="P20" i="31"/>
  <c r="P19" i="31"/>
  <c r="P18" i="31"/>
  <c r="P35" i="31" s="1"/>
  <c r="P17" i="31"/>
  <c r="P16" i="31"/>
  <c r="P15" i="31"/>
  <c r="P14" i="31"/>
  <c r="P13" i="31"/>
  <c r="P12" i="31"/>
  <c r="P11" i="31"/>
  <c r="P10" i="31"/>
  <c r="P9" i="31"/>
  <c r="P8" i="31"/>
  <c r="P7" i="31"/>
  <c r="P6" i="31"/>
  <c r="P34" i="31" s="1"/>
  <c r="P5" i="31"/>
  <c r="P23" i="29" l="1"/>
  <c r="P27" i="23" l="1"/>
  <c r="O27" i="23"/>
  <c r="N27" i="23"/>
  <c r="M27" i="23"/>
  <c r="L27" i="23"/>
  <c r="K27" i="23"/>
  <c r="J27" i="23"/>
  <c r="I27" i="23"/>
  <c r="H27" i="23"/>
  <c r="G27" i="23"/>
  <c r="F27" i="23"/>
  <c r="E27" i="23"/>
  <c r="D27" i="23"/>
  <c r="P22" i="23"/>
  <c r="O27" i="27"/>
  <c r="N27" i="27"/>
  <c r="M27" i="27"/>
  <c r="L27" i="27"/>
  <c r="K27" i="27"/>
  <c r="J27" i="27"/>
  <c r="I27" i="27"/>
  <c r="H27" i="27"/>
  <c r="G27" i="27"/>
  <c r="F27" i="27"/>
  <c r="E27" i="27"/>
  <c r="D27" i="27"/>
  <c r="P22" i="27"/>
  <c r="O26" i="27" l="1"/>
  <c r="N26" i="27"/>
  <c r="M26" i="27"/>
  <c r="L26" i="27"/>
  <c r="K26" i="27"/>
  <c r="J26" i="27"/>
  <c r="I26" i="27"/>
  <c r="H26" i="27"/>
  <c r="G26" i="27"/>
  <c r="P21" i="27" l="1"/>
  <c r="P20" i="27"/>
  <c r="P27" i="27" l="1"/>
  <c r="O29" i="29"/>
  <c r="N29" i="29"/>
  <c r="M29" i="29"/>
  <c r="L29" i="29"/>
  <c r="K29" i="29"/>
  <c r="J29" i="29"/>
  <c r="I29" i="29"/>
  <c r="H29" i="29"/>
  <c r="G29" i="29"/>
  <c r="F29" i="29"/>
  <c r="E29" i="29"/>
  <c r="D29" i="29"/>
  <c r="O28" i="29"/>
  <c r="N28" i="29"/>
  <c r="M28" i="29"/>
  <c r="L28" i="29"/>
  <c r="K28" i="29"/>
  <c r="J28" i="29"/>
  <c r="I28" i="29"/>
  <c r="H28" i="29"/>
  <c r="G28" i="29"/>
  <c r="F28" i="29"/>
  <c r="E28" i="29"/>
  <c r="D28" i="29"/>
  <c r="E26" i="27"/>
  <c r="D26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O26" i="23"/>
  <c r="N26" i="23"/>
  <c r="M26" i="23"/>
  <c r="L26" i="23"/>
  <c r="K26" i="23"/>
  <c r="J26" i="23"/>
  <c r="I26" i="23"/>
  <c r="H26" i="23"/>
  <c r="G26" i="23"/>
  <c r="F26" i="23"/>
  <c r="E26" i="23"/>
  <c r="D26" i="23"/>
  <c r="O26" i="22"/>
  <c r="N26" i="22"/>
  <c r="M26" i="22"/>
  <c r="L26" i="22"/>
  <c r="K26" i="22"/>
  <c r="J26" i="22"/>
  <c r="I26" i="22"/>
  <c r="H26" i="22"/>
  <c r="G26" i="22"/>
  <c r="F26" i="22"/>
  <c r="E26" i="22"/>
  <c r="D26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P25" i="27" l="1"/>
  <c r="P25" i="29"/>
  <c r="P29" i="29" l="1"/>
  <c r="P27" i="29"/>
  <c r="P26" i="29"/>
  <c r="N27" i="29"/>
  <c r="M27" i="29"/>
  <c r="L27" i="29"/>
  <c r="K27" i="29"/>
  <c r="J27" i="29"/>
  <c r="I27" i="29"/>
  <c r="H27" i="29"/>
  <c r="G27" i="29"/>
  <c r="F27" i="29"/>
  <c r="E27" i="29"/>
  <c r="D27" i="29"/>
  <c r="N26" i="29"/>
  <c r="M26" i="29"/>
  <c r="M30" i="29" s="1"/>
  <c r="L26" i="29"/>
  <c r="K26" i="29"/>
  <c r="K30" i="29" s="1"/>
  <c r="J26" i="29"/>
  <c r="I26" i="29"/>
  <c r="I30" i="29" s="1"/>
  <c r="H26" i="29"/>
  <c r="G26" i="29"/>
  <c r="G30" i="29" s="1"/>
  <c r="F26" i="29"/>
  <c r="E26" i="29"/>
  <c r="E30" i="29" s="1"/>
  <c r="D26" i="29"/>
  <c r="O26" i="29"/>
  <c r="P22" i="29"/>
  <c r="P28" i="29" s="1"/>
  <c r="D30" i="29" l="1"/>
  <c r="F30" i="29"/>
  <c r="H30" i="29"/>
  <c r="J30" i="29"/>
  <c r="L30" i="29"/>
  <c r="N30" i="29"/>
  <c r="P30" i="29"/>
  <c r="O27" i="29"/>
  <c r="O30" i="29" s="1"/>
  <c r="O24" i="22" l="1"/>
  <c r="P5" i="27"/>
  <c r="P6" i="27"/>
  <c r="P7" i="27"/>
  <c r="P8" i="27"/>
  <c r="P9" i="27"/>
  <c r="P11" i="27"/>
  <c r="P13" i="27"/>
  <c r="P14" i="27"/>
  <c r="P15" i="27"/>
  <c r="P16" i="27"/>
  <c r="P17" i="27"/>
  <c r="P18" i="27"/>
  <c r="P19" i="27"/>
  <c r="F23" i="27"/>
  <c r="F26" i="27" s="1"/>
  <c r="D24" i="22"/>
  <c r="P5" i="22"/>
  <c r="E24" i="22"/>
  <c r="F24" i="22"/>
  <c r="G24" i="22"/>
  <c r="H24" i="22"/>
  <c r="I24" i="22"/>
  <c r="J24" i="22"/>
  <c r="K24" i="22"/>
  <c r="L24" i="22"/>
  <c r="M24" i="22"/>
  <c r="N24" i="22"/>
  <c r="P8" i="22"/>
  <c r="P9" i="22"/>
  <c r="P10" i="22"/>
  <c r="P11" i="22"/>
  <c r="P12" i="22"/>
  <c r="P13" i="22"/>
  <c r="P14" i="22"/>
  <c r="P15" i="22"/>
  <c r="P16" i="22"/>
  <c r="P17" i="22"/>
  <c r="P18" i="22"/>
  <c r="P19" i="22"/>
  <c r="P20" i="22"/>
  <c r="P25" i="22" s="1"/>
  <c r="P21" i="22"/>
  <c r="P26" i="22" s="1"/>
  <c r="P22" i="22"/>
  <c r="P7" i="22"/>
  <c r="P6" i="22"/>
  <c r="P23" i="23"/>
  <c r="P26" i="23" s="1"/>
  <c r="P21" i="23"/>
  <c r="P20" i="23"/>
  <c r="P19" i="23"/>
  <c r="P18" i="23"/>
  <c r="P17" i="23"/>
  <c r="P16" i="23"/>
  <c r="P15" i="23"/>
  <c r="P14" i="23"/>
  <c r="P13" i="23"/>
  <c r="P12" i="23"/>
  <c r="P11" i="23"/>
  <c r="P10" i="23"/>
  <c r="P9" i="23"/>
  <c r="P8" i="23"/>
  <c r="P7" i="23"/>
  <c r="P6" i="23"/>
  <c r="P5" i="23"/>
  <c r="P26" i="27"/>
  <c r="N24" i="27"/>
  <c r="N28" i="27" s="1"/>
  <c r="M24" i="27"/>
  <c r="M28" i="27" s="1"/>
  <c r="L24" i="27"/>
  <c r="L28" i="27" s="1"/>
  <c r="K24" i="27"/>
  <c r="K28" i="27" s="1"/>
  <c r="J24" i="27"/>
  <c r="J28" i="27" s="1"/>
  <c r="I24" i="27"/>
  <c r="I28" i="27" s="1"/>
  <c r="H24" i="27"/>
  <c r="H28" i="27" s="1"/>
  <c r="G24" i="27"/>
  <c r="G28" i="27" s="1"/>
  <c r="F24" i="27"/>
  <c r="F28" i="27" s="1"/>
  <c r="E24" i="27"/>
  <c r="E28" i="27" s="1"/>
  <c r="D24" i="27"/>
  <c r="D28" i="27" s="1"/>
  <c r="O12" i="27"/>
  <c r="P12" i="27" s="1"/>
  <c r="O10" i="27"/>
  <c r="P10" i="27" s="1"/>
  <c r="P25" i="23" l="1"/>
  <c r="P24" i="22"/>
  <c r="P23" i="22"/>
  <c r="P27" i="22" s="1"/>
  <c r="P24" i="23"/>
  <c r="P23" i="27"/>
  <c r="P30" i="27" s="1"/>
  <c r="O24" i="27"/>
  <c r="O28" i="27" s="1"/>
  <c r="P28" i="27" l="1"/>
  <c r="P24" i="27"/>
  <c r="E24" i="23"/>
  <c r="F24" i="23"/>
  <c r="G24" i="23"/>
  <c r="H24" i="23"/>
  <c r="I24" i="23"/>
  <c r="J24" i="23"/>
  <c r="K24" i="23"/>
  <c r="L24" i="23"/>
  <c r="M24" i="23"/>
  <c r="N24" i="23"/>
  <c r="O24" i="23"/>
  <c r="D24" i="23"/>
  <c r="E25" i="23"/>
  <c r="F25" i="23"/>
  <c r="G25" i="23"/>
  <c r="H25" i="23"/>
  <c r="I25" i="23"/>
  <c r="J25" i="23"/>
  <c r="K25" i="23"/>
  <c r="L25" i="23"/>
  <c r="M25" i="23"/>
  <c r="N25" i="23"/>
  <c r="O25" i="23"/>
  <c r="D25" i="23"/>
  <c r="D28" i="23" l="1"/>
  <c r="N28" i="23"/>
  <c r="L28" i="23"/>
  <c r="J28" i="23"/>
  <c r="H28" i="23"/>
  <c r="F28" i="23"/>
  <c r="O28" i="23"/>
  <c r="M28" i="23"/>
  <c r="K28" i="23"/>
  <c r="I28" i="23"/>
  <c r="G28" i="23"/>
  <c r="E28" i="23"/>
  <c r="P28" i="23"/>
  <c r="B50" i="20" l="1"/>
  <c r="C40" i="21" l="1"/>
  <c r="D40" i="21"/>
  <c r="E40" i="21"/>
  <c r="F40" i="21"/>
  <c r="G40" i="21"/>
  <c r="H40" i="21"/>
  <c r="I40" i="21"/>
  <c r="J40" i="21"/>
  <c r="K40" i="21"/>
  <c r="L40" i="21"/>
  <c r="M40" i="21"/>
  <c r="B40" i="21"/>
  <c r="N39" i="21"/>
  <c r="N38" i="21"/>
  <c r="N40" i="21" l="1"/>
  <c r="N47" i="16" l="1"/>
  <c r="N46" i="16"/>
  <c r="N31" i="16"/>
  <c r="N24" i="16"/>
  <c r="N23" i="16"/>
  <c r="B26" i="15"/>
  <c r="C16" i="15"/>
  <c r="D16" i="15"/>
  <c r="E16" i="15"/>
  <c r="F16" i="15"/>
  <c r="G16" i="15"/>
  <c r="H16" i="15"/>
  <c r="I16" i="15"/>
  <c r="J16" i="15"/>
  <c r="K16" i="15"/>
  <c r="L16" i="15"/>
  <c r="M16" i="15"/>
  <c r="B16" i="15"/>
  <c r="E23" i="22" l="1"/>
  <c r="E27" i="22" s="1"/>
  <c r="F23" i="22"/>
  <c r="F27" i="22" s="1"/>
  <c r="G23" i="22"/>
  <c r="G27" i="22" s="1"/>
  <c r="H23" i="22"/>
  <c r="H27" i="22" s="1"/>
  <c r="I23" i="22"/>
  <c r="I27" i="22" s="1"/>
  <c r="J23" i="22"/>
  <c r="J27" i="22" s="1"/>
  <c r="K23" i="22"/>
  <c r="K27" i="22" s="1"/>
  <c r="L23" i="22"/>
  <c r="L27" i="22" s="1"/>
  <c r="M23" i="22"/>
  <c r="M27" i="22" s="1"/>
  <c r="N23" i="22"/>
  <c r="N27" i="22" s="1"/>
  <c r="O23" i="22"/>
  <c r="O27" i="22" s="1"/>
  <c r="D23" i="22"/>
  <c r="D27" i="22" s="1"/>
  <c r="N36" i="21" l="1"/>
  <c r="N35" i="21"/>
  <c r="N34" i="21"/>
  <c r="N33" i="21"/>
  <c r="N32" i="21"/>
  <c r="N31" i="21"/>
  <c r="N30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N29" i="21" s="1"/>
  <c r="N28" i="21"/>
  <c r="N27" i="21"/>
  <c r="N26" i="21"/>
  <c r="N24" i="21"/>
  <c r="N23" i="21"/>
  <c r="N22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N21" i="21" s="1"/>
  <c r="N20" i="21"/>
  <c r="N19" i="21"/>
  <c r="N18" i="21"/>
  <c r="M16" i="21"/>
  <c r="L16" i="21"/>
  <c r="K16" i="21"/>
  <c r="J16" i="21"/>
  <c r="I16" i="21"/>
  <c r="H16" i="21"/>
  <c r="G16" i="21"/>
  <c r="F16" i="21"/>
  <c r="E16" i="21"/>
  <c r="D16" i="21"/>
  <c r="C16" i="21"/>
  <c r="N16" i="21" s="1"/>
  <c r="B16" i="21"/>
  <c r="N15" i="21"/>
  <c r="N14" i="21"/>
  <c r="N13" i="21"/>
  <c r="N12" i="21"/>
  <c r="M10" i="21"/>
  <c r="L10" i="21"/>
  <c r="K10" i="21"/>
  <c r="K41" i="21" s="1"/>
  <c r="J10" i="21"/>
  <c r="I10" i="21"/>
  <c r="H10" i="21"/>
  <c r="H41" i="21" s="1"/>
  <c r="G10" i="21"/>
  <c r="G41" i="21" s="1"/>
  <c r="F10" i="21"/>
  <c r="E10" i="21"/>
  <c r="D10" i="21"/>
  <c r="C10" i="21"/>
  <c r="N10" i="21" s="1"/>
  <c r="B10" i="21"/>
  <c r="N9" i="21"/>
  <c r="N8" i="21"/>
  <c r="N7" i="21"/>
  <c r="N8" i="20"/>
  <c r="N9" i="20"/>
  <c r="N10" i="20"/>
  <c r="B11" i="20"/>
  <c r="C11" i="20"/>
  <c r="D11" i="20"/>
  <c r="E11" i="20"/>
  <c r="F11" i="20"/>
  <c r="G11" i="20"/>
  <c r="H11" i="20"/>
  <c r="I11" i="20"/>
  <c r="J11" i="20"/>
  <c r="K11" i="20"/>
  <c r="L11" i="20"/>
  <c r="M11" i="20"/>
  <c r="N13" i="20"/>
  <c r="N14" i="20"/>
  <c r="N15" i="20"/>
  <c r="N16" i="20"/>
  <c r="B17" i="20"/>
  <c r="C17" i="20"/>
  <c r="D17" i="20"/>
  <c r="E17" i="20"/>
  <c r="F17" i="20"/>
  <c r="G17" i="20"/>
  <c r="H17" i="20"/>
  <c r="I17" i="20"/>
  <c r="J17" i="20"/>
  <c r="K17" i="20"/>
  <c r="L17" i="20"/>
  <c r="M17" i="20"/>
  <c r="N19" i="20"/>
  <c r="N20" i="20"/>
  <c r="N21" i="20"/>
  <c r="B22" i="20"/>
  <c r="C22" i="20"/>
  <c r="D22" i="20"/>
  <c r="E22" i="20"/>
  <c r="F22" i="20"/>
  <c r="G22" i="20"/>
  <c r="H22" i="20"/>
  <c r="I22" i="20"/>
  <c r="J22" i="20"/>
  <c r="K22" i="20"/>
  <c r="L22" i="20"/>
  <c r="M22" i="20"/>
  <c r="N23" i="20"/>
  <c r="N24" i="20"/>
  <c r="N26" i="20"/>
  <c r="N27" i="20"/>
  <c r="N28" i="20"/>
  <c r="N29" i="20"/>
  <c r="B30" i="20"/>
  <c r="C30" i="20"/>
  <c r="D30" i="20"/>
  <c r="E30" i="20"/>
  <c r="F30" i="20"/>
  <c r="G30" i="20"/>
  <c r="H30" i="20"/>
  <c r="I30" i="20"/>
  <c r="J30" i="20"/>
  <c r="K30" i="20"/>
  <c r="L30" i="20"/>
  <c r="M30" i="20"/>
  <c r="N31" i="20"/>
  <c r="N32" i="20"/>
  <c r="N33" i="20"/>
  <c r="N34" i="20"/>
  <c r="N35" i="20"/>
  <c r="N36" i="20"/>
  <c r="N38" i="20"/>
  <c r="N39" i="20"/>
  <c r="N40" i="20"/>
  <c r="N41" i="20"/>
  <c r="N42" i="20"/>
  <c r="N43" i="20"/>
  <c r="N44" i="20"/>
  <c r="N45" i="20"/>
  <c r="B46" i="20"/>
  <c r="C46" i="20"/>
  <c r="D46" i="20"/>
  <c r="E46" i="20"/>
  <c r="F46" i="20"/>
  <c r="G46" i="20"/>
  <c r="H46" i="20"/>
  <c r="I46" i="20"/>
  <c r="J46" i="20"/>
  <c r="K46" i="20"/>
  <c r="L46" i="20"/>
  <c r="M46" i="20"/>
  <c r="N48" i="20"/>
  <c r="N49" i="20"/>
  <c r="C50" i="20"/>
  <c r="D50" i="20"/>
  <c r="E50" i="20"/>
  <c r="F50" i="20"/>
  <c r="G50" i="20"/>
  <c r="I50" i="20"/>
  <c r="J50" i="20"/>
  <c r="K50" i="20"/>
  <c r="L50" i="20"/>
  <c r="M50" i="20"/>
  <c r="N51" i="20"/>
  <c r="N52" i="20"/>
  <c r="N53" i="20"/>
  <c r="N54" i="20"/>
  <c r="N15" i="15"/>
  <c r="N9" i="18"/>
  <c r="N10" i="18"/>
  <c r="N11" i="18"/>
  <c r="B12" i="18"/>
  <c r="C12" i="18"/>
  <c r="D12" i="18"/>
  <c r="E12" i="18"/>
  <c r="F12" i="18"/>
  <c r="G12" i="18"/>
  <c r="H12" i="18"/>
  <c r="I12" i="18"/>
  <c r="J12" i="18"/>
  <c r="K12" i="18"/>
  <c r="L12" i="18"/>
  <c r="M12" i="18"/>
  <c r="N14" i="18"/>
  <c r="N15" i="18"/>
  <c r="N16" i="18"/>
  <c r="N17" i="18"/>
  <c r="B18" i="18"/>
  <c r="C18" i="18"/>
  <c r="D18" i="18"/>
  <c r="E18" i="18"/>
  <c r="F18" i="18"/>
  <c r="G18" i="18"/>
  <c r="H18" i="18"/>
  <c r="I18" i="18"/>
  <c r="J18" i="18"/>
  <c r="K18" i="18"/>
  <c r="L18" i="18"/>
  <c r="M18" i="18"/>
  <c r="N20" i="18"/>
  <c r="N21" i="18"/>
  <c r="N22" i="18"/>
  <c r="B23" i="18"/>
  <c r="C23" i="18"/>
  <c r="D23" i="18"/>
  <c r="E23" i="18"/>
  <c r="F23" i="18"/>
  <c r="G23" i="18"/>
  <c r="H23" i="18"/>
  <c r="I23" i="18"/>
  <c r="J23" i="18"/>
  <c r="K23" i="18"/>
  <c r="L23" i="18"/>
  <c r="M23" i="18"/>
  <c r="N24" i="18"/>
  <c r="N25" i="18"/>
  <c r="N27" i="18"/>
  <c r="N28" i="18"/>
  <c r="N29" i="18"/>
  <c r="B30" i="18"/>
  <c r="C30" i="18"/>
  <c r="D30" i="18"/>
  <c r="E30" i="18"/>
  <c r="F30" i="18"/>
  <c r="G30" i="18"/>
  <c r="H30" i="18"/>
  <c r="I30" i="18"/>
  <c r="J30" i="18"/>
  <c r="K30" i="18"/>
  <c r="L30" i="18"/>
  <c r="M30" i="18"/>
  <c r="N31" i="18"/>
  <c r="N32" i="18"/>
  <c r="N33" i="18"/>
  <c r="N34" i="18"/>
  <c r="N35" i="18"/>
  <c r="N36" i="18"/>
  <c r="N38" i="18"/>
  <c r="N39" i="18"/>
  <c r="N40" i="18"/>
  <c r="N41" i="18"/>
  <c r="N42" i="18"/>
  <c r="N43" i="18"/>
  <c r="N44" i="18"/>
  <c r="N45" i="18"/>
  <c r="B46" i="18"/>
  <c r="C46" i="18"/>
  <c r="D46" i="18"/>
  <c r="E46" i="18"/>
  <c r="F46" i="18"/>
  <c r="G46" i="18"/>
  <c r="H46" i="18"/>
  <c r="I46" i="18"/>
  <c r="J46" i="18"/>
  <c r="K46" i="18"/>
  <c r="L46" i="18"/>
  <c r="M46" i="18"/>
  <c r="N48" i="18"/>
  <c r="N49" i="18"/>
  <c r="B50" i="18"/>
  <c r="C50" i="18"/>
  <c r="D50" i="18"/>
  <c r="E50" i="18"/>
  <c r="E55" i="18" s="1"/>
  <c r="F50" i="18"/>
  <c r="G50" i="18"/>
  <c r="I50" i="18"/>
  <c r="J50" i="18"/>
  <c r="J55" i="18" s="1"/>
  <c r="K50" i="18"/>
  <c r="L50" i="18"/>
  <c r="M50" i="18"/>
  <c r="N51" i="18"/>
  <c r="N52" i="18"/>
  <c r="N53" i="18"/>
  <c r="N54" i="18"/>
  <c r="N8" i="16"/>
  <c r="N9" i="16"/>
  <c r="N10" i="16"/>
  <c r="B11" i="16"/>
  <c r="C11" i="16"/>
  <c r="D11" i="16"/>
  <c r="E11" i="16"/>
  <c r="F11" i="16"/>
  <c r="G11" i="16"/>
  <c r="H11" i="16"/>
  <c r="I11" i="16"/>
  <c r="J11" i="16"/>
  <c r="K11" i="16"/>
  <c r="L11" i="16"/>
  <c r="M11" i="16"/>
  <c r="N13" i="16"/>
  <c r="N14" i="16"/>
  <c r="N15" i="16"/>
  <c r="N16" i="16"/>
  <c r="B17" i="16"/>
  <c r="C17" i="16"/>
  <c r="D17" i="16"/>
  <c r="E17" i="16"/>
  <c r="F17" i="16"/>
  <c r="G17" i="16"/>
  <c r="H17" i="16"/>
  <c r="I17" i="16"/>
  <c r="J17" i="16"/>
  <c r="K17" i="16"/>
  <c r="L17" i="16"/>
  <c r="M17" i="16"/>
  <c r="N19" i="16"/>
  <c r="N20" i="16"/>
  <c r="N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6" i="16"/>
  <c r="N27" i="16"/>
  <c r="N28" i="16"/>
  <c r="N29" i="16"/>
  <c r="B30" i="16"/>
  <c r="C30" i="16"/>
  <c r="D30" i="16"/>
  <c r="E30" i="16"/>
  <c r="F30" i="16"/>
  <c r="G30" i="16"/>
  <c r="H30" i="16"/>
  <c r="I30" i="16"/>
  <c r="J30" i="16"/>
  <c r="K30" i="16"/>
  <c r="L30" i="16"/>
  <c r="M30" i="16"/>
  <c r="N33" i="16"/>
  <c r="N34" i="16"/>
  <c r="N35" i="16"/>
  <c r="N36" i="16"/>
  <c r="N37" i="16"/>
  <c r="N38" i="16"/>
  <c r="N39" i="16"/>
  <c r="N40" i="16"/>
  <c r="B41" i="16"/>
  <c r="C41" i="16"/>
  <c r="D41" i="16"/>
  <c r="E41" i="16"/>
  <c r="F41" i="16"/>
  <c r="G41" i="16"/>
  <c r="H41" i="16"/>
  <c r="I41" i="16"/>
  <c r="J41" i="16"/>
  <c r="K41" i="16"/>
  <c r="L41" i="16"/>
  <c r="M41" i="16"/>
  <c r="N43" i="16"/>
  <c r="N44" i="16"/>
  <c r="B45" i="16"/>
  <c r="C45" i="16"/>
  <c r="D45" i="16"/>
  <c r="E45" i="16"/>
  <c r="F45" i="16"/>
  <c r="G45" i="16"/>
  <c r="H45" i="16"/>
  <c r="I45" i="16"/>
  <c r="J45" i="16"/>
  <c r="K45" i="16"/>
  <c r="L45" i="16"/>
  <c r="M45" i="16"/>
  <c r="N8" i="15"/>
  <c r="N9" i="15"/>
  <c r="N10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2" i="15"/>
  <c r="N13" i="15"/>
  <c r="N14" i="15"/>
  <c r="N18" i="15"/>
  <c r="N19" i="15"/>
  <c r="N20" i="15"/>
  <c r="N21" i="15"/>
  <c r="N22" i="15"/>
  <c r="N23" i="15"/>
  <c r="N24" i="15"/>
  <c r="N25" i="15"/>
  <c r="C26" i="15"/>
  <c r="D26" i="15"/>
  <c r="E26" i="15"/>
  <c r="F26" i="15"/>
  <c r="G26" i="15"/>
  <c r="H26" i="15"/>
  <c r="I26" i="15"/>
  <c r="J26" i="15"/>
  <c r="K26" i="15"/>
  <c r="L26" i="15"/>
  <c r="M26" i="15"/>
  <c r="B28" i="15"/>
  <c r="C28" i="15"/>
  <c r="D28" i="15"/>
  <c r="E28" i="15"/>
  <c r="B29" i="15"/>
  <c r="C29" i="15"/>
  <c r="D29" i="15"/>
  <c r="E29" i="15"/>
  <c r="B30" i="15"/>
  <c r="C30" i="15"/>
  <c r="D30" i="15"/>
  <c r="E30" i="15"/>
  <c r="B31" i="15"/>
  <c r="C31" i="15"/>
  <c r="D31" i="15"/>
  <c r="E31" i="15"/>
  <c r="N32" i="15"/>
  <c r="F33" i="15"/>
  <c r="G33" i="15"/>
  <c r="H33" i="15"/>
  <c r="I33" i="15"/>
  <c r="J33" i="15"/>
  <c r="K33" i="15"/>
  <c r="L33" i="15"/>
  <c r="M33" i="15"/>
  <c r="N35" i="15"/>
  <c r="N36" i="15"/>
  <c r="B37" i="15"/>
  <c r="C37" i="15"/>
  <c r="D37" i="15"/>
  <c r="E37" i="15"/>
  <c r="F37" i="15"/>
  <c r="G37" i="15"/>
  <c r="H37" i="15"/>
  <c r="I37" i="15"/>
  <c r="J37" i="15"/>
  <c r="K37" i="15"/>
  <c r="L37" i="15"/>
  <c r="M37" i="15"/>
  <c r="N39" i="15"/>
  <c r="N40" i="15"/>
  <c r="B41" i="15"/>
  <c r="C41" i="15"/>
  <c r="D41" i="15"/>
  <c r="E41" i="15"/>
  <c r="F41" i="15"/>
  <c r="G41" i="15"/>
  <c r="H41" i="15"/>
  <c r="I41" i="15"/>
  <c r="J41" i="15"/>
  <c r="L41" i="15"/>
  <c r="M41" i="15"/>
  <c r="N43" i="15"/>
  <c r="N44" i="15"/>
  <c r="N45" i="15"/>
  <c r="N46" i="15"/>
  <c r="B47" i="15"/>
  <c r="C47" i="15"/>
  <c r="D47" i="15"/>
  <c r="E47" i="15"/>
  <c r="F47" i="15"/>
  <c r="G47" i="15"/>
  <c r="H47" i="15"/>
  <c r="I47" i="15"/>
  <c r="J47" i="15"/>
  <c r="K47" i="15"/>
  <c r="L47" i="15"/>
  <c r="M47" i="15"/>
  <c r="N49" i="15"/>
  <c r="N50" i="15"/>
  <c r="B51" i="15"/>
  <c r="C51" i="15"/>
  <c r="D51" i="15"/>
  <c r="E51" i="15"/>
  <c r="F51" i="15"/>
  <c r="G51" i="15"/>
  <c r="H51" i="15"/>
  <c r="I51" i="15"/>
  <c r="J51" i="15"/>
  <c r="K51" i="15"/>
  <c r="L51" i="15"/>
  <c r="M51" i="15"/>
  <c r="N52" i="15"/>
  <c r="D53" i="15"/>
  <c r="E53" i="15"/>
  <c r="B9" i="1"/>
  <c r="C9" i="1"/>
  <c r="D9" i="1"/>
  <c r="E9" i="1"/>
  <c r="F9" i="1"/>
  <c r="G9" i="1"/>
  <c r="H9" i="1"/>
  <c r="I9" i="1"/>
  <c r="J9" i="1"/>
  <c r="K9" i="1"/>
  <c r="L9" i="1"/>
  <c r="M9" i="1"/>
  <c r="N10" i="1"/>
  <c r="N12" i="1"/>
  <c r="B22" i="1"/>
  <c r="C22" i="1"/>
  <c r="D22" i="1"/>
  <c r="E22" i="1"/>
  <c r="F22" i="1"/>
  <c r="G22" i="1"/>
  <c r="H22" i="1"/>
  <c r="I22" i="1"/>
  <c r="J22" i="1"/>
  <c r="K22" i="1"/>
  <c r="L22" i="1"/>
  <c r="M22" i="1"/>
  <c r="B29" i="1"/>
  <c r="C29" i="1"/>
  <c r="D29" i="1"/>
  <c r="E29" i="1"/>
  <c r="F24" i="1"/>
  <c r="F25" i="1"/>
  <c r="F26" i="1"/>
  <c r="F27" i="1"/>
  <c r="F28" i="1"/>
  <c r="G24" i="1"/>
  <c r="G25" i="1"/>
  <c r="G26" i="1"/>
  <c r="G27" i="1"/>
  <c r="G28" i="1"/>
  <c r="N28" i="1"/>
  <c r="H24" i="1"/>
  <c r="H25" i="1"/>
  <c r="H26" i="1"/>
  <c r="H27" i="1"/>
  <c r="I24" i="1"/>
  <c r="I25" i="1"/>
  <c r="I26" i="1"/>
  <c r="I27" i="1"/>
  <c r="J24" i="1"/>
  <c r="J25" i="1"/>
  <c r="J26" i="1"/>
  <c r="J27" i="1"/>
  <c r="K24" i="1"/>
  <c r="K25" i="1"/>
  <c r="K26" i="1"/>
  <c r="K27" i="1"/>
  <c r="L24" i="1"/>
  <c r="L25" i="1"/>
  <c r="L26" i="1"/>
  <c r="L27" i="1"/>
  <c r="M29" i="1"/>
  <c r="B33" i="1"/>
  <c r="C33" i="1"/>
  <c r="D33" i="1"/>
  <c r="E33" i="1"/>
  <c r="F33" i="1"/>
  <c r="G33" i="1"/>
  <c r="H33" i="1"/>
  <c r="I33" i="1"/>
  <c r="J33" i="1"/>
  <c r="K33" i="1"/>
  <c r="L33" i="1"/>
  <c r="M33" i="1"/>
  <c r="B37" i="1"/>
  <c r="C37" i="1"/>
  <c r="D37" i="1"/>
  <c r="E37" i="1"/>
  <c r="F37" i="1"/>
  <c r="G37" i="1"/>
  <c r="H35" i="1"/>
  <c r="H37" i="1" s="1"/>
  <c r="I35" i="1"/>
  <c r="I37" i="1" s="1"/>
  <c r="J35" i="1"/>
  <c r="J37" i="1" s="1"/>
  <c r="K35" i="1"/>
  <c r="K37" i="1" s="1"/>
  <c r="L35" i="1"/>
  <c r="L37" i="1" s="1"/>
  <c r="M35" i="1"/>
  <c r="M37" i="1" s="1"/>
  <c r="B43" i="1"/>
  <c r="C43" i="1"/>
  <c r="D43" i="1"/>
  <c r="E43" i="1"/>
  <c r="F43" i="1"/>
  <c r="G43" i="1"/>
  <c r="H43" i="1"/>
  <c r="I43" i="1"/>
  <c r="J43" i="1"/>
  <c r="K43" i="1"/>
  <c r="L43" i="1"/>
  <c r="M43" i="1"/>
  <c r="B47" i="1"/>
  <c r="C47" i="1"/>
  <c r="D47" i="1"/>
  <c r="E47" i="1"/>
  <c r="F47" i="1"/>
  <c r="G47" i="1"/>
  <c r="H47" i="1"/>
  <c r="I47" i="1"/>
  <c r="J47" i="1"/>
  <c r="K47" i="1"/>
  <c r="L47" i="1"/>
  <c r="M47" i="1"/>
  <c r="B51" i="1"/>
  <c r="B52" i="1" s="1"/>
  <c r="B55" i="1" s="1"/>
  <c r="C52" i="1"/>
  <c r="D50" i="1"/>
  <c r="N50" i="1" s="1"/>
  <c r="D51" i="1"/>
  <c r="D52" i="1" s="1"/>
  <c r="E52" i="1"/>
  <c r="F52" i="1"/>
  <c r="G52" i="1"/>
  <c r="H52" i="1"/>
  <c r="I52" i="1"/>
  <c r="J52" i="1"/>
  <c r="K52" i="1"/>
  <c r="L52" i="1"/>
  <c r="M52" i="1"/>
  <c r="E53" i="1"/>
  <c r="F53" i="1"/>
  <c r="G53" i="1"/>
  <c r="H53" i="1"/>
  <c r="I53" i="1"/>
  <c r="J53" i="1"/>
  <c r="K53" i="1"/>
  <c r="L53" i="1"/>
  <c r="M53" i="1"/>
  <c r="N11" i="1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B8" i="11"/>
  <c r="B14" i="11"/>
  <c r="B22" i="11"/>
  <c r="C8" i="11"/>
  <c r="C14" i="11"/>
  <c r="D8" i="11"/>
  <c r="D14" i="11"/>
  <c r="E8" i="11"/>
  <c r="E14" i="11"/>
  <c r="E22" i="11" s="1"/>
  <c r="F8" i="11"/>
  <c r="F14" i="11"/>
  <c r="G8" i="11"/>
  <c r="G14" i="11"/>
  <c r="G22" i="11" s="1"/>
  <c r="H8" i="11"/>
  <c r="H14" i="11"/>
  <c r="I8" i="11"/>
  <c r="I14" i="11"/>
  <c r="J8" i="11"/>
  <c r="J14" i="11"/>
  <c r="J22" i="11" s="1"/>
  <c r="K8" i="11"/>
  <c r="K22" i="11" s="1"/>
  <c r="K14" i="11"/>
  <c r="L8" i="11"/>
  <c r="L14" i="11"/>
  <c r="M8" i="11"/>
  <c r="M13" i="11"/>
  <c r="M14" i="11" s="1"/>
  <c r="N15" i="11"/>
  <c r="N16" i="11"/>
  <c r="N17" i="11"/>
  <c r="N19" i="11"/>
  <c r="N20" i="11"/>
  <c r="N12" i="11"/>
  <c r="N11" i="11"/>
  <c r="N10" i="11"/>
  <c r="N7" i="11"/>
  <c r="N6" i="11"/>
  <c r="B8" i="12"/>
  <c r="B16" i="12"/>
  <c r="B22" i="12"/>
  <c r="B27" i="12"/>
  <c r="B32" i="12"/>
  <c r="C8" i="12"/>
  <c r="C16" i="12"/>
  <c r="C22" i="12"/>
  <c r="C27" i="12"/>
  <c r="C32" i="12"/>
  <c r="D8" i="12"/>
  <c r="D16" i="12"/>
  <c r="D22" i="12"/>
  <c r="D27" i="12"/>
  <c r="D32" i="12"/>
  <c r="E8" i="12"/>
  <c r="E16" i="12"/>
  <c r="E22" i="12"/>
  <c r="E27" i="12"/>
  <c r="E32" i="12"/>
  <c r="F8" i="12"/>
  <c r="F16" i="12"/>
  <c r="F22" i="12"/>
  <c r="F32" i="12"/>
  <c r="G8" i="12"/>
  <c r="G16" i="12"/>
  <c r="G22" i="12"/>
  <c r="G32" i="12"/>
  <c r="H8" i="12"/>
  <c r="H16" i="12"/>
  <c r="H22" i="12"/>
  <c r="H32" i="12"/>
  <c r="I8" i="12"/>
  <c r="I16" i="12"/>
  <c r="I21" i="12"/>
  <c r="I22" i="12" s="1"/>
  <c r="I23" i="12"/>
  <c r="I25" i="12"/>
  <c r="I27" i="12" s="1"/>
  <c r="I32" i="12"/>
  <c r="J8" i="12"/>
  <c r="J16" i="12"/>
  <c r="J21" i="12"/>
  <c r="J22" i="12" s="1"/>
  <c r="J32" i="12"/>
  <c r="K8" i="12"/>
  <c r="K16" i="12"/>
  <c r="K22" i="12"/>
  <c r="K32" i="12"/>
  <c r="L8" i="12"/>
  <c r="L16" i="12"/>
  <c r="L21" i="12"/>
  <c r="L22" i="12"/>
  <c r="L23" i="12"/>
  <c r="L32" i="12"/>
  <c r="M8" i="12"/>
  <c r="M16" i="12"/>
  <c r="M22" i="12"/>
  <c r="M23" i="12"/>
  <c r="M27" i="12"/>
  <c r="M32" i="12"/>
  <c r="N28" i="12"/>
  <c r="N33" i="12"/>
  <c r="N34" i="12"/>
  <c r="N31" i="12"/>
  <c r="N30" i="12"/>
  <c r="N26" i="12"/>
  <c r="F25" i="12"/>
  <c r="G25" i="12"/>
  <c r="H25" i="12"/>
  <c r="J25" i="12"/>
  <c r="K25" i="12"/>
  <c r="L25" i="12"/>
  <c r="N20" i="12"/>
  <c r="N19" i="12"/>
  <c r="N18" i="12"/>
  <c r="N15" i="12"/>
  <c r="N14" i="12"/>
  <c r="N13" i="12"/>
  <c r="N12" i="12"/>
  <c r="N11" i="12"/>
  <c r="N10" i="12"/>
  <c r="N7" i="12"/>
  <c r="N6" i="12"/>
  <c r="B8" i="9"/>
  <c r="B17" i="9"/>
  <c r="B24" i="9"/>
  <c r="B25" i="9"/>
  <c r="B29" i="9"/>
  <c r="B34" i="9"/>
  <c r="C8" i="9"/>
  <c r="C17" i="9"/>
  <c r="C24" i="9"/>
  <c r="C25" i="9"/>
  <c r="C29" i="9"/>
  <c r="C34" i="9"/>
  <c r="D8" i="9"/>
  <c r="D17" i="9"/>
  <c r="D24" i="9"/>
  <c r="D25" i="9"/>
  <c r="D29" i="9"/>
  <c r="D34" i="9"/>
  <c r="E8" i="9"/>
  <c r="E17" i="9"/>
  <c r="E24" i="9"/>
  <c r="E25" i="9"/>
  <c r="E29" i="9"/>
  <c r="E34" i="9"/>
  <c r="F8" i="9"/>
  <c r="F17" i="9"/>
  <c r="F24" i="9"/>
  <c r="F29" i="9"/>
  <c r="F34" i="9"/>
  <c r="G8" i="9"/>
  <c r="G17" i="9"/>
  <c r="G24" i="9"/>
  <c r="G29" i="9"/>
  <c r="G34" i="9"/>
  <c r="G36" i="9"/>
  <c r="H8" i="9"/>
  <c r="H17" i="9"/>
  <c r="H24" i="9"/>
  <c r="H25" i="9"/>
  <c r="H29" i="9"/>
  <c r="H34" i="9"/>
  <c r="H36" i="9"/>
  <c r="I8" i="9"/>
  <c r="I17" i="9"/>
  <c r="I24" i="9"/>
  <c r="I25" i="9"/>
  <c r="I29" i="9"/>
  <c r="I34" i="9"/>
  <c r="I36" i="9"/>
  <c r="J8" i="9"/>
  <c r="J17" i="9"/>
  <c r="J22" i="9"/>
  <c r="J29" i="9"/>
  <c r="J34" i="9"/>
  <c r="J36" i="9"/>
  <c r="K8" i="9"/>
  <c r="K17" i="9"/>
  <c r="K24" i="9"/>
  <c r="K29" i="9"/>
  <c r="K34" i="9"/>
  <c r="L8" i="9"/>
  <c r="L38" i="9" s="1"/>
  <c r="L17" i="9"/>
  <c r="L24" i="9"/>
  <c r="L29" i="9"/>
  <c r="L34" i="9"/>
  <c r="M8" i="9"/>
  <c r="M17" i="9"/>
  <c r="M24" i="9"/>
  <c r="M29" i="9"/>
  <c r="M34" i="9"/>
  <c r="N30" i="9"/>
  <c r="N35" i="9"/>
  <c r="N33" i="9"/>
  <c r="N32" i="9"/>
  <c r="N28" i="9"/>
  <c r="N27" i="9"/>
  <c r="N23" i="9"/>
  <c r="N21" i="9"/>
  <c r="N20" i="9"/>
  <c r="N19" i="9"/>
  <c r="N16" i="9"/>
  <c r="N15" i="9"/>
  <c r="N14" i="9"/>
  <c r="N13" i="9"/>
  <c r="N12" i="9"/>
  <c r="N11" i="9"/>
  <c r="N10" i="9"/>
  <c r="N7" i="9"/>
  <c r="N6" i="9"/>
  <c r="B8" i="8"/>
  <c r="B17" i="8"/>
  <c r="B24" i="8"/>
  <c r="B28" i="8"/>
  <c r="B32" i="8"/>
  <c r="B42" i="8"/>
  <c r="C8" i="8"/>
  <c r="C17" i="8"/>
  <c r="C24" i="8"/>
  <c r="C28" i="8"/>
  <c r="C32" i="8"/>
  <c r="C42" i="8"/>
  <c r="D8" i="8"/>
  <c r="D17" i="8"/>
  <c r="D24" i="8"/>
  <c r="D28" i="8"/>
  <c r="D32" i="8"/>
  <c r="D42" i="8"/>
  <c r="E8" i="8"/>
  <c r="E17" i="8"/>
  <c r="E24" i="8"/>
  <c r="E28" i="8"/>
  <c r="E32" i="8"/>
  <c r="E42" i="8"/>
  <c r="F8" i="8"/>
  <c r="F17" i="8"/>
  <c r="F24" i="8"/>
  <c r="F28" i="8"/>
  <c r="F32" i="8"/>
  <c r="F42" i="8"/>
  <c r="F44" i="8"/>
  <c r="G8" i="8"/>
  <c r="G17" i="8"/>
  <c r="G24" i="8"/>
  <c r="G28" i="8"/>
  <c r="G32" i="8"/>
  <c r="G42" i="8"/>
  <c r="G44" i="8"/>
  <c r="H8" i="8"/>
  <c r="H17" i="8"/>
  <c r="H24" i="8"/>
  <c r="H28" i="8"/>
  <c r="H32" i="8"/>
  <c r="H42" i="8"/>
  <c r="H44" i="8"/>
  <c r="I8" i="8"/>
  <c r="I17" i="8"/>
  <c r="I24" i="8"/>
  <c r="I28" i="8"/>
  <c r="I32" i="8"/>
  <c r="I42" i="8"/>
  <c r="J8" i="8"/>
  <c r="J17" i="8"/>
  <c r="J24" i="8"/>
  <c r="J28" i="8"/>
  <c r="J32" i="8"/>
  <c r="J42" i="8"/>
  <c r="K8" i="8"/>
  <c r="K17" i="8"/>
  <c r="K24" i="8"/>
  <c r="K28" i="8"/>
  <c r="K32" i="8"/>
  <c r="K42" i="8"/>
  <c r="K44" i="8"/>
  <c r="L8" i="8"/>
  <c r="L17" i="8"/>
  <c r="L24" i="8"/>
  <c r="L28" i="8"/>
  <c r="L32" i="8"/>
  <c r="L42" i="8"/>
  <c r="L44" i="8"/>
  <c r="M8" i="8"/>
  <c r="M17" i="8"/>
  <c r="M24" i="8"/>
  <c r="M28" i="8"/>
  <c r="M32" i="8"/>
  <c r="M42" i="8"/>
  <c r="M44" i="8"/>
  <c r="N43" i="8"/>
  <c r="N41" i="8"/>
  <c r="N40" i="8"/>
  <c r="B38" i="8"/>
  <c r="C38" i="8"/>
  <c r="D38" i="8"/>
  <c r="E38" i="8"/>
  <c r="F38" i="8"/>
  <c r="G38" i="8"/>
  <c r="H38" i="8"/>
  <c r="I38" i="8"/>
  <c r="J38" i="8"/>
  <c r="K38" i="8"/>
  <c r="L38" i="8"/>
  <c r="M38" i="8"/>
  <c r="N37" i="8"/>
  <c r="N36" i="8"/>
  <c r="N35" i="8"/>
  <c r="N34" i="8"/>
  <c r="N31" i="8"/>
  <c r="N30" i="8"/>
  <c r="N26" i="8"/>
  <c r="N23" i="8"/>
  <c r="N22" i="8"/>
  <c r="N21" i="8"/>
  <c r="N20" i="8"/>
  <c r="N19" i="8"/>
  <c r="N16" i="8"/>
  <c r="N15" i="8"/>
  <c r="N14" i="8"/>
  <c r="N13" i="8"/>
  <c r="N12" i="8"/>
  <c r="N11" i="8"/>
  <c r="N10" i="8"/>
  <c r="N7" i="8"/>
  <c r="N6" i="8"/>
  <c r="B9" i="10"/>
  <c r="B18" i="10"/>
  <c r="B25" i="10"/>
  <c r="B29" i="10"/>
  <c r="B33" i="10"/>
  <c r="B39" i="10"/>
  <c r="B43" i="10"/>
  <c r="C9" i="10"/>
  <c r="C18" i="10"/>
  <c r="C25" i="10"/>
  <c r="C29" i="10"/>
  <c r="C33" i="10"/>
  <c r="C39" i="10"/>
  <c r="C43" i="10"/>
  <c r="D9" i="10"/>
  <c r="D11" i="10"/>
  <c r="D18" i="10" s="1"/>
  <c r="D25" i="10"/>
  <c r="D29" i="10"/>
  <c r="D33" i="10"/>
  <c r="D39" i="10"/>
  <c r="D43" i="10"/>
  <c r="E9" i="10"/>
  <c r="E18" i="10"/>
  <c r="E25" i="10"/>
  <c r="E29" i="10"/>
  <c r="E33" i="10"/>
  <c r="E39" i="10"/>
  <c r="E43" i="10"/>
  <c r="E47" i="10"/>
  <c r="F9" i="10"/>
  <c r="F18" i="10"/>
  <c r="F25" i="10"/>
  <c r="F29" i="10"/>
  <c r="F33" i="10"/>
  <c r="F39" i="10"/>
  <c r="F43" i="10"/>
  <c r="G9" i="10"/>
  <c r="G18" i="10"/>
  <c r="G25" i="10"/>
  <c r="G29" i="10"/>
  <c r="G33" i="10"/>
  <c r="G39" i="10"/>
  <c r="G43" i="10"/>
  <c r="G47" i="10"/>
  <c r="H9" i="10"/>
  <c r="H18" i="10"/>
  <c r="H25" i="10"/>
  <c r="H29" i="10"/>
  <c r="H33" i="10"/>
  <c r="H39" i="10"/>
  <c r="H43" i="10"/>
  <c r="I9" i="10"/>
  <c r="I18" i="10"/>
  <c r="I25" i="10"/>
  <c r="I29" i="10"/>
  <c r="I33" i="10"/>
  <c r="I39" i="10"/>
  <c r="I43" i="10"/>
  <c r="I47" i="10"/>
  <c r="J9" i="10"/>
  <c r="J51" i="10" s="1"/>
  <c r="J18" i="10"/>
  <c r="J25" i="10"/>
  <c r="J29" i="10"/>
  <c r="J33" i="10"/>
  <c r="J39" i="10"/>
  <c r="J43" i="10"/>
  <c r="K9" i="10"/>
  <c r="K18" i="10"/>
  <c r="K51" i="10" s="1"/>
  <c r="K25" i="10"/>
  <c r="K29" i="10"/>
  <c r="K33" i="10"/>
  <c r="K39" i="10"/>
  <c r="K43" i="10"/>
  <c r="L9" i="10"/>
  <c r="L18" i="10"/>
  <c r="L25" i="10"/>
  <c r="L29" i="10"/>
  <c r="L39" i="10"/>
  <c r="L43" i="10"/>
  <c r="M9" i="10"/>
  <c r="M18" i="10"/>
  <c r="M25" i="10"/>
  <c r="M29" i="10"/>
  <c r="M33" i="10"/>
  <c r="M39" i="10"/>
  <c r="M43" i="10"/>
  <c r="N44" i="10"/>
  <c r="N45" i="10"/>
  <c r="N46" i="10"/>
  <c r="N48" i="10"/>
  <c r="N49" i="10"/>
  <c r="N42" i="10"/>
  <c r="N41" i="10"/>
  <c r="N38" i="10"/>
  <c r="N37" i="10"/>
  <c r="N36" i="10"/>
  <c r="N35" i="10"/>
  <c r="N32" i="10"/>
  <c r="N31" i="10"/>
  <c r="N28" i="10"/>
  <c r="N27" i="10"/>
  <c r="N24" i="10"/>
  <c r="N23" i="10"/>
  <c r="N22" i="10"/>
  <c r="N21" i="10"/>
  <c r="N20" i="10"/>
  <c r="N17" i="10"/>
  <c r="N16" i="10"/>
  <c r="N15" i="10"/>
  <c r="N14" i="10"/>
  <c r="N13" i="10"/>
  <c r="N12" i="10"/>
  <c r="N8" i="10"/>
  <c r="N7" i="10"/>
  <c r="N6" i="10"/>
  <c r="N49" i="1"/>
  <c r="N46" i="1"/>
  <c r="N45" i="1"/>
  <c r="N42" i="1"/>
  <c r="N41" i="1"/>
  <c r="N40" i="1"/>
  <c r="N39" i="1"/>
  <c r="N36" i="1"/>
  <c r="N32" i="1"/>
  <c r="N31" i="1"/>
  <c r="N27" i="1"/>
  <c r="N21" i="1"/>
  <c r="N20" i="1"/>
  <c r="N19" i="1"/>
  <c r="N18" i="1"/>
  <c r="N17" i="1"/>
  <c r="N16" i="1"/>
  <c r="N15" i="1"/>
  <c r="N14" i="1"/>
  <c r="N8" i="1"/>
  <c r="N7" i="1"/>
  <c r="N6" i="1"/>
  <c r="F29" i="1"/>
  <c r="N13" i="11"/>
  <c r="N43" i="1"/>
  <c r="N22" i="1"/>
  <c r="C33" i="15"/>
  <c r="B33" i="15"/>
  <c r="N11" i="15"/>
  <c r="C46" i="8"/>
  <c r="N51" i="1"/>
  <c r="N24" i="1"/>
  <c r="J24" i="9"/>
  <c r="N22" i="9"/>
  <c r="D33" i="15"/>
  <c r="N33" i="1" l="1"/>
  <c r="L29" i="1"/>
  <c r="L55" i="1" s="1"/>
  <c r="K29" i="1"/>
  <c r="I29" i="1"/>
  <c r="I55" i="1" s="1"/>
  <c r="H29" i="1"/>
  <c r="H55" i="1" s="1"/>
  <c r="N26" i="1"/>
  <c r="E55" i="1"/>
  <c r="N47" i="15"/>
  <c r="N37" i="15"/>
  <c r="N31" i="15"/>
  <c r="N30" i="15"/>
  <c r="N29" i="15"/>
  <c r="N30" i="18"/>
  <c r="I51" i="10"/>
  <c r="K38" i="9"/>
  <c r="N25" i="12"/>
  <c r="M36" i="12"/>
  <c r="N16" i="12"/>
  <c r="B36" i="12"/>
  <c r="N11" i="10"/>
  <c r="M51" i="10"/>
  <c r="H51" i="10"/>
  <c r="N47" i="10"/>
  <c r="D51" i="10"/>
  <c r="M46" i="8"/>
  <c r="H46" i="8"/>
  <c r="G46" i="8"/>
  <c r="D46" i="8"/>
  <c r="B46" i="8"/>
  <c r="J38" i="9"/>
  <c r="D38" i="9"/>
  <c r="N34" i="9"/>
  <c r="L36" i="12"/>
  <c r="J36" i="12"/>
  <c r="N32" i="12"/>
  <c r="D36" i="12"/>
  <c r="F22" i="11"/>
  <c r="D22" i="11"/>
  <c r="C22" i="11"/>
  <c r="N47" i="1"/>
  <c r="N35" i="1"/>
  <c r="N25" i="1"/>
  <c r="F55" i="1"/>
  <c r="N41" i="15"/>
  <c r="E33" i="15"/>
  <c r="N28" i="15"/>
  <c r="N46" i="18"/>
  <c r="N23" i="18"/>
  <c r="N18" i="18"/>
  <c r="D41" i="21"/>
  <c r="L41" i="21"/>
  <c r="J41" i="21"/>
  <c r="K55" i="1"/>
  <c r="N9" i="10"/>
  <c r="N9" i="1"/>
  <c r="N33" i="15"/>
  <c r="C54" i="15"/>
  <c r="L46" i="8"/>
  <c r="I46" i="8"/>
  <c r="F38" i="9"/>
  <c r="I22" i="11"/>
  <c r="N33" i="10"/>
  <c r="N52" i="1"/>
  <c r="K54" i="15"/>
  <c r="N41" i="21"/>
  <c r="H38" i="9"/>
  <c r="E36" i="12"/>
  <c r="M55" i="1"/>
  <c r="F54" i="15"/>
  <c r="G29" i="1"/>
  <c r="G55" i="1" s="1"/>
  <c r="E51" i="10"/>
  <c r="N25" i="10"/>
  <c r="N28" i="8"/>
  <c r="N32" i="8"/>
  <c r="K36" i="12"/>
  <c r="I36" i="12"/>
  <c r="G36" i="12"/>
  <c r="N51" i="15"/>
  <c r="M54" i="15"/>
  <c r="I54" i="15"/>
  <c r="L55" i="18"/>
  <c r="N12" i="18"/>
  <c r="E41" i="21"/>
  <c r="I41" i="21"/>
  <c r="M41" i="21"/>
  <c r="F41" i="21"/>
  <c r="N39" i="10"/>
  <c r="N24" i="8"/>
  <c r="N25" i="9"/>
  <c r="N23" i="12"/>
  <c r="G54" i="15"/>
  <c r="K46" i="8"/>
  <c r="N36" i="9"/>
  <c r="N29" i="9"/>
  <c r="N8" i="9"/>
  <c r="N16" i="15"/>
  <c r="J54" i="15"/>
  <c r="L51" i="10"/>
  <c r="N29" i="10"/>
  <c r="N43" i="10"/>
  <c r="J46" i="8"/>
  <c r="E46" i="8"/>
  <c r="N8" i="8"/>
  <c r="N17" i="9"/>
  <c r="N22" i="12"/>
  <c r="F36" i="12"/>
  <c r="L22" i="11"/>
  <c r="N53" i="1"/>
  <c r="N21" i="12"/>
  <c r="G51" i="10"/>
  <c r="F51" i="10"/>
  <c r="N38" i="8"/>
  <c r="N44" i="8"/>
  <c r="N46" i="8" s="1"/>
  <c r="N42" i="8"/>
  <c r="F46" i="8"/>
  <c r="N17" i="8"/>
  <c r="M38" i="9"/>
  <c r="I38" i="9"/>
  <c r="G38" i="9"/>
  <c r="E38" i="9"/>
  <c r="C38" i="9"/>
  <c r="B38" i="9"/>
  <c r="H36" i="12"/>
  <c r="C36" i="12"/>
  <c r="M22" i="11"/>
  <c r="H22" i="11"/>
  <c r="N8" i="11"/>
  <c r="C55" i="1"/>
  <c r="J29" i="1"/>
  <c r="N53" i="15"/>
  <c r="L54" i="15"/>
  <c r="H54" i="15"/>
  <c r="D54" i="15"/>
  <c r="C41" i="21"/>
  <c r="B41" i="21"/>
  <c r="M55" i="18"/>
  <c r="G55" i="18"/>
  <c r="C55" i="18"/>
  <c r="I55" i="18"/>
  <c r="K55" i="18"/>
  <c r="F55" i="18"/>
  <c r="B55" i="18"/>
  <c r="H55" i="18"/>
  <c r="D55" i="18"/>
  <c r="N50" i="18"/>
  <c r="N55" i="18" s="1"/>
  <c r="N58" i="18" s="1"/>
  <c r="J55" i="1"/>
  <c r="N37" i="1"/>
  <c r="D55" i="1"/>
  <c r="E54" i="15"/>
  <c r="C51" i="10"/>
  <c r="K48" i="16"/>
  <c r="G48" i="16"/>
  <c r="C48" i="16"/>
  <c r="N22" i="20"/>
  <c r="J55" i="20"/>
  <c r="F55" i="20"/>
  <c r="B55" i="20"/>
  <c r="B51" i="10"/>
  <c r="N14" i="11"/>
  <c r="N22" i="11" s="1"/>
  <c r="B54" i="15"/>
  <c r="J48" i="16"/>
  <c r="F48" i="16"/>
  <c r="B48" i="16"/>
  <c r="M55" i="20"/>
  <c r="I55" i="20"/>
  <c r="E55" i="20"/>
  <c r="N26" i="15"/>
  <c r="M48" i="16"/>
  <c r="I48" i="16"/>
  <c r="E48" i="16"/>
  <c r="N30" i="20"/>
  <c r="L55" i="20"/>
  <c r="H55" i="20"/>
  <c r="D55" i="20"/>
  <c r="N18" i="10"/>
  <c r="N24" i="9"/>
  <c r="N27" i="12"/>
  <c r="N8" i="12"/>
  <c r="L48" i="16"/>
  <c r="H48" i="16"/>
  <c r="D48" i="16"/>
  <c r="N50" i="20"/>
  <c r="N46" i="20"/>
  <c r="N17" i="20"/>
  <c r="K55" i="20"/>
  <c r="G55" i="20"/>
  <c r="C55" i="20"/>
  <c r="N11" i="20"/>
  <c r="O20" i="20" s="1"/>
  <c r="O21" i="20" s="1"/>
  <c r="O22" i="20" s="1"/>
  <c r="N41" i="16"/>
  <c r="N30" i="16"/>
  <c r="N17" i="16"/>
  <c r="N11" i="16"/>
  <c r="N22" i="16"/>
  <c r="N45" i="16"/>
  <c r="N29" i="1" l="1"/>
  <c r="N55" i="1" s="1"/>
  <c r="N38" i="9"/>
  <c r="N36" i="12"/>
  <c r="N51" i="10"/>
  <c r="N54" i="15"/>
  <c r="N56" i="15" s="1"/>
  <c r="N55" i="20"/>
  <c r="N48" i="16"/>
  <c r="N51" i="16" s="1"/>
  <c r="O56" i="20"/>
  <c r="O58" i="20" s="1"/>
  <c r="O49" i="16"/>
</calcChain>
</file>

<file path=xl/sharedStrings.xml><?xml version="1.0" encoding="utf-8"?>
<sst xmlns="http://schemas.openxmlformats.org/spreadsheetml/2006/main" count="1293" uniqueCount="439">
  <si>
    <t>SERVICIO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</si>
  <si>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</si>
  <si>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</si>
  <si>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</si>
  <si>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</si>
  <si>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</si>
  <si>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</si>
  <si>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</si>
  <si>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</si>
  <si>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</si>
  <si>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</si>
  <si>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</si>
  <si>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</si>
  <si>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</si>
  <si>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SOF SE CHACO 10)</t>
  </si>
  <si>
    <r>
      <t xml:space="preserve">Servicios metropolitanos </t>
    </r>
    <r>
      <rPr>
        <i/>
        <sz val="8"/>
        <rFont val="Arial"/>
        <family val="2"/>
      </rPr>
      <t>(Puerto Tirol-Puerto-Vilelas)</t>
    </r>
  </si>
  <si>
    <r>
      <t>Servicios interurbanos (</t>
    </r>
    <r>
      <rPr>
        <i/>
        <sz val="8"/>
        <rFont val="Arial"/>
        <family val="2"/>
      </rPr>
      <t>Sáenz Peña-Chorotis)</t>
    </r>
  </si>
  <si>
    <t>TOTAL SOFSE PLAZA C/M DEL PLATA-SERV. TALGO 6) SUSPENDIDO</t>
  </si>
  <si>
    <t>FERROBAIRES</t>
  </si>
  <si>
    <t>TOTAL FERROBAIRES</t>
  </si>
  <si>
    <t>FERROCENTRAL</t>
  </si>
  <si>
    <t xml:space="preserve">RIO NEGRO (Tren Patagónico S.A.) </t>
  </si>
  <si>
    <t xml:space="preserve">ENTRE RÍOS </t>
  </si>
  <si>
    <t>TOTAL  ENTRE RIOS 11)</t>
  </si>
  <si>
    <t>UGOFE ROCA</t>
  </si>
  <si>
    <t>TOTAL  UGOFE ROCA</t>
  </si>
  <si>
    <t>TOTAL SERVICIOS DE LARGA DISTANCIA</t>
  </si>
  <si>
    <t>NOTAS:</t>
  </si>
  <si>
    <t>Datos suministrados por las Empresas y Organismos que tienen a su cargo la prestación de los servicios.</t>
  </si>
  <si>
    <t>9) A partir del mes de mayo'12, se reanudó el servicio Viedma-SC de Bariloche, que fuera suspendido desde febrero por daños a la vía a causa de temporales e inconvenientes en el material rodante. Por nota 4/12 infomó que el serv de pax fue realizado entre las estac. Viedma y Valcheta por el corte de vía en Nahuel Niyeu.</t>
  </si>
  <si>
    <t>12) Suspendido por razones de seguridad en la circulación desde el 29-06-12</t>
  </si>
  <si>
    <t>14) Servicio restablecido en junio'12.</t>
  </si>
  <si>
    <t>17) Servicio no prestado por falta de material tractivo y remolcado.</t>
  </si>
  <si>
    <t>19) Se presta hasta Bahía Blanca. De allí hasta Carmen de Patagones no se desarrolla por falta de material tractivo.</t>
  </si>
  <si>
    <t xml:space="preserve">TOTAL CHUBUT (V.E.P. "LA TROCHITA") </t>
  </si>
  <si>
    <t>ESQUEL-NAHUELPAN 2)</t>
  </si>
  <si>
    <t xml:space="preserve">V.E.P. "LA TROCHITA" </t>
  </si>
  <si>
    <t>PASAJEROS INTERURBANOS TRANSPORTADOS EN 2012</t>
  </si>
  <si>
    <r>
      <t xml:space="preserve">Servicios interprovinciales </t>
    </r>
    <r>
      <rPr>
        <i/>
        <sz val="8"/>
        <rFont val="Arial"/>
        <family val="2"/>
      </rPr>
      <t>(Cacuí-Los Amores)</t>
    </r>
  </si>
  <si>
    <t>TOTAL SOF SE CHACO (servs. Metropolitanos, interurbanos e interprov)</t>
  </si>
  <si>
    <r>
      <t>PZA.C/MdPLATA/MIRAMAR-</t>
    </r>
    <r>
      <rPr>
        <sz val="8"/>
        <rFont val="Arial"/>
        <family val="2"/>
      </rPr>
      <t xml:space="preserve"> 18)</t>
    </r>
  </si>
  <si>
    <r>
      <t xml:space="preserve">PZA.C/PINAMAR 17) </t>
    </r>
    <r>
      <rPr>
        <b/>
        <sz val="8"/>
        <rFont val="Arial"/>
        <family val="2"/>
      </rPr>
      <t>SUSPENDIDO</t>
    </r>
  </si>
  <si>
    <r>
      <t xml:space="preserve">PZA.C/BAHIA BLANCA/C PATAG </t>
    </r>
    <r>
      <rPr>
        <i/>
        <sz val="8"/>
        <rFont val="Arial"/>
        <family val="2"/>
      </rPr>
      <t>(C.Patagones sin movimiento) 19)</t>
    </r>
  </si>
  <si>
    <t>PZA.C/BOLIVAR/DAIREAUX 16)</t>
  </si>
  <si>
    <t>SERV. LINEA SARMIENTO</t>
  </si>
  <si>
    <t>LOCALES LINEA SARMIENTO ZONA BRAGADO</t>
  </si>
  <si>
    <t>TANDIL 14)</t>
  </si>
  <si>
    <t xml:space="preserve">SERV. LINEA SAN MARTIN </t>
  </si>
  <si>
    <t>CORDOBA/VILLA MARIA/CORDOBA</t>
  </si>
  <si>
    <t>CORDOBA/RETIRO/CORDOBA</t>
  </si>
  <si>
    <t>RETIRO/TUCUMAN/RETIRO</t>
  </si>
  <si>
    <t>TREN de las SIERRAS 1) (Cosquín/Rdel Busto/Cosquín)</t>
  </si>
  <si>
    <r>
      <t xml:space="preserve">FERROURBANO (Alta Cba/RodrígDBusto/Alta Cba) </t>
    </r>
    <r>
      <rPr>
        <b/>
        <sz val="8"/>
        <rFont val="Arial"/>
        <family val="2"/>
      </rPr>
      <t>SUSPENDIDO 12)</t>
    </r>
  </si>
  <si>
    <t>TOTAL FERROCENTRAL</t>
  </si>
  <si>
    <t>ESQUEL-NAHUELPAN</t>
  </si>
  <si>
    <t>EL MAITÉN-DESVÍO THOMAE 2)</t>
  </si>
  <si>
    <t>VIEDMA/BARILOCHE/VIEDMA  9)</t>
  </si>
  <si>
    <r>
      <t>JACOBACCI/S CARLOS DE BARIL/JACOBACCI 3)</t>
    </r>
    <r>
      <rPr>
        <b/>
        <sz val="8"/>
        <rFont val="Arial"/>
        <family val="2"/>
      </rPr>
      <t xml:space="preserve"> SUSPENDIDO</t>
    </r>
  </si>
  <si>
    <t>TOTAL RIO NEGRO</t>
  </si>
  <si>
    <t>BASAVILBASO/VILLAGUAY/CONCORDIA</t>
  </si>
  <si>
    <t>PARANA/ORO VERDE/VILLA FONTANA</t>
  </si>
  <si>
    <t>PARANA/COLONIA AVELLANEDA</t>
  </si>
  <si>
    <t>PARANA/CONCEPCION DEL URUGUAY</t>
  </si>
  <si>
    <t>PLAZA CONSTITUCION/GRAL. ALVEAR</t>
  </si>
  <si>
    <t>PLAZA CONSTITUCION/SALADILLO</t>
  </si>
  <si>
    <t>U.G.O.M.S. (EX TBA)</t>
  </si>
  <si>
    <t>RETIRO/ROSARIO 15)</t>
  </si>
  <si>
    <r>
      <t xml:space="preserve">PILAR/APOSTOLES (Pcia. de MISIONES). 7) </t>
    </r>
    <r>
      <rPr>
        <b/>
        <sz val="8"/>
        <rFont val="Arial"/>
        <family val="2"/>
      </rPr>
      <t>SUSPENDIDO</t>
    </r>
  </si>
  <si>
    <r>
      <t xml:space="preserve">PILAR/PASO D L TOROS (Rep. Oriental URUGUAY) 8) </t>
    </r>
    <r>
      <rPr>
        <b/>
        <sz val="8"/>
        <rFont val="Arial"/>
        <family val="2"/>
      </rPr>
      <t>SUSPENDIDO</t>
    </r>
  </si>
  <si>
    <t>TOTAL U.G.O.M.S. (EX TBA)</t>
  </si>
  <si>
    <t>TOTAL TREN A LAS NUBES (Salta) 4)</t>
  </si>
  <si>
    <t>1) Tren de las Sierras inició la prestación del servicio en fecha 15 de agosto de 2007.</t>
  </si>
  <si>
    <t>2) El Maitén-Desvío Thomae: durante los meses de mayo y junio'12 no prestó servicio por traslado de formación a Esquel por demanda turística.</t>
  </si>
  <si>
    <t>3) Sin servicio desde fecha 21/10/11 por inconvenientes en en el Material Rodante, afectado por acumulación de cenizas volcánicas sobre la vía. Continua sin prestación por falta de material tractivo y rodante, sin fecha de reinicio. Continua suspendido por falta de presupuesto del Gob. Prov.</t>
  </si>
  <si>
    <t>4) Durante los meses de enero-marzo, el servicio ingresa en receso programado ante el riesgo de aludes en la región.</t>
  </si>
  <si>
    <t>5) Inició servicio en fecha 24/6/11 - 6) Inició servicio en fecha 29/7/11.Suspensión contrato Talgo 31-10-12- 7) Inició servicio en fecha 16/12/11 - 8) Inició servicio en fecha 23/9/11. Desde fecha 23/2/12 corre entre Pilar y Salto (R. O. U.). 
10) Inició servicio en fecha 06/05/10 (metrop., interurbano e intreprovincial)</t>
  </si>
  <si>
    <t>11) Con fecha 15/06/12 la U.E.F.E.R. comenzó a regularizar la información faltante de los pasajeros transportados.</t>
  </si>
  <si>
    <t>13) Inicio servicio Salta-Güemes: 27-06-12</t>
  </si>
  <si>
    <t>15) Mediante Res. Nº 99 del 25-07-12, UGOMS SA opera los servicios de los Grupos 1 y 2, Líneas Mitre y Sarmiento. Datos de junio, julio, agosto y septiembre'12 suministrados por la Subgerencia de Concesiones Metropolitanas el 18-10-12.</t>
  </si>
  <si>
    <t xml:space="preserve">16) Plaza Const-Bolívar: el sevicio se prestó a partir del miércoles 21/11/12 hasta estación 25 de Mayo, debido al mal estado de la vía desde 25 de Mayo hasta Bolívar. </t>
  </si>
  <si>
    <t>18) Se restableció el servicio hasta Miramar  el 04-01-13</t>
  </si>
  <si>
    <t>PASAJEROS INTERURBANOS TRANSPORTADOS EN 2011</t>
  </si>
  <si>
    <t>SOF SE CHACO</t>
  </si>
  <si>
    <t>PZA.C/MdPLATA/MIRAMAR</t>
  </si>
  <si>
    <t>PZA.C/PINAMAR</t>
  </si>
  <si>
    <t>PZA.C/BAHIA BLANCA/C PATAG</t>
  </si>
  <si>
    <t>PZA.C/BOLIVAR/DAIREAUX</t>
  </si>
  <si>
    <t>LOCALES LINEA SARMIENTO Z/BRAGADO</t>
  </si>
  <si>
    <t>SERV. LINEA SAN MARTIN (3)</t>
  </si>
  <si>
    <t>TOTAL  FERROBAIRES</t>
  </si>
  <si>
    <t>TREN de las SIERRAS* (Cosquín/Rdel Busto/Cosquín)</t>
  </si>
  <si>
    <t xml:space="preserve">FERROURBANO (Alta Cba/RodrígDBusto/Alta Cba) </t>
  </si>
  <si>
    <t>ESQUEL-NAHUELPAN 6)</t>
  </si>
  <si>
    <t>EL MAITÉN-DESVÍO THOMAE (9)</t>
  </si>
  <si>
    <t>VIEDMA/BARILOCHE/VIEDMA (4)</t>
  </si>
  <si>
    <t>JACOBACCI/S CARLOS DE BARIL/JACOBACCI (1)</t>
  </si>
  <si>
    <t>PARANA/ORO VERDE</t>
  </si>
  <si>
    <t>TOTAL ENTRE RIOS 8)</t>
  </si>
  <si>
    <t>TOTAL UGOFE ROCA</t>
  </si>
  <si>
    <t>TOTAL TBA (RETIRO/ROSARIO)</t>
  </si>
  <si>
    <t>TOTAL TBA PILAR (Pcia BA)/APOSTOLES (Pcia Misiones)</t>
  </si>
  <si>
    <t>TOTAL TBA PILAR (Pcia BA)/P DE LOS TOROS (Uruguay)</t>
  </si>
  <si>
    <t>TOTAL TREN DE LAS NUBES (Salta) (2)</t>
  </si>
  <si>
    <t>TOTAL SOF SE (LINCOLN/REALICÓ) (5)</t>
  </si>
  <si>
    <t>TOTAL SOFSE PLAZA C/M DEL PLATA-SERV. TALGO (7)</t>
  </si>
  <si>
    <t>* Tren de las Sierras inició la prestación del servicio en fecha 15 de agosto de 2007.</t>
  </si>
  <si>
    <t>(1) Reanudó la prestación del servicio a partir de fecha 14/9/11. Volvió a cancelar servicio a partir del 21/10/11 . Motivo: daños a unidades, causados por cenizas volcánicas.</t>
  </si>
  <si>
    <t>(2)  Reanudó las prestaciones a partir de fecha 2/4/11. Durante el verano el servicio no corre ante el riesgo de aludes.</t>
  </si>
  <si>
    <t>(3)  Sin servicio entre marzo y mayo por accidente ocurrido en San Miguel en febrero.</t>
  </si>
  <si>
    <t>(4) En junio, reducción de pasaje motivada por cancelación de servicios por acumulación de cenizas volcánicas en zona de vía.</t>
  </si>
  <si>
    <t>(5) Inició servicio en fecha 25/6/11</t>
  </si>
  <si>
    <t xml:space="preserve">(6) Sin servicio desde fecha 23/4/11 hasta julio'11, por accidente. </t>
  </si>
  <si>
    <t>(7) Inició servicio en fecha 29/7/11.</t>
  </si>
  <si>
    <t>(8)  Con fecha 15/06/12 la U.E.F.E.R. comenzó a regularizar la remisión de la información de los pasajeros transportados faltantes.</t>
  </si>
  <si>
    <t>(9) El Maitén-Desvío Thomae: no prestó servicio desde mayo hasta noviembre'11 por traslado de formación a Esquel para satisfacer demanda turística.</t>
  </si>
  <si>
    <t>PASAJEROS INTERURBANOS TRANSPORTADOS EN 2010</t>
  </si>
  <si>
    <t>CHACO</t>
  </si>
  <si>
    <t>Servicios urbanos</t>
  </si>
  <si>
    <t>Servicios interurbanos</t>
  </si>
  <si>
    <t>Subtotal CHACO</t>
  </si>
  <si>
    <t>LOCALES SARM Z/BRAGADO</t>
  </si>
  <si>
    <t>SERV. LINEA SAN MARTIN</t>
  </si>
  <si>
    <t>Subtotal FERROBAIRES</t>
  </si>
  <si>
    <t xml:space="preserve">TREN DE LAS SIERRAS </t>
  </si>
  <si>
    <t xml:space="preserve">ALTA CBA/RDBUSTO/ALTA CBA </t>
  </si>
  <si>
    <t>Subtotal FERROCENTRAL</t>
  </si>
  <si>
    <t xml:space="preserve">EL MAITÉN-DESVÍO THOMAE </t>
  </si>
  <si>
    <t xml:space="preserve">RIO NEGRO (Tren Pat. S.A.) </t>
  </si>
  <si>
    <t>VIEDMA/BARILOCHE/VIEDMA</t>
  </si>
  <si>
    <t>JACOBACCI/BARIL/JACOBACCI *</t>
  </si>
  <si>
    <t>Subtotal RIO NEGRO</t>
  </si>
  <si>
    <t>ENTRE RÍOS</t>
  </si>
  <si>
    <t>Subtotal ENTRE RÍOS</t>
  </si>
  <si>
    <t xml:space="preserve">UGOFE </t>
  </si>
  <si>
    <t>PC/GRAL. ALVEAR</t>
  </si>
  <si>
    <t>PC/SALADILLO</t>
  </si>
  <si>
    <t>Subtotal UGOFE</t>
  </si>
  <si>
    <t>TREN DE LAS NUBES (Salta) **</t>
  </si>
  <si>
    <t xml:space="preserve">TOTAL </t>
  </si>
  <si>
    <t>Tren de las Sierras inició la prestación del servicio en fecha 15 de agosto de 2007.</t>
  </si>
  <si>
    <t xml:space="preserve"> * Sin servicios, por falta de material tractivo. </t>
  </si>
  <si>
    <t>** Interrumpe el servicio en diciembre y lo reanudará en fecha 3/3/11(el servicio no se efectúa en temporada estival ante riesgo de aludes).</t>
  </si>
  <si>
    <t>PASAJEROS INTERURBANOS TRANSPORTADOS EN 2009</t>
  </si>
  <si>
    <t>RDBUSTO/ALTA CBA/RDBUSTO(1)</t>
  </si>
  <si>
    <t xml:space="preserve">LA TROCHITA </t>
  </si>
  <si>
    <t>sin serv.*</t>
  </si>
  <si>
    <t>JACOBACCI/BARIL/JACOB.</t>
  </si>
  <si>
    <t>Tren de las Nubes (Provincia de Salta) inició la prestación del servicio en fecha 6 de agosto de 2008. Reanuda servicio a partir de marzo de 2009. Sin servicio en diciembre de 2009</t>
  </si>
  <si>
    <t xml:space="preserve"> * Sin servicios, por inconvenientes en su Material tractivo.</t>
  </si>
  <si>
    <t>** Reanudó servicio el 24/5/09</t>
  </si>
  <si>
    <t>(1) Ferrourbano: Alta Cba/Rodríguez delBusto/Alta Cba: reanudó servicio a partir de fecha 16/9/09</t>
  </si>
  <si>
    <t>PASAJEROS INTERURBANOS TRANSPORTADOS EN 2008</t>
  </si>
  <si>
    <t>Servicios locales</t>
  </si>
  <si>
    <t>PZA.C/BAHIA BLANCA</t>
  </si>
  <si>
    <t>CORDOBA/V MA/CORDOBA</t>
  </si>
  <si>
    <t>RETIRO/CORDOBA/RETIRO</t>
  </si>
  <si>
    <t>TREN DE LAS SIERRAS</t>
  </si>
  <si>
    <t>RIO NEGRO (Tren Pat. S.A.) *</t>
  </si>
  <si>
    <t>JACOBACCI/BARIL/JACOBACCI</t>
  </si>
  <si>
    <t>Tren de las Nubes (Provincia de Salta) inició la prestación del servicio en fecha 6 de agosto de 2008.</t>
  </si>
  <si>
    <t xml:space="preserve"> * Sin servicios en diciembre, por inconvenientes con su material tractivo.</t>
  </si>
  <si>
    <t>** Sin servicios a partir del 1° de diciembre y hasta marzo de 2009, por razones de seguridad (región sujeta a aludes en época estival).</t>
  </si>
  <si>
    <t>PASAJEROS INTERURBANOS TRANSPORTADOS EN 2007</t>
  </si>
  <si>
    <t>LA TROCHITA</t>
  </si>
  <si>
    <t>RIO NEGRO</t>
  </si>
  <si>
    <t>UEPFP (X)</t>
  </si>
  <si>
    <t>TBA</t>
  </si>
  <si>
    <t>Datos suministrados por las Empresas que se hallan a cargo de la prestación de los Servicios.</t>
  </si>
  <si>
    <t>(X) : La UEPFP informa por períodos del día 15 al día 14 del mes siguiente. Ej: diciembre (94.712 pasajeros) corresponde al lapso 15/11/07 al 14/12/07.</t>
  </si>
  <si>
    <t>S/D: sin datos.</t>
  </si>
  <si>
    <t>BUENOS AIRES</t>
  </si>
  <si>
    <t>ENTRE RIOS</t>
  </si>
  <si>
    <t>CHUBUT</t>
  </si>
  <si>
    <t>SALTA</t>
  </si>
  <si>
    <t>TUCUMÁN</t>
  </si>
  <si>
    <t>Ferrocentral S.A.</t>
  </si>
  <si>
    <t>AÑO</t>
  </si>
  <si>
    <t>CORDOBA F.C.C.</t>
  </si>
  <si>
    <t>CORDOBA Fe.Med.</t>
  </si>
  <si>
    <t>TBA (RETIRO/ROSARIO)</t>
  </si>
  <si>
    <r>
      <t xml:space="preserve">TBA </t>
    </r>
    <r>
      <rPr>
        <sz val="8"/>
        <rFont val="Arial"/>
        <family val="2"/>
      </rPr>
      <t>(RETIRO/ROSARIO)</t>
    </r>
  </si>
  <si>
    <r>
      <t xml:space="preserve">TBA </t>
    </r>
    <r>
      <rPr>
        <sz val="8"/>
        <rFont val="Arial"/>
        <family val="2"/>
      </rPr>
      <t>(RETIRO/ROS/S FE)</t>
    </r>
  </si>
  <si>
    <t>PASAJEROS INTERURBANOS TRANSPORTADOS DESDE 1994 hasta 2006</t>
  </si>
  <si>
    <t>PASAJEROS INTERURBANOS TRANSPORTADOS EN 2013</t>
  </si>
  <si>
    <r>
      <t>ONCE-BRAGADO-LINCOLN-CARLOS CASARES-PEHUAJÓ-</t>
    </r>
    <r>
      <rPr>
        <i/>
        <sz val="8"/>
        <rFont val="Arial"/>
        <family val="2"/>
      </rPr>
      <t>(corredor Sarmiento)</t>
    </r>
  </si>
  <si>
    <r>
      <t xml:space="preserve">BRAGADO-MECHITA-OLASCOAGA </t>
    </r>
    <r>
      <rPr>
        <i/>
        <sz val="8"/>
        <rFont val="Arial"/>
        <family val="2"/>
      </rPr>
      <t>(locales Sarmiento)</t>
    </r>
  </si>
  <si>
    <r>
      <t xml:space="preserve">RETIRO-JUNÍN-ALBERDI </t>
    </r>
    <r>
      <rPr>
        <i/>
        <sz val="8"/>
        <rFont val="Arial"/>
        <family val="2"/>
      </rPr>
      <t>(corredor San Martín)</t>
    </r>
  </si>
  <si>
    <t>CORDOBA-VILLA MARIA-CORDOBA</t>
  </si>
  <si>
    <t>CORDOBA-RETIRO-CORDOBA</t>
  </si>
  <si>
    <t>RETIRO-TUCUMAN-RETIRO</t>
  </si>
  <si>
    <t>TOTAL FERROCENTRAL (EXPLOTADO POR S.O.F.S.E. desde el 17/09/2013)</t>
  </si>
  <si>
    <t>TOTAL RIO NEGRO (TREN PATAGÓNICO S.A.)</t>
  </si>
  <si>
    <t>BASAVILBASO-VILLAGUAY-CONCORDIA</t>
  </si>
  <si>
    <t>PLAZA CONSTITUCION-GRAL. ALVEAR</t>
  </si>
  <si>
    <t>PLAZA CONSTITUCION-SALADILLO</t>
  </si>
  <si>
    <r>
      <t xml:space="preserve">Servicios interprovinciales </t>
    </r>
    <r>
      <rPr>
        <i/>
        <sz val="8"/>
        <rFont val="Arial"/>
        <family val="2"/>
      </rPr>
      <t>(Resistencia-Cacuí-Los Amores)</t>
    </r>
  </si>
  <si>
    <t>SOFSE ONCE - BRAGADO</t>
  </si>
  <si>
    <t>TOTAL SOFSE</t>
  </si>
  <si>
    <t xml:space="preserve">VIEDMA - SAN CARLOS DE BARILOCHE - VIEDMA </t>
  </si>
  <si>
    <r>
      <t>11)</t>
    </r>
    <r>
      <rPr>
        <sz val="7"/>
        <rFont val="Arial"/>
        <family val="2"/>
      </rPr>
      <t xml:space="preserve"> Servicios transferidos a la Sociedad Operadora Ferroviaria SE (SOFSE) el 18/9/2013</t>
    </r>
  </si>
  <si>
    <r>
      <t xml:space="preserve">1) </t>
    </r>
    <r>
      <rPr>
        <sz val="7"/>
        <rFont val="Arial"/>
        <family val="2"/>
      </rPr>
      <t>Tren de las Sierras inició la prestación del servicio el 15/08/2007.</t>
    </r>
  </si>
  <si>
    <r>
      <t>12)</t>
    </r>
    <r>
      <rPr>
        <sz val="7"/>
        <rFont val="Arial"/>
        <family val="2"/>
      </rPr>
      <t xml:space="preserve"> Suspendido desde el 29/06/2012</t>
    </r>
  </si>
  <si>
    <r>
      <t xml:space="preserve">2) </t>
    </r>
    <r>
      <rPr>
        <sz val="7"/>
        <rFont val="Arial"/>
        <family val="2"/>
      </rPr>
      <t xml:space="preserve">Esquel-Nahuelpan: sin servicios durante enero. </t>
    </r>
  </si>
  <si>
    <r>
      <t xml:space="preserve">13) </t>
    </r>
    <r>
      <rPr>
        <sz val="7"/>
        <rFont val="Arial"/>
        <family val="2"/>
      </rPr>
      <t>Inicio servicio Salta-Güemes el 27/06/2012.</t>
    </r>
  </si>
  <si>
    <r>
      <t xml:space="preserve">3) </t>
    </r>
    <r>
      <rPr>
        <sz val="7"/>
        <rFont val="Arial"/>
        <family val="2"/>
      </rPr>
      <t xml:space="preserve">El servicio Esquel-El Maitén se realiza sólo esporádicamente revistiendo carácter Especial. </t>
    </r>
  </si>
  <si>
    <r>
      <t xml:space="preserve">14) </t>
    </r>
    <r>
      <rPr>
        <sz val="7"/>
        <rFont val="Arial"/>
        <family val="2"/>
      </rPr>
      <t>Servicio restablecido en junio de 2012.</t>
    </r>
  </si>
  <si>
    <r>
      <t xml:space="preserve">4) </t>
    </r>
    <r>
      <rPr>
        <sz val="7"/>
        <rFont val="Arial"/>
        <family val="2"/>
      </rPr>
      <t>Tren a las Nubes: durante el período estival (enero-marzo) permanece inactivo.</t>
    </r>
  </si>
  <si>
    <r>
      <t>15)</t>
    </r>
    <r>
      <rPr>
        <sz val="7"/>
        <rFont val="Arial"/>
        <family val="2"/>
      </rPr>
      <t xml:space="preserve"> Extensión de los servicios de UGOMS (área metropolitana).</t>
    </r>
  </si>
  <si>
    <r>
      <t xml:space="preserve">5) </t>
    </r>
    <r>
      <rPr>
        <sz val="7"/>
        <rFont val="Arial"/>
        <family val="2"/>
      </rPr>
      <t xml:space="preserve">Inició servicio el 24/6/2011 - Suspendido entre el 22/03/2013 y el 06/04/2013 - Hasta septiembre de 2013 se cubrió servicio LINCOLN - REALICO </t>
    </r>
  </si>
  <si>
    <r>
      <t xml:space="preserve">16) </t>
    </r>
    <r>
      <rPr>
        <sz val="7"/>
        <rFont val="Arial"/>
        <family val="2"/>
      </rPr>
      <t>Plaza Const-Bolívar: servicio hasta 25 de Mayo a partir 21/11/2012 siendo posteriormente suspendido.</t>
    </r>
  </si>
  <si>
    <r>
      <t>6)</t>
    </r>
    <r>
      <rPr>
        <sz val="7"/>
        <rFont val="Arial"/>
        <family val="2"/>
      </rPr>
      <t xml:space="preserve"> Inició servicio el 29/7/2011. Contrato Talgo suspendido el 31/10/2012. </t>
    </r>
  </si>
  <si>
    <r>
      <t xml:space="preserve">17) </t>
    </r>
    <r>
      <rPr>
        <sz val="7"/>
        <rFont val="Arial"/>
        <family val="2"/>
      </rPr>
      <t>Servicio suspendido por razones operativas</t>
    </r>
  </si>
  <si>
    <r>
      <t xml:space="preserve">7) </t>
    </r>
    <r>
      <rPr>
        <sz val="7"/>
        <rFont val="Arial"/>
        <family val="2"/>
      </rPr>
      <t>Pilar - Apóstoles: inició servicio el 16/12/2011 - suspendido desde el 24/05/2012</t>
    </r>
  </si>
  <si>
    <r>
      <t xml:space="preserve">18) </t>
    </r>
    <r>
      <rPr>
        <sz val="7"/>
        <rFont val="Arial"/>
        <family val="2"/>
      </rPr>
      <t>Se restableció transitoriamente el servicio hasta Miramar el 04/01/13, siendo suspendido el 21/02/13.</t>
    </r>
  </si>
  <si>
    <r>
      <t>8)</t>
    </r>
    <r>
      <rPr>
        <sz val="7"/>
        <rFont val="Arial"/>
        <family val="2"/>
      </rPr>
      <t xml:space="preserve"> Inició servicio el 23/9/2011.  Desde el 23/2/12 Pilar - Salto (R.O.U.). Suspendido el 24/05/12-     </t>
    </r>
  </si>
  <si>
    <r>
      <t>19)</t>
    </r>
    <r>
      <rPr>
        <sz val="7"/>
        <rFont val="Arial"/>
        <family val="2"/>
      </rPr>
      <t xml:space="preserve"> Se presta servicio hasta Bahía Blanca; extensión a Carmen de Patagones suspendida.</t>
    </r>
  </si>
  <si>
    <r>
      <t xml:space="preserve">9) </t>
    </r>
    <r>
      <rPr>
        <sz val="7"/>
        <rFont val="Arial"/>
        <family val="2"/>
      </rPr>
      <t>Inició el 06/05/2010 (servicios metropolitano, interurbano e intreprovincial).</t>
    </r>
  </si>
  <si>
    <r>
      <t xml:space="preserve">20) </t>
    </r>
    <r>
      <rPr>
        <sz val="7"/>
        <rFont val="Arial"/>
        <family val="2"/>
      </rPr>
      <t>Servicios suspendidos durante el mes de enero.</t>
    </r>
  </si>
  <si>
    <r>
      <t>10)</t>
    </r>
    <r>
      <rPr>
        <sz val="7"/>
        <rFont val="Arial"/>
        <family val="2"/>
      </rPr>
      <t xml:space="preserve"> Sin servicio desde el 21/10/2011 por dificultades operativas</t>
    </r>
  </si>
  <si>
    <r>
      <t>21)</t>
    </r>
    <r>
      <rPr>
        <sz val="7"/>
        <rFont val="Arial"/>
        <family val="2"/>
      </rPr>
      <t xml:space="preserve"> Servicio El Maitén-Desvío Thomae suspendido hasta el inicio de la temporada invernal alta.</t>
    </r>
  </si>
  <si>
    <r>
      <t>PARCIAL SOFSE CHACO</t>
    </r>
    <r>
      <rPr>
        <i/>
        <sz val="6"/>
        <rFont val="Arial"/>
        <family val="2"/>
      </rPr>
      <t xml:space="preserve"> (9)</t>
    </r>
  </si>
  <si>
    <r>
      <t xml:space="preserve">SOFSE BRAGADO-REALICÓ </t>
    </r>
    <r>
      <rPr>
        <i/>
        <sz val="6"/>
        <rFont val="Arial"/>
        <family val="2"/>
      </rPr>
      <t>(5)</t>
    </r>
  </si>
  <si>
    <r>
      <t xml:space="preserve">SOFSE SALTA-GÜEMES </t>
    </r>
    <r>
      <rPr>
        <i/>
        <sz val="6"/>
        <rFont val="Arial"/>
        <family val="2"/>
      </rPr>
      <t>(13)</t>
    </r>
  </si>
  <si>
    <r>
      <t xml:space="preserve">SOFSE P. CONSTITUCIÓN - M. DEL PLATA - SERVICIO TALGO </t>
    </r>
    <r>
      <rPr>
        <i/>
        <sz val="6"/>
        <rFont val="Arial"/>
        <family val="2"/>
      </rPr>
      <t>(6)</t>
    </r>
    <r>
      <rPr>
        <sz val="8"/>
        <rFont val="Arial"/>
        <family val="2"/>
      </rPr>
      <t xml:space="preserve">    </t>
    </r>
    <r>
      <rPr>
        <b/>
        <sz val="8"/>
        <rFont val="Arial"/>
        <family val="2"/>
      </rPr>
      <t>SUSPENDIDO</t>
    </r>
  </si>
  <si>
    <r>
      <t xml:space="preserve">PZA. CONST.- MAR DEL PLATA - MIRAMAR - </t>
    </r>
    <r>
      <rPr>
        <i/>
        <sz val="6"/>
        <rFont val="Arial"/>
        <family val="2"/>
      </rPr>
      <t>(18)</t>
    </r>
    <r>
      <rPr>
        <sz val="8"/>
        <rFont val="Arial"/>
        <family val="2"/>
      </rPr>
      <t xml:space="preserve">        </t>
    </r>
    <r>
      <rPr>
        <i/>
        <sz val="8"/>
        <rFont val="Arial"/>
        <family val="2"/>
      </rPr>
      <t>(Miramar sin movimiento)</t>
    </r>
  </si>
  <si>
    <r>
      <t xml:space="preserve">PZA. CONST. - PINAMAR </t>
    </r>
    <r>
      <rPr>
        <i/>
        <sz val="6"/>
        <rFont val="Arial"/>
        <family val="2"/>
      </rPr>
      <t>(17)</t>
    </r>
    <r>
      <rPr>
        <sz val="8"/>
        <rFont val="Arial"/>
        <family val="2"/>
      </rPr>
      <t xml:space="preserve">                                                            </t>
    </r>
    <r>
      <rPr>
        <b/>
        <sz val="8"/>
        <rFont val="Arial"/>
        <family val="2"/>
      </rPr>
      <t>SUSPENDIDO</t>
    </r>
  </si>
  <si>
    <r>
      <t xml:space="preserve">PZA. CONST. - B. BLANCA - C. DE PATAGONES </t>
    </r>
    <r>
      <rPr>
        <i/>
        <sz val="6"/>
        <rFont val="Arial"/>
        <family val="2"/>
      </rPr>
      <t xml:space="preserve">(19)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(C. Patag. sin movimiento)</t>
    </r>
  </si>
  <si>
    <r>
      <t xml:space="preserve">PZA. CONST. - BOLIVAR - DAIREAUX </t>
    </r>
    <r>
      <rPr>
        <i/>
        <sz val="6"/>
        <rFont val="Arial"/>
        <family val="2"/>
      </rPr>
      <t>(16)</t>
    </r>
    <r>
      <rPr>
        <sz val="8"/>
        <rFont val="Arial"/>
        <family val="2"/>
      </rPr>
      <t xml:space="preserve">                                       </t>
    </r>
    <r>
      <rPr>
        <b/>
        <sz val="8"/>
        <rFont val="Arial"/>
        <family val="2"/>
      </rPr>
      <t>SUSPENDIDO</t>
    </r>
  </si>
  <si>
    <r>
      <t xml:space="preserve">PZA. CONST. - TANDIL   </t>
    </r>
    <r>
      <rPr>
        <i/>
        <sz val="6"/>
        <rFont val="Arial"/>
        <family val="2"/>
      </rPr>
      <t>(14)</t>
    </r>
  </si>
  <si>
    <r>
      <t>TREN de las SIERRAS (Cosquín-R del Busto-Cosquín)</t>
    </r>
    <r>
      <rPr>
        <sz val="6"/>
        <rFont val="Arial"/>
        <family val="2"/>
      </rPr>
      <t xml:space="preserve"> </t>
    </r>
    <r>
      <rPr>
        <i/>
        <sz val="6"/>
        <rFont val="Arial"/>
        <family val="2"/>
      </rPr>
      <t>(1)</t>
    </r>
  </si>
  <si>
    <r>
      <t xml:space="preserve">FERROURBANO (Alta Córdoba-Rodr. del Busto-Alta Córdoba </t>
    </r>
    <r>
      <rPr>
        <i/>
        <sz val="6"/>
        <rFont val="Arial"/>
        <family val="2"/>
      </rPr>
      <t xml:space="preserve">(12)      </t>
    </r>
    <r>
      <rPr>
        <b/>
        <sz val="8"/>
        <rFont val="Arial"/>
        <family val="2"/>
      </rPr>
      <t>SUSPENDIDO</t>
    </r>
  </si>
  <si>
    <r>
      <t xml:space="preserve">ESQUEL-NAHUELPAN </t>
    </r>
    <r>
      <rPr>
        <i/>
        <sz val="6"/>
        <rFont val="Arial"/>
        <family val="2"/>
      </rPr>
      <t>(2)</t>
    </r>
  </si>
  <si>
    <r>
      <t xml:space="preserve">EL MAITÉN-DESVÍO THOMAE   </t>
    </r>
    <r>
      <rPr>
        <i/>
        <sz val="6"/>
        <rFont val="Arial"/>
        <family val="2"/>
      </rPr>
      <t>(21)</t>
    </r>
    <r>
      <rPr>
        <sz val="8"/>
        <rFont val="Arial"/>
        <family val="2"/>
      </rPr>
      <t xml:space="preserve">     </t>
    </r>
  </si>
  <si>
    <r>
      <t>TOTAL CHUBUT (VIEJO EXPRESO PATAGÓNICO "LA TROCHITA")</t>
    </r>
    <r>
      <rPr>
        <b/>
        <i/>
        <sz val="6"/>
        <rFont val="Arial"/>
        <family val="2"/>
      </rPr>
      <t xml:space="preserve"> </t>
    </r>
    <r>
      <rPr>
        <i/>
        <sz val="6"/>
        <rFont val="Arial"/>
        <family val="2"/>
      </rPr>
      <t>(3)</t>
    </r>
  </si>
  <si>
    <r>
      <t xml:space="preserve">JACOBACCI - SAN CARLOS DE BARILOCHE - JACOBACCI </t>
    </r>
    <r>
      <rPr>
        <i/>
        <sz val="6"/>
        <rFont val="Arial"/>
        <family val="2"/>
      </rPr>
      <t>(10)</t>
    </r>
    <r>
      <rPr>
        <sz val="8"/>
        <rFont val="Arial"/>
        <family val="2"/>
      </rPr>
      <t xml:space="preserve">       </t>
    </r>
    <r>
      <rPr>
        <b/>
        <sz val="8"/>
        <rFont val="Arial"/>
        <family val="2"/>
      </rPr>
      <t>SUSPENDIDO</t>
    </r>
  </si>
  <si>
    <r>
      <t xml:space="preserve">PARANA-ORO VERDE-VILLA FONTANA </t>
    </r>
    <r>
      <rPr>
        <i/>
        <sz val="6"/>
        <rFont val="Arial"/>
        <family val="2"/>
      </rPr>
      <t xml:space="preserve">  (20)</t>
    </r>
  </si>
  <si>
    <r>
      <t xml:space="preserve">PARANA-COLONIA AVELLANEDA </t>
    </r>
    <r>
      <rPr>
        <i/>
        <sz val="6"/>
        <rFont val="Arial"/>
        <family val="2"/>
      </rPr>
      <t xml:space="preserve">  (20)</t>
    </r>
  </si>
  <si>
    <r>
      <t>PARANA-CONCEPCION DEL URUGUAY</t>
    </r>
    <r>
      <rPr>
        <i/>
        <sz val="6"/>
        <rFont val="Arial"/>
        <family val="2"/>
      </rPr>
      <t xml:space="preserve">   (20)</t>
    </r>
  </si>
  <si>
    <r>
      <t xml:space="preserve">TOTAL  ENTRE RIOS </t>
    </r>
    <r>
      <rPr>
        <i/>
        <sz val="6"/>
        <rFont val="Arial"/>
        <family val="2"/>
      </rPr>
      <t>(11)</t>
    </r>
  </si>
  <si>
    <r>
      <t>TOTAL U.G.O.M.S. (EX-TBA S.A.) RETIRO-ROSARIO</t>
    </r>
    <r>
      <rPr>
        <b/>
        <i/>
        <sz val="8"/>
        <rFont val="Arial"/>
        <family val="2"/>
      </rPr>
      <t xml:space="preserve"> </t>
    </r>
    <r>
      <rPr>
        <i/>
        <sz val="6"/>
        <rFont val="Arial"/>
        <family val="2"/>
      </rPr>
      <t xml:space="preserve">(15) </t>
    </r>
    <r>
      <rPr>
        <sz val="6"/>
        <rFont val="Arial"/>
        <family val="2"/>
      </rPr>
      <t xml:space="preserve">              </t>
    </r>
    <r>
      <rPr>
        <b/>
        <sz val="8"/>
        <rFont val="Arial"/>
        <family val="2"/>
      </rPr>
      <t xml:space="preserve"> SUSPENDIDO</t>
    </r>
  </si>
  <si>
    <r>
      <t>TOTAL SALTA (TREN A LAS NUBES - ECOTREN S.A.)</t>
    </r>
    <r>
      <rPr>
        <sz val="8"/>
        <rFont val="Arial"/>
        <family val="2"/>
      </rPr>
      <t xml:space="preserve"> </t>
    </r>
    <r>
      <rPr>
        <i/>
        <sz val="6"/>
        <rFont val="Arial"/>
        <family val="2"/>
      </rPr>
      <t>(4)</t>
    </r>
  </si>
  <si>
    <t>PASAJEROS INTERURBANOS TRANSPORTADOS EN 2014</t>
  </si>
  <si>
    <t xml:space="preserve">SOFSE CHACO </t>
  </si>
  <si>
    <t>TOTAL SOFSE CHACO</t>
  </si>
  <si>
    <t xml:space="preserve">SOFSE ENTRE RÍOS </t>
  </si>
  <si>
    <t>BASAVILBASO - VILLAGUAY - CONCORDIA</t>
  </si>
  <si>
    <t xml:space="preserve">PARANA - ORO VERDE - VILLA FONTANA </t>
  </si>
  <si>
    <t xml:space="preserve">PARANA - COLONIA AVELLANEDA </t>
  </si>
  <si>
    <t>PARANA - CONCEPCION DEL URUGUAY</t>
  </si>
  <si>
    <t>TOTAL SOFSE ENTRE RIOS</t>
  </si>
  <si>
    <t>SOFSE LA PAMPA</t>
  </si>
  <si>
    <t>BRAGADO - REALICÓ - GRAL PICO</t>
  </si>
  <si>
    <t>ONCE - GENERAL PICO (Vía Catriló)</t>
  </si>
  <si>
    <t>CATRILÓ - SANTA ROSA</t>
  </si>
  <si>
    <t>TOTAL SOFSE LA PAMPA</t>
  </si>
  <si>
    <r>
      <t>TOTAL SOFSE SALTA</t>
    </r>
    <r>
      <rPr>
        <i/>
        <sz val="8"/>
        <rFont val="Arial"/>
        <family val="2"/>
      </rPr>
      <t xml:space="preserve"> (Salta - Güemes)</t>
    </r>
  </si>
  <si>
    <r>
      <t>TOTAL SOFSE MAR DEL PLATA</t>
    </r>
    <r>
      <rPr>
        <i/>
        <sz val="8"/>
        <rFont val="Arial"/>
        <family val="2"/>
      </rPr>
      <t xml:space="preserve"> (Plaza Constitución - Mar del Plata)</t>
    </r>
  </si>
  <si>
    <t>SOFSE CÓRDOBA</t>
  </si>
  <si>
    <t>CORDOBA - VILLA MARIA</t>
  </si>
  <si>
    <t>RETIRO - CORDOBA</t>
  </si>
  <si>
    <r>
      <t>TREN de las SIERRAS</t>
    </r>
    <r>
      <rPr>
        <i/>
        <sz val="8"/>
        <rFont val="Arial"/>
        <family val="2"/>
      </rPr>
      <t xml:space="preserve"> (Rodríguez del Busto - Cosquín)</t>
    </r>
  </si>
  <si>
    <r>
      <t>FERROURBANO</t>
    </r>
    <r>
      <rPr>
        <i/>
        <sz val="8"/>
        <rFont val="Arial"/>
        <family val="2"/>
      </rPr>
      <t xml:space="preserve"> (Alta Córdoba - Rodríguez del Busto)</t>
    </r>
  </si>
  <si>
    <t>TOTAL SOFSE CÓRDOBA</t>
  </si>
  <si>
    <r>
      <t>TOTAL SOFSE TUCUMÁN</t>
    </r>
    <r>
      <rPr>
        <i/>
        <sz val="8"/>
        <rFont val="Arial"/>
        <family val="2"/>
      </rPr>
      <t xml:space="preserve"> (Retiro - Tucumán)</t>
    </r>
  </si>
  <si>
    <r>
      <t xml:space="preserve">PLAZA CONSTITUCIÓN - MAR DEL PLATA - MIRAMAR </t>
    </r>
    <r>
      <rPr>
        <i/>
        <sz val="8"/>
        <rFont val="Arial"/>
        <family val="2"/>
      </rPr>
      <t>(Miramar sin movimiento)</t>
    </r>
  </si>
  <si>
    <r>
      <t>PLAZA CONSTITUCIÓN - PINAMAR</t>
    </r>
    <r>
      <rPr>
        <i/>
        <sz val="8"/>
        <rFont val="Arial"/>
        <family val="2"/>
      </rPr>
      <t xml:space="preserve"> (Sin movimiento)</t>
    </r>
  </si>
  <si>
    <r>
      <t xml:space="preserve">P. CONSTITUCIÓN - B. BLANCA - C. DE PATAGONES </t>
    </r>
    <r>
      <rPr>
        <i/>
        <sz val="8"/>
        <rFont val="Arial"/>
        <family val="2"/>
      </rPr>
      <t>(C.de Patagones sin movim.)</t>
    </r>
  </si>
  <si>
    <t>PLAZA CONSTITUCIÓN - BOLIVAR - DAIREAUX</t>
  </si>
  <si>
    <t>PLAZA CONSTITUCIÓN - TANDIL</t>
  </si>
  <si>
    <r>
      <t xml:space="preserve">ONCE - BRAGADO - CARLOS CASARES - PEHUAJÓ </t>
    </r>
    <r>
      <rPr>
        <i/>
        <sz val="8"/>
        <rFont val="Arial"/>
        <family val="2"/>
      </rPr>
      <t>(corredor Sarmiento)</t>
    </r>
  </si>
  <si>
    <r>
      <t xml:space="preserve">BRAGADO - MECHITA - OLASCOAGA </t>
    </r>
    <r>
      <rPr>
        <i/>
        <sz val="8"/>
        <rFont val="Arial"/>
        <family val="2"/>
      </rPr>
      <t>(locales Sarmiento)</t>
    </r>
  </si>
  <si>
    <r>
      <t xml:space="preserve">RETIRO - JUNÍN - ALBERDI </t>
    </r>
    <r>
      <rPr>
        <i/>
        <sz val="8"/>
        <rFont val="Arial"/>
        <family val="2"/>
      </rPr>
      <t>(corredor San Martín)</t>
    </r>
  </si>
  <si>
    <t>TOTAL PROVINCIA DE BUENOS AIRES (FERROBAIRES)</t>
  </si>
  <si>
    <t xml:space="preserve">VIEJO EXPRESO PATAGÓNICO "LA TROCHITA" </t>
  </si>
  <si>
    <t>ESQUEL - NAHUEL PAN</t>
  </si>
  <si>
    <t>EL MAITÉN - DESVÍO THOMAE</t>
  </si>
  <si>
    <t xml:space="preserve">TOTAL PROVINCIA DEL CHUBUT (V.E.P. "LA TROCHITA") </t>
  </si>
  <si>
    <t>TOTAL PROVINCIA DE RIO NEGRO (TREN PATAGÓNICO S.A.)</t>
  </si>
  <si>
    <t>TOTAL PROVINCIA DE SALTA (TREN A LAS NUBES)</t>
  </si>
  <si>
    <t>Nota: datos suministrados por las Empresas y Organismos que tienen a su cargo la prestación de los servicios.</t>
  </si>
  <si>
    <t>s/d</t>
  </si>
  <si>
    <r>
      <t>TOTAL ARGENTREN (LÍNEA ROCA)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(P. Constitución - Saladillo - Gral. Alvear)</t>
    </r>
  </si>
  <si>
    <r>
      <t>TOTAL CORREDORES FERROVIARIOS</t>
    </r>
    <r>
      <rPr>
        <i/>
        <sz val="8"/>
        <rFont val="Arial"/>
        <family val="2"/>
      </rPr>
      <t xml:space="preserve"> (Retiro - Rosario)</t>
    </r>
  </si>
  <si>
    <t>PASAJEROS INTERURBANOS TRANSPORTADOS EN 2015</t>
  </si>
  <si>
    <t xml:space="preserve">BRAGADO - REALICÓ - GRAL PICO </t>
  </si>
  <si>
    <t xml:space="preserve">ONCE - GENERAL PICO (Vía Catriló) (*) </t>
  </si>
  <si>
    <t>TOTAL SOFSE RUFINO (RETIRO-RUFINO)</t>
  </si>
  <si>
    <t>TOTAL SOFSE INTERNACIONAL (POSADAS-ENCARNACIÓN</t>
  </si>
  <si>
    <t>TOTAL SOFSE RETIRO - ROSARIO</t>
  </si>
  <si>
    <t>TOTAL SOFSE TREN DEL VALLE (Neuquen - Cipolletti)</t>
  </si>
  <si>
    <t>TOTAL SOFSE CONSTITUCIÓN - BAHÍA BLANCA</t>
  </si>
  <si>
    <t>PLAZA CONSTITUCIÓN - PINAMAR</t>
  </si>
  <si>
    <t>(º) Por daños en la infraestructura por inundaciones el servicio se presta con combinación automotor desde el mes de agosto.</t>
  </si>
  <si>
    <t>(*) Por cuestiones climáticas el servicio se presta hasta Chivilcoy a partir del mes de octubre.</t>
  </si>
  <si>
    <r>
      <t xml:space="preserve">PLAZA CONSTITUCIÓN - MAR DEL PLATA - MIRAMAR </t>
    </r>
    <r>
      <rPr>
        <i/>
        <sz val="8"/>
        <rFont val="Arial"/>
        <family val="2"/>
      </rPr>
      <t>(Miramar sin movimiento) (º)</t>
    </r>
  </si>
  <si>
    <t>(*) Por cuestiones climáticas el servicio se presta hasta Chivilcoy a partir del mes de octubre de 2015.</t>
  </si>
  <si>
    <t>TOTAL SOFSE INTERNACIONAL (POSADAS-ENCARNACIÓN)</t>
  </si>
  <si>
    <t>PASAJEROS INTERURBANOS TRANSPORTADOS EN 2016</t>
  </si>
  <si>
    <t>TOTAL SOFSE SALTA-GÜEMES (13)</t>
  </si>
  <si>
    <t>Nota: Datos suministrados por las Empresas y Organismos que tienen a su cargo la prestación de los servicios.</t>
  </si>
  <si>
    <t>PASAJEROS INTERURBANOS TRANSPORTADOS EN 2017</t>
  </si>
  <si>
    <t>SOFSE CONSTITUCION-LEZAMA (***)</t>
  </si>
  <si>
    <r>
      <t>TOTAL SOFSE RUFINO (RETIRO-RUFINO)</t>
    </r>
    <r>
      <rPr>
        <sz val="8"/>
        <rFont val="Arial"/>
        <family val="2"/>
      </rPr>
      <t>(**)</t>
    </r>
  </si>
  <si>
    <t>TOTAL SOFSE TREN DEL VALLE (Neuquén - Cipolletti)</t>
  </si>
  <si>
    <t>(**) - RETIRO - RUFINO  ( Se presta en Junio como Retiro - Junín)</t>
  </si>
  <si>
    <t>(***) - Constitución - Lezama - En servicio desde 03/07/2017</t>
  </si>
  <si>
    <r>
      <rPr>
        <sz val="7"/>
        <rFont val="Arial"/>
        <family val="2"/>
      </rPr>
      <t>(s/d*)</t>
    </r>
    <r>
      <rPr>
        <b/>
        <sz val="7"/>
        <rFont val="Arial"/>
        <family val="2"/>
      </rPr>
      <t xml:space="preserve"> -</t>
    </r>
    <r>
      <rPr>
        <sz val="7"/>
        <rFont val="Arial"/>
        <family val="2"/>
      </rPr>
      <t xml:space="preserve"> Información aun no remitida por el operador</t>
    </r>
  </si>
  <si>
    <t>Boletos Vendidos 2018</t>
  </si>
  <si>
    <t>Servicio</t>
  </si>
  <si>
    <t>Tipo de Servicio</t>
  </si>
  <si>
    <t>Unidad/ Línea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</si>
  <si>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</si>
  <si>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</si>
  <si>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</si>
  <si>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</si>
  <si>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</si>
  <si>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</si>
  <si>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</si>
  <si>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</si>
  <si>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</si>
  <si>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</si>
  <si>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</si>
  <si>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</si>
  <si>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</si>
  <si>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Once - Chivilcoy</t>
  </si>
  <si>
    <t>Larga Distancia</t>
  </si>
  <si>
    <t>Sarmiento</t>
  </si>
  <si>
    <t>P. Constitución - Bahía Blanca</t>
  </si>
  <si>
    <t>Roca</t>
  </si>
  <si>
    <t>P. Constitución - Mar del Plata</t>
  </si>
  <si>
    <t>Retiro - Córdoba</t>
  </si>
  <si>
    <t>Mitre</t>
  </si>
  <si>
    <t>Retiro – Junín</t>
  </si>
  <si>
    <t>San Martín</t>
  </si>
  <si>
    <t>Retiro - Rosario</t>
  </si>
  <si>
    <t>Retiro - Tucumán</t>
  </si>
  <si>
    <t>Sáenz Peña – Chorotis</t>
  </si>
  <si>
    <t>Chaco/ Belgrano</t>
  </si>
  <si>
    <t>Colonia Avellaneda - Paraná</t>
  </si>
  <si>
    <t>Regional</t>
  </si>
  <si>
    <t>Entre Ríos / Urquiza</t>
  </si>
  <si>
    <t>Güemes – Salta</t>
  </si>
  <si>
    <t>Belgrano</t>
  </si>
  <si>
    <t>Neuquén – Cipolletti</t>
  </si>
  <si>
    <t>Tren del Valle / Roca</t>
  </si>
  <si>
    <t>Posadas - Encarnación</t>
  </si>
  <si>
    <t>Binacional / Urquiza</t>
  </si>
  <si>
    <t>Resistencia-Cacuí-Los Amores</t>
  </si>
  <si>
    <t>Tren de las Sierras</t>
  </si>
  <si>
    <t>Córdoba  / Belgrano</t>
  </si>
  <si>
    <t>Tren Patagónico</t>
  </si>
  <si>
    <t>Rio Negro</t>
  </si>
  <si>
    <t>Villa María – Córdoba</t>
  </si>
  <si>
    <t>Córdoba  / Mitre</t>
  </si>
  <si>
    <t>Boletos Vendidos 2019</t>
  </si>
  <si>
    <t>Once - Bragado*</t>
  </si>
  <si>
    <t>Cacuí-Los Amores**</t>
  </si>
  <si>
    <t>Cuadro y gráficos de elaboración propia en base a datos brindados por los operadores.</t>
  </si>
  <si>
    <t>* Antes julio 2019 Once - Chivilcoy</t>
  </si>
  <si>
    <t>** Desde Oct 2019 pasa por Resistencia</t>
  </si>
  <si>
    <t>Chubut</t>
  </si>
  <si>
    <t>EL MAITÉN - DESVÍO THOMAE *</t>
  </si>
  <si>
    <t>* Datos ajustados por la empresa el 20/01/2020</t>
  </si>
  <si>
    <t>** Datos ajustados por la empresa el 20/01/2020</t>
  </si>
  <si>
    <t>EL MAITÉN - DESVÍO THOMAE **</t>
  </si>
  <si>
    <t>****- * Datos ajustados por la empresa el 20/01/2020</t>
  </si>
  <si>
    <t>EL MAITÉN - DESVÍO THOMAE ****</t>
  </si>
  <si>
    <t>La Trochita - El Maitén - Desvio Thomé *</t>
  </si>
  <si>
    <t>* Datos aportados por la empresa el 20/01/2020</t>
  </si>
  <si>
    <t>La Trochita - Esquel - Nahuelpan*</t>
  </si>
  <si>
    <t>La Trochita - El Maitén - Desvio Thomé ***</t>
  </si>
  <si>
    <t>La Trochita - Esquel - Nahuelpan***</t>
  </si>
  <si>
    <t>*** Datos aportados por la empresa el 20/01/2020</t>
  </si>
  <si>
    <t>Subtotal</t>
  </si>
  <si>
    <t>Datos Disponibles</t>
  </si>
  <si>
    <t>Las cuadros son de elaboración propia a partir de los datos aportados por los operadores.</t>
  </si>
  <si>
    <t>Comisión Nacional de Regulación del Transporte</t>
  </si>
  <si>
    <t>Gerencia de Fiscalización de Gestión Ferroviaria</t>
  </si>
  <si>
    <t>Subgerencia de Fiscalización de Gestión de Servicios de Larga Distancia</t>
  </si>
  <si>
    <t>Estadísticas del Transporte Ferroviario de Pasajeros</t>
  </si>
  <si>
    <t>1994 - 2006</t>
  </si>
  <si>
    <t>Boletos Vendidos 2020</t>
  </si>
  <si>
    <t>Abril sin movimiento conforme Res. MT Nº 64/2020</t>
  </si>
  <si>
    <t>Once - Bragado</t>
  </si>
  <si>
    <t>-</t>
  </si>
  <si>
    <t>Retiro - Rosario*</t>
  </si>
  <si>
    <t>Cacuí-Los Amores</t>
  </si>
  <si>
    <t>Sub Total</t>
  </si>
  <si>
    <t>*dic. Incluye 69 pasajeros serv. Temporario Retiro-San Nicolas</t>
  </si>
  <si>
    <t>* nov. Temp a San Nicolas</t>
  </si>
  <si>
    <t>Boletos Vendidos 2021</t>
  </si>
  <si>
    <t>Gral Guido-Pinamar</t>
  </si>
  <si>
    <t>Resistencia -Cacuí-Los Amores(**)-(*)</t>
  </si>
  <si>
    <t>Retiro - Tucumán (****)</t>
  </si>
  <si>
    <t>Retiro - Rufino</t>
  </si>
  <si>
    <t>Tren del Valle</t>
  </si>
  <si>
    <t>Posadas - Encarnación (***)</t>
  </si>
  <si>
    <t>Rio Nego / Roca</t>
  </si>
  <si>
    <t>Tren Patagónico (#) - Viedma . Bariloche</t>
  </si>
  <si>
    <t>(**) RESISTENCIA-CACUI-CHARADAI-marzo</t>
  </si>
  <si>
    <t>(**) CACUÍ - COTE LAI-febrero-enero</t>
  </si>
  <si>
    <t>(*) Incluye servicios especiales Resistencia - Cacuí-Enero-Junio</t>
  </si>
  <si>
    <t>(***) Suspendido en marco COVID</t>
  </si>
  <si>
    <t>(****) Llega hasta la Estación Cevil Pozo</t>
  </si>
  <si>
    <t xml:space="preserve"> (#) Tren Patagonico S.A. a cargo de la Provincia de Rio Negro</t>
  </si>
  <si>
    <t>Tren a las Nubes</t>
  </si>
  <si>
    <t>Larga Distancia/Provincial</t>
  </si>
  <si>
    <t>Larga Distancial/Provincial</t>
  </si>
  <si>
    <t>Turístico/Provincial</t>
  </si>
  <si>
    <t>La Trochita - Esquel - Nahuelpan</t>
  </si>
  <si>
    <t>Salta</t>
  </si>
  <si>
    <t>La Trochita - El Maitén - Desvio Thomé</t>
  </si>
  <si>
    <t>Pasajeros Pagos Transportados 2022</t>
  </si>
  <si>
    <t>Once - Bragado - Pehuajó (d)</t>
  </si>
  <si>
    <t>Resistencia -Cacuí-Los Amores</t>
  </si>
  <si>
    <t>Retiro - Tucumán (a)</t>
  </si>
  <si>
    <t>Retiro - Rufino - Justo Daract (c)</t>
  </si>
  <si>
    <t>C. Avellaneda - Paraná - Enrique Berduc (g)</t>
  </si>
  <si>
    <t>Salta - Güemes - Campo Quijano</t>
  </si>
  <si>
    <t>Posadas - Encarnación (b)</t>
  </si>
  <si>
    <t>La Banda - Fernández (e)</t>
  </si>
  <si>
    <t>Rosario - Cañada de Gómez (f)</t>
  </si>
  <si>
    <t>Tren Patagónico - Servicio Viedma - Bariloche</t>
  </si>
  <si>
    <t>Rio Negro / Roca</t>
  </si>
  <si>
    <t>Tren Patagónico - Servicio San Antonio Oeste - Bariloche</t>
  </si>
  <si>
    <t>Tren Patagónico - Servicio La Trochita</t>
  </si>
  <si>
    <t>Turistico/Provincial</t>
  </si>
  <si>
    <t>Tren Patagónico- Servicio Ingeniero Jacobacci - Bariloche</t>
  </si>
  <si>
    <t>Tren Patagónico - Servicio Perito Moreno</t>
  </si>
  <si>
    <t>La Trochita - Servicio El Maiten - Km 228</t>
  </si>
  <si>
    <t>La Trochita - Servicio El Maiten - Ñorquinco</t>
  </si>
  <si>
    <t>La Trochita - Servicio Esquel - Nahuel Pan</t>
  </si>
  <si>
    <t>(a) Llega hasta la Estación Cevil Pozo</t>
  </si>
  <si>
    <t>(b) Suspendido en el  marco COVID. El 13/09/2022 se restableció el servicio.</t>
  </si>
  <si>
    <t>(c) A partir del 22/07/2022 se extiende el servicio desde Rufino a Justo Daract</t>
  </si>
  <si>
    <t>(d) A partir del 05/08/2022 se extiende el servicio Once-Bragado hasta Pehuajó</t>
  </si>
  <si>
    <t xml:space="preserve">(e) Se implementó a  partir del 10/08/2022 </t>
  </si>
  <si>
    <t>(f) Se implementó a partir de 05/08/2022</t>
  </si>
  <si>
    <t>(g) A partir del 15/09/2022 se extiende el servicio  hasta la estación Enrique Berduc.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</si>
</sst>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* #,##0.00\ _€_-;\-* #,##0.00\ _€_-;_-* &quot;-&quot;??\ _€_-;_-@_-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b/>
      <i/>
      <sz val="6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8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  <family val="2"/>
    </font>
    <font>
      <b/>
      <sz val="10"/>
      <color theme="1"/>
      <name val="Arial"/>
    </font>
    <font>
      <u/>
      <sz val="16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2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4" borderId="0" applyNumberFormat="0" applyBorder="0" applyAlignment="0" applyProtection="0"/>
    <xf numFmtId="0" fontId="36" fillId="16" borderId="1" applyNumberFormat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50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40" fillId="7" borderId="1" applyNumberFormat="0" applyAlignment="0" applyProtection="0"/>
    <xf numFmtId="0" fontId="41" fillId="3" borderId="0" applyNumberFormat="0" applyBorder="0" applyAlignment="0" applyProtection="0"/>
    <xf numFmtId="164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42" fillId="22" borderId="0" applyNumberFormat="0" applyBorder="0" applyAlignment="0" applyProtection="0"/>
    <xf numFmtId="0" fontId="22" fillId="0" borderId="0"/>
    <xf numFmtId="0" fontId="22" fillId="23" borderId="5" applyNumberFormat="0" applyFont="0" applyAlignment="0" applyProtection="0"/>
    <xf numFmtId="0" fontId="43" fillId="16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0" borderId="9" applyNumberFormat="0" applyFill="0" applyAlignment="0" applyProtection="0"/>
    <xf numFmtId="0" fontId="49" fillId="0" borderId="10" applyNumberFormat="0" applyFill="0" applyAlignment="0" applyProtection="0"/>
    <xf numFmtId="0" fontId="10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0" borderId="0"/>
  </cellStyleXfs>
  <cellXfs count="482">
    <xf numFmtId="0" fontId="0" fillId="0" borderId="0" xfId="0"/>
    <xf numFmtId="0" fontId="12" fillId="0" borderId="0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Border="1"/>
    <xf numFmtId="0" fontId="13" fillId="0" borderId="0" xfId="0" applyFont="1"/>
    <xf numFmtId="3" fontId="13" fillId="0" borderId="0" xfId="0" applyNumberFormat="1" applyFont="1"/>
    <xf numFmtId="0" fontId="13" fillId="0" borderId="0" xfId="0" applyFont="1" applyAlignment="1">
      <alignment horizontal="right"/>
    </xf>
    <xf numFmtId="3" fontId="12" fillId="0" borderId="0" xfId="0" applyNumberFormat="1" applyFont="1"/>
    <xf numFmtId="0" fontId="12" fillId="24" borderId="11" xfId="0" applyFont="1" applyFill="1" applyBorder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3" fontId="13" fillId="0" borderId="0" xfId="0" applyNumberFormat="1" applyFont="1" applyAlignment="1">
      <alignment horizontal="right"/>
    </xf>
    <xf numFmtId="3" fontId="12" fillId="0" borderId="12" xfId="0" applyNumberFormat="1" applyFont="1" applyBorder="1"/>
    <xf numFmtId="0" fontId="13" fillId="0" borderId="13" xfId="0" applyFont="1" applyBorder="1"/>
    <xf numFmtId="3" fontId="12" fillId="24" borderId="11" xfId="0" applyNumberFormat="1" applyFont="1" applyFill="1" applyBorder="1"/>
    <xf numFmtId="3" fontId="12" fillId="0" borderId="0" xfId="0" applyNumberFormat="1" applyFont="1" applyFill="1"/>
    <xf numFmtId="3" fontId="13" fillId="0" borderId="0" xfId="0" applyNumberFormat="1" applyFont="1" applyFill="1" applyAlignment="1">
      <alignment horizontal="right"/>
    </xf>
    <xf numFmtId="0" fontId="12" fillId="0" borderId="0" xfId="0" applyFont="1" applyFill="1"/>
    <xf numFmtId="3" fontId="12" fillId="0" borderId="12" xfId="33" applyNumberFormat="1" applyFont="1" applyBorder="1" applyAlignment="1"/>
    <xf numFmtId="3" fontId="13" fillId="0" borderId="13" xfId="0" applyNumberFormat="1" applyFont="1" applyBorder="1"/>
    <xf numFmtId="3" fontId="12" fillId="0" borderId="0" xfId="0" applyNumberFormat="1" applyFont="1" applyFill="1" applyBorder="1"/>
    <xf numFmtId="3" fontId="13" fillId="0" borderId="0" xfId="0" applyNumberFormat="1" applyFont="1" applyFill="1"/>
    <xf numFmtId="0" fontId="15" fillId="0" borderId="0" xfId="0" applyFont="1"/>
    <xf numFmtId="0" fontId="13" fillId="0" borderId="0" xfId="0" applyFont="1" applyAlignment="1"/>
    <xf numFmtId="0" fontId="16" fillId="0" borderId="0" xfId="0" applyFont="1" applyBorder="1"/>
    <xf numFmtId="3" fontId="16" fillId="0" borderId="0" xfId="0" applyNumberFormat="1" applyFont="1"/>
    <xf numFmtId="3" fontId="17" fillId="0" borderId="0" xfId="0" applyNumberFormat="1" applyFont="1" applyBorder="1"/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3" fillId="0" borderId="14" xfId="0" applyFont="1" applyFill="1" applyBorder="1"/>
    <xf numFmtId="3" fontId="12" fillId="0" borderId="15" xfId="0" applyNumberFormat="1" applyFont="1" applyFill="1" applyBorder="1"/>
    <xf numFmtId="3" fontId="13" fillId="0" borderId="16" xfId="0" applyNumberFormat="1" applyFont="1" applyFill="1" applyBorder="1" applyAlignment="1">
      <alignment horizontal="right"/>
    </xf>
    <xf numFmtId="0" fontId="13" fillId="0" borderId="13" xfId="0" applyFont="1" applyFill="1" applyBorder="1"/>
    <xf numFmtId="3" fontId="12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2" fillId="0" borderId="12" xfId="0" applyNumberFormat="1" applyFont="1" applyFill="1" applyBorder="1"/>
    <xf numFmtId="3" fontId="12" fillId="24" borderId="17" xfId="0" applyNumberFormat="1" applyFont="1" applyFill="1" applyBorder="1"/>
    <xf numFmtId="3" fontId="12" fillId="0" borderId="0" xfId="0" applyNumberFormat="1" applyFont="1" applyBorder="1"/>
    <xf numFmtId="3" fontId="13" fillId="0" borderId="0" xfId="0" applyNumberFormat="1" applyFont="1" applyFill="1" applyBorder="1"/>
    <xf numFmtId="3" fontId="16" fillId="0" borderId="0" xfId="0" applyNumberFormat="1" applyFont="1" applyBorder="1"/>
    <xf numFmtId="0" fontId="12" fillId="0" borderId="13" xfId="0" applyFont="1" applyBorder="1"/>
    <xf numFmtId="3" fontId="13" fillId="0" borderId="0" xfId="0" applyNumberFormat="1" applyFont="1" applyAlignment="1">
      <alignment horizontal="center"/>
    </xf>
    <xf numFmtId="3" fontId="18" fillId="0" borderId="0" xfId="0" applyNumberFormat="1" applyFont="1"/>
    <xf numFmtId="0" fontId="12" fillId="0" borderId="17" xfId="0" applyFont="1" applyFill="1" applyBorder="1"/>
    <xf numFmtId="3" fontId="12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/>
    <xf numFmtId="3" fontId="12" fillId="0" borderId="13" xfId="0" applyNumberFormat="1" applyFont="1" applyBorder="1"/>
    <xf numFmtId="3" fontId="13" fillId="0" borderId="13" xfId="0" applyNumberFormat="1" applyFont="1" applyFill="1" applyBorder="1"/>
    <xf numFmtId="3" fontId="12" fillId="0" borderId="20" xfId="33" applyNumberFormat="1" applyFont="1" applyFill="1" applyBorder="1" applyAlignment="1"/>
    <xf numFmtId="3" fontId="12" fillId="0" borderId="0" xfId="0" applyNumberFormat="1" applyFont="1" applyBorder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right"/>
    </xf>
    <xf numFmtId="3" fontId="20" fillId="0" borderId="0" xfId="0" applyNumberFormat="1" applyFont="1"/>
    <xf numFmtId="3" fontId="20" fillId="0" borderId="0" xfId="0" applyNumberFormat="1" applyFont="1" applyAlignment="1">
      <alignment horizontal="right"/>
    </xf>
    <xf numFmtId="3" fontId="19" fillId="0" borderId="0" xfId="0" applyNumberFormat="1" applyFont="1"/>
    <xf numFmtId="0" fontId="20" fillId="0" borderId="0" xfId="0" applyFont="1" applyAlignment="1">
      <alignment horizontal="left"/>
    </xf>
    <xf numFmtId="0" fontId="20" fillId="0" borderId="0" xfId="0" applyFont="1" applyAlignment="1"/>
    <xf numFmtId="0" fontId="21" fillId="0" borderId="0" xfId="0" applyFont="1"/>
    <xf numFmtId="0" fontId="21" fillId="0" borderId="0" xfId="0" applyFont="1" applyAlignment="1">
      <alignment horizontal="right"/>
    </xf>
    <xf numFmtId="3" fontId="0" fillId="0" borderId="0" xfId="0" applyNumberFormat="1"/>
    <xf numFmtId="0" fontId="22" fillId="0" borderId="0" xfId="0" applyFont="1"/>
    <xf numFmtId="0" fontId="22" fillId="0" borderId="0" xfId="0" applyFont="1" applyAlignment="1"/>
    <xf numFmtId="3" fontId="12" fillId="0" borderId="13" xfId="0" applyNumberFormat="1" applyFont="1" applyFill="1" applyBorder="1"/>
    <xf numFmtId="3" fontId="12" fillId="0" borderId="12" xfId="33" applyNumberFormat="1" applyFont="1" applyFill="1" applyBorder="1" applyAlignment="1"/>
    <xf numFmtId="3" fontId="20" fillId="0" borderId="0" xfId="0" applyNumberFormat="1" applyFont="1" applyFill="1"/>
    <xf numFmtId="0" fontId="0" fillId="0" borderId="0" xfId="0" applyFill="1"/>
    <xf numFmtId="3" fontId="23" fillId="0" borderId="0" xfId="0" applyNumberFormat="1" applyFont="1"/>
    <xf numFmtId="0" fontId="12" fillId="24" borderId="21" xfId="0" applyFont="1" applyFill="1" applyBorder="1" applyAlignment="1">
      <alignment horizontal="right"/>
    </xf>
    <xf numFmtId="0" fontId="12" fillId="24" borderId="22" xfId="0" applyFont="1" applyFill="1" applyBorder="1" applyAlignment="1">
      <alignment horizontal="center"/>
    </xf>
    <xf numFmtId="3" fontId="12" fillId="24" borderId="22" xfId="0" applyNumberFormat="1" applyFont="1" applyFill="1" applyBorder="1" applyAlignment="1">
      <alignment horizontal="center"/>
    </xf>
    <xf numFmtId="3" fontId="12" fillId="24" borderId="21" xfId="0" applyNumberFormat="1" applyFont="1" applyFill="1" applyBorder="1" applyAlignment="1">
      <alignment horizontal="center"/>
    </xf>
    <xf numFmtId="3" fontId="12" fillId="24" borderId="23" xfId="0" applyNumberFormat="1" applyFont="1" applyFill="1" applyBorder="1" applyAlignment="1">
      <alignment horizontal="center"/>
    </xf>
    <xf numFmtId="3" fontId="12" fillId="24" borderId="21" xfId="33" applyNumberFormat="1" applyFont="1" applyFill="1" applyBorder="1" applyAlignment="1">
      <alignment horizontal="center"/>
    </xf>
    <xf numFmtId="3" fontId="12" fillId="24" borderId="18" xfId="0" applyNumberFormat="1" applyFont="1" applyFill="1" applyBorder="1" applyAlignment="1">
      <alignment horizontal="center"/>
    </xf>
    <xf numFmtId="3" fontId="12" fillId="24" borderId="19" xfId="33" applyNumberFormat="1" applyFont="1" applyFill="1" applyBorder="1" applyAlignment="1">
      <alignment horizontal="center"/>
    </xf>
    <xf numFmtId="3" fontId="12" fillId="24" borderId="23" xfId="33" applyNumberFormat="1" applyFont="1" applyFill="1" applyBorder="1" applyAlignment="1">
      <alignment horizontal="center"/>
    </xf>
    <xf numFmtId="0" fontId="12" fillId="24" borderId="23" xfId="0" applyFont="1" applyFill="1" applyBorder="1" applyAlignment="1">
      <alignment horizontal="center"/>
    </xf>
    <xf numFmtId="0" fontId="12" fillId="0" borderId="13" xfId="0" applyFont="1" applyFill="1" applyBorder="1"/>
    <xf numFmtId="0" fontId="12" fillId="24" borderId="21" xfId="0" applyFont="1" applyFill="1" applyBorder="1" applyAlignment="1">
      <alignment horizontal="center"/>
    </xf>
    <xf numFmtId="3" fontId="12" fillId="24" borderId="24" xfId="33" applyNumberFormat="1" applyFont="1" applyFill="1" applyBorder="1" applyAlignment="1">
      <alignment horizontal="center"/>
    </xf>
    <xf numFmtId="3" fontId="12" fillId="24" borderId="16" xfId="0" applyNumberFormat="1" applyFont="1" applyFill="1" applyBorder="1" applyAlignment="1">
      <alignment horizontal="center"/>
    </xf>
    <xf numFmtId="3" fontId="12" fillId="24" borderId="25" xfId="33" applyNumberFormat="1" applyFont="1" applyFill="1" applyBorder="1" applyAlignment="1">
      <alignment horizontal="center"/>
    </xf>
    <xf numFmtId="3" fontId="12" fillId="0" borderId="0" xfId="33" applyNumberFormat="1" applyFont="1" applyFill="1" applyAlignment="1"/>
    <xf numFmtId="0" fontId="12" fillId="25" borderId="26" xfId="0" applyFont="1" applyFill="1" applyBorder="1"/>
    <xf numFmtId="3" fontId="12" fillId="25" borderId="26" xfId="0" applyNumberFormat="1" applyFont="1" applyFill="1" applyBorder="1" applyAlignment="1">
      <alignment horizontal="center"/>
    </xf>
    <xf numFmtId="3" fontId="17" fillId="0" borderId="0" xfId="0" applyNumberFormat="1" applyFont="1"/>
    <xf numFmtId="1" fontId="12" fillId="24" borderId="22" xfId="0" applyNumberFormat="1" applyFont="1" applyFill="1" applyBorder="1" applyAlignment="1">
      <alignment horizontal="center"/>
    </xf>
    <xf numFmtId="1" fontId="13" fillId="0" borderId="0" xfId="0" applyNumberFormat="1" applyFont="1" applyFill="1"/>
    <xf numFmtId="3" fontId="18" fillId="25" borderId="26" xfId="0" applyNumberFormat="1" applyFont="1" applyFill="1" applyBorder="1" applyAlignment="1">
      <alignment horizontal="center"/>
    </xf>
    <xf numFmtId="0" fontId="12" fillId="24" borderId="11" xfId="0" applyFont="1" applyFill="1" applyBorder="1" applyAlignment="1"/>
    <xf numFmtId="3" fontId="12" fillId="24" borderId="11" xfId="0" applyNumberFormat="1" applyFont="1" applyFill="1" applyBorder="1" applyAlignment="1"/>
    <xf numFmtId="0" fontId="24" fillId="0" borderId="0" xfId="0" applyFont="1"/>
    <xf numFmtId="0" fontId="25" fillId="0" borderId="0" xfId="0" applyFont="1" applyFill="1"/>
    <xf numFmtId="3" fontId="24" fillId="0" borderId="0" xfId="0" applyNumberFormat="1" applyFont="1" applyFill="1"/>
    <xf numFmtId="3" fontId="24" fillId="0" borderId="0" xfId="33" applyNumberFormat="1" applyFont="1" applyFill="1" applyAlignment="1">
      <alignment horizontal="right"/>
    </xf>
    <xf numFmtId="3" fontId="24" fillId="0" borderId="0" xfId="0" applyNumberFormat="1" applyFont="1" applyFill="1" applyAlignment="1">
      <alignment horizontal="right"/>
    </xf>
    <xf numFmtId="3" fontId="25" fillId="0" borderId="0" xfId="0" applyNumberFormat="1" applyFont="1" applyFill="1"/>
    <xf numFmtId="0" fontId="24" fillId="0" borderId="0" xfId="0" applyFont="1" applyAlignment="1">
      <alignment vertical="center" wrapText="1"/>
    </xf>
    <xf numFmtId="3" fontId="12" fillId="24" borderId="22" xfId="33" applyNumberFormat="1" applyFont="1" applyFill="1" applyBorder="1" applyAlignment="1">
      <alignment horizontal="center"/>
    </xf>
    <xf numFmtId="0" fontId="25" fillId="24" borderId="17" xfId="0" applyFont="1" applyFill="1" applyBorder="1"/>
    <xf numFmtId="0" fontId="25" fillId="24" borderId="14" xfId="0" applyFont="1" applyFill="1" applyBorder="1"/>
    <xf numFmtId="0" fontId="25" fillId="24" borderId="11" xfId="0" applyFont="1" applyFill="1" applyBorder="1"/>
    <xf numFmtId="3" fontId="25" fillId="24" borderId="11" xfId="0" applyNumberFormat="1" applyFont="1" applyFill="1" applyBorder="1"/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/>
    <xf numFmtId="3" fontId="25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top"/>
    </xf>
    <xf numFmtId="0" fontId="18" fillId="24" borderId="26" xfId="0" applyFont="1" applyFill="1" applyBorder="1" applyAlignment="1">
      <alignment horizontal="center" vertical="center"/>
    </xf>
    <xf numFmtId="0" fontId="25" fillId="24" borderId="27" xfId="0" applyFont="1" applyFill="1" applyBorder="1" applyAlignment="1">
      <alignment horizontal="center" vertical="center" wrapText="1"/>
    </xf>
    <xf numFmtId="3" fontId="25" fillId="24" borderId="22" xfId="0" applyNumberFormat="1" applyFont="1" applyFill="1" applyBorder="1" applyAlignment="1">
      <alignment horizontal="center" vertical="center"/>
    </xf>
    <xf numFmtId="3" fontId="25" fillId="24" borderId="22" xfId="0" applyNumberFormat="1" applyFont="1" applyFill="1" applyBorder="1" applyAlignment="1">
      <alignment horizontal="center" vertical="center" wrapText="1"/>
    </xf>
    <xf numFmtId="3" fontId="25" fillId="24" borderId="21" xfId="0" applyNumberFormat="1" applyFont="1" applyFill="1" applyBorder="1" applyAlignment="1">
      <alignment horizontal="center" vertical="center" wrapText="1"/>
    </xf>
    <xf numFmtId="3" fontId="24" fillId="24" borderId="22" xfId="0" applyNumberFormat="1" applyFont="1" applyFill="1" applyBorder="1" applyAlignment="1">
      <alignment horizontal="center" vertical="center"/>
    </xf>
    <xf numFmtId="3" fontId="24" fillId="24" borderId="22" xfId="0" applyNumberFormat="1" applyFont="1" applyFill="1" applyBorder="1" applyAlignment="1">
      <alignment horizontal="center" vertical="center" wrapText="1"/>
    </xf>
    <xf numFmtId="3" fontId="26" fillId="24" borderId="21" xfId="0" applyNumberFormat="1" applyFont="1" applyFill="1" applyBorder="1" applyAlignment="1">
      <alignment horizontal="center" vertical="center" wrapText="1"/>
    </xf>
    <xf numFmtId="3" fontId="25" fillId="24" borderId="22" xfId="0" quotePrefix="1" applyNumberFormat="1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vertical="center"/>
    </xf>
    <xf numFmtId="3" fontId="24" fillId="24" borderId="21" xfId="0" applyNumberFormat="1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left" vertical="center"/>
    </xf>
    <xf numFmtId="0" fontId="25" fillId="24" borderId="11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5" fillId="24" borderId="21" xfId="0" applyFont="1" applyFill="1" applyBorder="1" applyAlignment="1">
      <alignment horizontal="center" vertical="center"/>
    </xf>
    <xf numFmtId="3" fontId="25" fillId="25" borderId="26" xfId="0" applyNumberFormat="1" applyFont="1" applyFill="1" applyBorder="1" applyAlignment="1">
      <alignment horizontal="left" vertical="center"/>
    </xf>
    <xf numFmtId="3" fontId="25" fillId="25" borderId="26" xfId="0" applyNumberFormat="1" applyFont="1" applyFill="1" applyBorder="1" applyAlignment="1">
      <alignment horizontal="center" vertical="center"/>
    </xf>
    <xf numFmtId="0" fontId="25" fillId="25" borderId="26" xfId="0" applyFont="1" applyFill="1" applyBorder="1"/>
    <xf numFmtId="0" fontId="12" fillId="25" borderId="26" xfId="0" applyFont="1" applyFill="1" applyBorder="1" applyAlignment="1"/>
    <xf numFmtId="3" fontId="12" fillId="25" borderId="26" xfId="0" applyNumberFormat="1" applyFont="1" applyFill="1" applyBorder="1"/>
    <xf numFmtId="3" fontId="18" fillId="25" borderId="26" xfId="0" applyNumberFormat="1" applyFont="1" applyFill="1" applyBorder="1"/>
    <xf numFmtId="0" fontId="12" fillId="0" borderId="0" xfId="0" applyFont="1" applyAlignment="1">
      <alignment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/>
    <xf numFmtId="3" fontId="13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12" fillId="24" borderId="11" xfId="0" applyFont="1" applyFill="1" applyBorder="1" applyAlignment="1">
      <alignment vertical="center"/>
    </xf>
    <xf numFmtId="0" fontId="12" fillId="24" borderId="22" xfId="0" applyFont="1" applyFill="1" applyBorder="1" applyAlignment="1">
      <alignment horizontal="right" vertical="center"/>
    </xf>
    <xf numFmtId="0" fontId="12" fillId="24" borderId="23" xfId="0" applyFont="1" applyFill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3" fontId="13" fillId="0" borderId="17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horizontal="right" vertical="center"/>
    </xf>
    <xf numFmtId="3" fontId="12" fillId="0" borderId="24" xfId="33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3" fontId="12" fillId="0" borderId="20" xfId="33" applyNumberFormat="1" applyFont="1" applyFill="1" applyBorder="1" applyAlignment="1">
      <alignment vertical="center"/>
    </xf>
    <xf numFmtId="3" fontId="12" fillId="24" borderId="17" xfId="0" applyNumberFormat="1" applyFont="1" applyFill="1" applyBorder="1" applyAlignment="1">
      <alignment vertical="center"/>
    </xf>
    <xf numFmtId="3" fontId="12" fillId="24" borderId="18" xfId="0" applyNumberFormat="1" applyFont="1" applyFill="1" applyBorder="1" applyAlignment="1">
      <alignment vertical="center"/>
    </xf>
    <xf numFmtId="3" fontId="12" fillId="24" borderId="24" xfId="0" applyNumberFormat="1" applyFont="1" applyFill="1" applyBorder="1" applyAlignment="1">
      <alignment vertical="center"/>
    </xf>
    <xf numFmtId="3" fontId="12" fillId="24" borderId="22" xfId="0" applyNumberFormat="1" applyFont="1" applyFill="1" applyBorder="1" applyAlignment="1">
      <alignment vertical="center"/>
    </xf>
    <xf numFmtId="3" fontId="12" fillId="24" borderId="22" xfId="0" applyNumberFormat="1" applyFont="1" applyFill="1" applyBorder="1" applyAlignment="1">
      <alignment horizontal="right" vertical="center"/>
    </xf>
    <xf numFmtId="3" fontId="12" fillId="24" borderId="21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3" fontId="13" fillId="0" borderId="16" xfId="0" applyNumberFormat="1" applyFont="1" applyFill="1" applyBorder="1" applyAlignment="1">
      <alignment horizontal="right" vertical="center"/>
    </xf>
    <xf numFmtId="3" fontId="12" fillId="0" borderId="25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2" fillId="0" borderId="20" xfId="33" applyNumberFormat="1" applyFont="1" applyBorder="1" applyAlignment="1">
      <alignment vertical="center"/>
    </xf>
    <xf numFmtId="3" fontId="12" fillId="24" borderId="11" xfId="0" applyNumberFormat="1" applyFont="1" applyFill="1" applyBorder="1" applyAlignment="1">
      <alignment vertical="center"/>
    </xf>
    <xf numFmtId="3" fontId="12" fillId="24" borderId="21" xfId="33" applyNumberFormat="1" applyFont="1" applyFill="1" applyBorder="1" applyAlignment="1">
      <alignment vertical="center"/>
    </xf>
    <xf numFmtId="0" fontId="15" fillId="25" borderId="28" xfId="0" applyFont="1" applyFill="1" applyBorder="1" applyAlignment="1">
      <alignment vertical="center"/>
    </xf>
    <xf numFmtId="3" fontId="15" fillId="25" borderId="29" xfId="0" applyNumberFormat="1" applyFont="1" applyFill="1" applyBorder="1" applyAlignment="1">
      <alignment vertical="center"/>
    </xf>
    <xf numFmtId="0" fontId="32" fillId="0" borderId="0" xfId="0" applyFont="1" applyBorder="1"/>
    <xf numFmtId="0" fontId="32" fillId="0" borderId="0" xfId="0" applyFont="1" applyBorder="1" applyAlignment="1"/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32" fillId="0" borderId="0" xfId="0" applyFont="1" applyBorder="1" applyAlignment="1">
      <alignment horizontal="left" vertical="top" wrapText="1"/>
    </xf>
    <xf numFmtId="0" fontId="12" fillId="24" borderId="22" xfId="0" applyFont="1" applyFill="1" applyBorder="1" applyAlignment="1">
      <alignment horizontal="right"/>
    </xf>
    <xf numFmtId="0" fontId="12" fillId="24" borderId="23" xfId="0" applyFont="1" applyFill="1" applyBorder="1" applyAlignment="1">
      <alignment horizontal="right"/>
    </xf>
    <xf numFmtId="3" fontId="12" fillId="24" borderId="22" xfId="0" applyNumberFormat="1" applyFont="1" applyFill="1" applyBorder="1"/>
    <xf numFmtId="3" fontId="12" fillId="24" borderId="23" xfId="0" applyNumberFormat="1" applyFont="1" applyFill="1" applyBorder="1"/>
    <xf numFmtId="3" fontId="12" fillId="24" borderId="22" xfId="0" applyNumberFormat="1" applyFont="1" applyFill="1" applyBorder="1" applyAlignment="1">
      <alignment horizontal="right"/>
    </xf>
    <xf numFmtId="3" fontId="12" fillId="24" borderId="23" xfId="33" applyNumberFormat="1" applyFont="1" applyFill="1" applyBorder="1" applyAlignment="1"/>
    <xf numFmtId="3" fontId="12" fillId="0" borderId="17" xfId="0" applyNumberFormat="1" applyFont="1" applyFill="1" applyBorder="1"/>
    <xf numFmtId="3" fontId="12" fillId="0" borderId="18" xfId="0" applyNumberFormat="1" applyFont="1" applyFill="1" applyBorder="1"/>
    <xf numFmtId="3" fontId="12" fillId="0" borderId="19" xfId="33" applyNumberFormat="1" applyFont="1" applyFill="1" applyBorder="1" applyAlignment="1"/>
    <xf numFmtId="3" fontId="12" fillId="0" borderId="0" xfId="33" applyNumberFormat="1" applyFont="1" applyFill="1" applyBorder="1" applyAlignment="1"/>
    <xf numFmtId="3" fontId="13" fillId="0" borderId="14" xfId="0" applyNumberFormat="1" applyFont="1" applyFill="1" applyBorder="1"/>
    <xf numFmtId="3" fontId="12" fillId="0" borderId="16" xfId="0" applyNumberFormat="1" applyFont="1" applyFill="1" applyBorder="1"/>
    <xf numFmtId="3" fontId="12" fillId="0" borderId="16" xfId="0" applyNumberFormat="1" applyFont="1" applyFill="1" applyBorder="1" applyAlignment="1">
      <alignment horizontal="right"/>
    </xf>
    <xf numFmtId="3" fontId="12" fillId="0" borderId="15" xfId="33" applyNumberFormat="1" applyFont="1" applyFill="1" applyBorder="1" applyAlignment="1"/>
    <xf numFmtId="0" fontId="12" fillId="24" borderId="13" xfId="0" applyFont="1" applyFill="1" applyBorder="1"/>
    <xf numFmtId="3" fontId="12" fillId="24" borderId="0" xfId="0" applyNumberFormat="1" applyFont="1" applyFill="1"/>
    <xf numFmtId="3" fontId="12" fillId="24" borderId="0" xfId="0" applyNumberFormat="1" applyFont="1" applyFill="1" applyAlignment="1">
      <alignment horizontal="right"/>
    </xf>
    <xf numFmtId="3" fontId="12" fillId="24" borderId="12" xfId="0" applyNumberFormat="1" applyFont="1" applyFill="1" applyBorder="1"/>
    <xf numFmtId="3" fontId="12" fillId="24" borderId="18" xfId="0" applyNumberFormat="1" applyFont="1" applyFill="1" applyBorder="1"/>
    <xf numFmtId="3" fontId="12" fillId="24" borderId="18" xfId="0" applyNumberFormat="1" applyFont="1" applyFill="1" applyBorder="1" applyAlignment="1">
      <alignment horizontal="right"/>
    </xf>
    <xf numFmtId="0" fontId="12" fillId="25" borderId="30" xfId="0" applyFont="1" applyFill="1" applyBorder="1"/>
    <xf numFmtId="3" fontId="12" fillId="25" borderId="31" xfId="0" applyNumberFormat="1" applyFont="1" applyFill="1" applyBorder="1"/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3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3" fontId="16" fillId="0" borderId="0" xfId="0" applyNumberFormat="1" applyFont="1" applyBorder="1" applyAlignment="1">
      <alignment vertical="center"/>
    </xf>
    <xf numFmtId="3" fontId="13" fillId="0" borderId="0" xfId="0" applyNumberFormat="1" applyFont="1" applyAlignment="1"/>
    <xf numFmtId="3" fontId="12" fillId="24" borderId="23" xfId="35" applyNumberFormat="1" applyFont="1" applyFill="1" applyBorder="1" applyAlignment="1"/>
    <xf numFmtId="3" fontId="12" fillId="0" borderId="15" xfId="35" applyNumberFormat="1" applyFont="1" applyFill="1" applyBorder="1" applyAlignment="1"/>
    <xf numFmtId="3" fontId="13" fillId="0" borderId="16" xfId="0" applyNumberFormat="1" applyFont="1" applyFill="1" applyBorder="1"/>
    <xf numFmtId="3" fontId="12" fillId="0" borderId="0" xfId="35" applyNumberFormat="1" applyFont="1" applyFill="1" applyBorder="1" applyAlignment="1"/>
    <xf numFmtId="3" fontId="12" fillId="0" borderId="19" xfId="35" applyNumberFormat="1" applyFont="1" applyFill="1" applyBorder="1" applyAlignment="1"/>
    <xf numFmtId="3" fontId="12" fillId="0" borderId="12" xfId="35" applyNumberFormat="1" applyFont="1" applyBorder="1" applyAlignment="1"/>
    <xf numFmtId="0" fontId="13" fillId="0" borderId="0" xfId="0" applyFont="1" applyFill="1" applyBorder="1"/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17" xfId="0" applyBorder="1"/>
    <xf numFmtId="0" fontId="0" fillId="0" borderId="18" xfId="0" applyBorder="1"/>
    <xf numFmtId="3" fontId="0" fillId="0" borderId="18" xfId="0" applyNumberFormat="1" applyBorder="1" applyAlignment="1">
      <alignment horizontal="center"/>
    </xf>
    <xf numFmtId="0" fontId="0" fillId="0" borderId="13" xfId="0" applyBorder="1"/>
    <xf numFmtId="0" fontId="0" fillId="0" borderId="0" xfId="0" applyBorder="1"/>
    <xf numFmtId="3" fontId="0" fillId="0" borderId="0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52" fillId="26" borderId="18" xfId="0" applyNumberFormat="1" applyFont="1" applyFill="1" applyBorder="1" applyAlignment="1">
      <alignment horizontal="center"/>
    </xf>
    <xf numFmtId="3" fontId="52" fillId="26" borderId="0" xfId="0" applyNumberFormat="1" applyFont="1" applyFill="1" applyBorder="1" applyAlignment="1">
      <alignment horizontal="center"/>
    </xf>
    <xf numFmtId="3" fontId="21" fillId="0" borderId="33" xfId="0" applyNumberFormat="1" applyFont="1" applyBorder="1" applyAlignment="1">
      <alignment horizontal="center"/>
    </xf>
    <xf numFmtId="3" fontId="52" fillId="26" borderId="32" xfId="0" applyNumberFormat="1" applyFont="1" applyFill="1" applyBorder="1" applyAlignment="1">
      <alignment horizontal="center"/>
    </xf>
    <xf numFmtId="3" fontId="52" fillId="26" borderId="33" xfId="0" applyNumberFormat="1" applyFont="1" applyFill="1" applyBorder="1" applyAlignment="1">
      <alignment horizontal="center"/>
    </xf>
    <xf numFmtId="3" fontId="52" fillId="26" borderId="34" xfId="0" applyNumberFormat="1" applyFont="1" applyFill="1" applyBorder="1" applyAlignment="1">
      <alignment horizontal="center"/>
    </xf>
    <xf numFmtId="0" fontId="52" fillId="26" borderId="17" xfId="0" applyFont="1" applyFill="1" applyBorder="1"/>
    <xf numFmtId="0" fontId="52" fillId="26" borderId="13" xfId="0" applyFont="1" applyFill="1" applyBorder="1"/>
    <xf numFmtId="0" fontId="52" fillId="26" borderId="14" xfId="0" applyFont="1" applyFill="1" applyBorder="1"/>
    <xf numFmtId="3" fontId="52" fillId="26" borderId="16" xfId="0" applyNumberFormat="1" applyFont="1" applyFill="1" applyBorder="1" applyAlignment="1">
      <alignment horizontal="center"/>
    </xf>
    <xf numFmtId="3" fontId="15" fillId="0" borderId="0" xfId="0" applyNumberFormat="1" applyFont="1"/>
    <xf numFmtId="0" fontId="10" fillId="0" borderId="0" xfId="47"/>
    <xf numFmtId="3" fontId="10" fillId="0" borderId="0" xfId="47" applyNumberFormat="1"/>
    <xf numFmtId="0" fontId="10" fillId="0" borderId="0" xfId="47" applyBorder="1"/>
    <xf numFmtId="0" fontId="52" fillId="26" borderId="18" xfId="47" applyFont="1" applyFill="1" applyBorder="1"/>
    <xf numFmtId="3" fontId="52" fillId="26" borderId="18" xfId="47" applyNumberFormat="1" applyFont="1" applyFill="1" applyBorder="1" applyAlignment="1">
      <alignment horizontal="center"/>
    </xf>
    <xf numFmtId="0" fontId="52" fillId="26" borderId="0" xfId="47" applyFont="1" applyFill="1" applyBorder="1"/>
    <xf numFmtId="3" fontId="52" fillId="26" borderId="0" xfId="47" applyNumberFormat="1" applyFont="1" applyFill="1" applyBorder="1" applyAlignment="1">
      <alignment horizontal="center"/>
    </xf>
    <xf numFmtId="21" fontId="10" fillId="0" borderId="0" xfId="47" applyNumberFormat="1"/>
    <xf numFmtId="3" fontId="0" fillId="0" borderId="20" xfId="0" applyNumberFormat="1" applyBorder="1" applyAlignment="1">
      <alignment horizontal="center"/>
    </xf>
    <xf numFmtId="0" fontId="0" fillId="26" borderId="32" xfId="0" applyFill="1" applyBorder="1"/>
    <xf numFmtId="0" fontId="0" fillId="26" borderId="33" xfId="0" applyFill="1" applyBorder="1"/>
    <xf numFmtId="0" fontId="0" fillId="26" borderId="34" xfId="0" applyFill="1" applyBorder="1"/>
    <xf numFmtId="0" fontId="52" fillId="26" borderId="32" xfId="0" applyFont="1" applyFill="1" applyBorder="1"/>
    <xf numFmtId="0" fontId="52" fillId="26" borderId="33" xfId="0" applyFont="1" applyFill="1" applyBorder="1"/>
    <xf numFmtId="0" fontId="52" fillId="26" borderId="34" xfId="0" applyFont="1" applyFill="1" applyBorder="1"/>
    <xf numFmtId="0" fontId="52" fillId="0" borderId="21" xfId="0" applyFont="1" applyBorder="1" applyAlignment="1">
      <alignment horizontal="center"/>
    </xf>
    <xf numFmtId="0" fontId="21" fillId="0" borderId="11" xfId="0" applyFont="1" applyBorder="1"/>
    <xf numFmtId="0" fontId="21" fillId="0" borderId="22" xfId="0" applyFont="1" applyBorder="1"/>
    <xf numFmtId="0" fontId="21" fillId="0" borderId="22" xfId="0" applyFont="1" applyBorder="1" applyAlignment="1">
      <alignment horizontal="center"/>
    </xf>
    <xf numFmtId="0" fontId="22" fillId="0" borderId="14" xfId="0" applyFont="1" applyBorder="1"/>
    <xf numFmtId="0" fontId="22" fillId="0" borderId="13" xfId="0" applyFont="1" applyBorder="1"/>
    <xf numFmtId="0" fontId="0" fillId="0" borderId="0" xfId="0" applyFill="1" applyBorder="1"/>
    <xf numFmtId="0" fontId="22" fillId="0" borderId="16" xfId="0" applyFont="1" applyFill="1" applyBorder="1"/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right"/>
    </xf>
    <xf numFmtId="3" fontId="18" fillId="0" borderId="0" xfId="0" applyNumberFormat="1" applyFont="1" applyBorder="1"/>
    <xf numFmtId="3" fontId="12" fillId="0" borderId="20" xfId="0" applyNumberFormat="1" applyFont="1" applyBorder="1"/>
    <xf numFmtId="3" fontId="12" fillId="0" borderId="24" xfId="0" applyNumberFormat="1" applyFont="1" applyFill="1" applyBorder="1"/>
    <xf numFmtId="3" fontId="12" fillId="0" borderId="20" xfId="0" applyNumberFormat="1" applyFont="1" applyFill="1" applyBorder="1"/>
    <xf numFmtId="3" fontId="12" fillId="0" borderId="20" xfId="33" applyNumberFormat="1" applyFont="1" applyBorder="1" applyAlignment="1"/>
    <xf numFmtId="0" fontId="25" fillId="0" borderId="13" xfId="0" applyFont="1" applyBorder="1"/>
    <xf numFmtId="3" fontId="24" fillId="0" borderId="0" xfId="0" applyNumberFormat="1" applyFont="1" applyBorder="1"/>
    <xf numFmtId="3" fontId="25" fillId="0" borderId="20" xfId="0" applyNumberFormat="1" applyFont="1" applyBorder="1"/>
    <xf numFmtId="0" fontId="24" fillId="0" borderId="13" xfId="0" applyFont="1" applyBorder="1"/>
    <xf numFmtId="3" fontId="12" fillId="24" borderId="21" xfId="0" applyNumberFormat="1" applyFont="1" applyFill="1" applyBorder="1"/>
    <xf numFmtId="3" fontId="12" fillId="0" borderId="20" xfId="34" applyNumberFormat="1" applyFont="1" applyBorder="1" applyAlignment="1"/>
    <xf numFmtId="3" fontId="12" fillId="24" borderId="21" xfId="34" applyNumberFormat="1" applyFont="1" applyFill="1" applyBorder="1" applyAlignment="1"/>
    <xf numFmtId="3" fontId="12" fillId="0" borderId="24" xfId="34" applyNumberFormat="1" applyFont="1" applyFill="1" applyBorder="1" applyAlignment="1"/>
    <xf numFmtId="3" fontId="12" fillId="0" borderId="20" xfId="34" applyNumberFormat="1" applyFont="1" applyFill="1" applyBorder="1" applyAlignment="1"/>
    <xf numFmtId="3" fontId="12" fillId="0" borderId="25" xfId="34" applyNumberFormat="1" applyFont="1" applyFill="1" applyBorder="1" applyAlignment="1"/>
    <xf numFmtId="3" fontId="12" fillId="24" borderId="24" xfId="34" applyNumberFormat="1" applyFont="1" applyFill="1" applyBorder="1" applyAlignment="1"/>
    <xf numFmtId="3" fontId="12" fillId="24" borderId="0" xfId="0" applyNumberFormat="1" applyFont="1" applyFill="1" applyBorder="1" applyAlignment="1">
      <alignment horizontal="right"/>
    </xf>
    <xf numFmtId="3" fontId="12" fillId="24" borderId="0" xfId="0" applyNumberFormat="1" applyFont="1" applyFill="1" applyBorder="1"/>
    <xf numFmtId="3" fontId="12" fillId="24" borderId="20" xfId="0" applyNumberFormat="1" applyFont="1" applyFill="1" applyBorder="1"/>
    <xf numFmtId="3" fontId="12" fillId="0" borderId="25" xfId="0" applyNumberFormat="1" applyFont="1" applyFill="1" applyBorder="1"/>
    <xf numFmtId="3" fontId="12" fillId="25" borderId="35" xfId="0" applyNumberFormat="1" applyFont="1" applyFill="1" applyBorder="1"/>
    <xf numFmtId="0" fontId="53" fillId="0" borderId="0" xfId="47" applyFont="1" applyBorder="1"/>
    <xf numFmtId="3" fontId="10" fillId="0" borderId="0" xfId="47" applyNumberFormat="1" applyBorder="1"/>
    <xf numFmtId="3" fontId="52" fillId="0" borderId="0" xfId="47" applyNumberFormat="1" applyFont="1" applyBorder="1"/>
    <xf numFmtId="0" fontId="53" fillId="0" borderId="0" xfId="47" applyNumberFormat="1" applyFont="1" applyFill="1" applyBorder="1" applyAlignment="1"/>
    <xf numFmtId="0" fontId="10" fillId="0" borderId="0" xfId="47" applyBorder="1" applyAlignment="1">
      <alignment horizontal="center"/>
    </xf>
    <xf numFmtId="0" fontId="10" fillId="26" borderId="18" xfId="47" applyFill="1" applyBorder="1"/>
    <xf numFmtId="0" fontId="10" fillId="26" borderId="0" xfId="47" applyFill="1" applyBorder="1"/>
    <xf numFmtId="0" fontId="10" fillId="0" borderId="18" xfId="47" applyFill="1" applyBorder="1"/>
    <xf numFmtId="3" fontId="10" fillId="0" borderId="18" xfId="47" applyNumberFormat="1" applyFill="1" applyBorder="1" applyAlignment="1">
      <alignment horizontal="center"/>
    </xf>
    <xf numFmtId="3" fontId="10" fillId="0" borderId="0" xfId="47" applyNumberFormat="1" applyFill="1" applyBorder="1" applyAlignment="1">
      <alignment horizontal="center"/>
    </xf>
    <xf numFmtId="0" fontId="10" fillId="0" borderId="0" xfId="47" applyFill="1" applyBorder="1"/>
    <xf numFmtId="0" fontId="7" fillId="0" borderId="0" xfId="47" applyFont="1" applyFill="1" applyBorder="1"/>
    <xf numFmtId="0" fontId="8" fillId="0" borderId="0" xfId="47" applyFont="1" applyFill="1" applyBorder="1"/>
    <xf numFmtId="3" fontId="8" fillId="0" borderId="0" xfId="47" applyNumberFormat="1" applyFont="1" applyFill="1" applyBorder="1" applyAlignment="1">
      <alignment horizontal="center"/>
    </xf>
    <xf numFmtId="0" fontId="52" fillId="0" borderId="16" xfId="47" applyFont="1" applyBorder="1" applyAlignment="1">
      <alignment horizontal="center"/>
    </xf>
    <xf numFmtId="0" fontId="22" fillId="0" borderId="0" xfId="37"/>
    <xf numFmtId="0" fontId="21" fillId="0" borderId="0" xfId="37" applyFont="1"/>
    <xf numFmtId="0" fontId="13" fillId="0" borderId="0" xfId="37" applyFont="1"/>
    <xf numFmtId="0" fontId="58" fillId="0" borderId="0" xfId="37" applyFont="1"/>
    <xf numFmtId="0" fontId="59" fillId="0" borderId="0" xfId="37" applyFont="1"/>
    <xf numFmtId="0" fontId="22" fillId="0" borderId="0" xfId="37" applyFont="1"/>
    <xf numFmtId="0" fontId="57" fillId="0" borderId="0" xfId="48" applyAlignment="1" applyProtection="1"/>
    <xf numFmtId="0" fontId="0" fillId="0" borderId="0" xfId="0" applyAlignment="1">
      <alignment wrapText="1"/>
    </xf>
    <xf numFmtId="0" fontId="57" fillId="0" borderId="0" xfId="48" applyAlignment="1" applyProtection="1">
      <alignment horizontal="right"/>
    </xf>
    <xf numFmtId="0" fontId="7" fillId="0" borderId="36" xfId="47" applyFont="1" applyFill="1" applyBorder="1"/>
    <xf numFmtId="0" fontId="9" fillId="0" borderId="36" xfId="47" applyFont="1" applyFill="1" applyBorder="1"/>
    <xf numFmtId="3" fontId="10" fillId="0" borderId="36" xfId="47" applyNumberFormat="1" applyFill="1" applyBorder="1" applyAlignment="1">
      <alignment horizontal="center"/>
    </xf>
    <xf numFmtId="0" fontId="10" fillId="0" borderId="16" xfId="47" applyBorder="1"/>
    <xf numFmtId="3" fontId="10" fillId="0" borderId="16" xfId="47" applyNumberFormat="1" applyBorder="1" applyAlignment="1">
      <alignment horizontal="center"/>
    </xf>
    <xf numFmtId="0" fontId="6" fillId="0" borderId="0" xfId="47" applyFont="1" applyFill="1" applyBorder="1"/>
    <xf numFmtId="0" fontId="60" fillId="0" borderId="0" xfId="0" applyFont="1" applyBorder="1"/>
    <xf numFmtId="3" fontId="21" fillId="27" borderId="32" xfId="0" applyNumberFormat="1" applyFont="1" applyFill="1" applyBorder="1" applyAlignment="1">
      <alignment horizontal="center"/>
    </xf>
    <xf numFmtId="3" fontId="21" fillId="27" borderId="33" xfId="0" applyNumberFormat="1" applyFont="1" applyFill="1" applyBorder="1" applyAlignment="1">
      <alignment horizontal="center"/>
    </xf>
    <xf numFmtId="3" fontId="21" fillId="28" borderId="33" xfId="0" applyNumberFormat="1" applyFont="1" applyFill="1" applyBorder="1" applyAlignment="1">
      <alignment horizontal="center"/>
    </xf>
    <xf numFmtId="0" fontId="10" fillId="0" borderId="37" xfId="47" applyBorder="1"/>
    <xf numFmtId="3" fontId="10" fillId="0" borderId="37" xfId="47" applyNumberFormat="1" applyBorder="1"/>
    <xf numFmtId="0" fontId="10" fillId="0" borderId="38" xfId="47" applyBorder="1"/>
    <xf numFmtId="3" fontId="10" fillId="0" borderId="38" xfId="47" applyNumberFormat="1" applyBorder="1"/>
    <xf numFmtId="0" fontId="10" fillId="0" borderId="39" xfId="47" applyBorder="1"/>
    <xf numFmtId="0" fontId="10" fillId="0" borderId="27" xfId="47" applyBorder="1"/>
    <xf numFmtId="0" fontId="10" fillId="0" borderId="40" xfId="47" applyBorder="1"/>
    <xf numFmtId="0" fontId="10" fillId="0" borderId="41" xfId="47" applyBorder="1"/>
    <xf numFmtId="3" fontId="10" fillId="0" borderId="41" xfId="47" applyNumberFormat="1" applyBorder="1"/>
    <xf numFmtId="0" fontId="10" fillId="29" borderId="42" xfId="47" applyFill="1" applyBorder="1"/>
    <xf numFmtId="0" fontId="10" fillId="29" borderId="45" xfId="47" applyFill="1" applyBorder="1"/>
    <xf numFmtId="0" fontId="10" fillId="29" borderId="47" xfId="47" applyFill="1" applyBorder="1"/>
    <xf numFmtId="0" fontId="10" fillId="0" borderId="49" xfId="47" applyBorder="1"/>
    <xf numFmtId="3" fontId="10" fillId="0" borderId="50" xfId="47" applyNumberFormat="1" applyBorder="1"/>
    <xf numFmtId="0" fontId="10" fillId="0" borderId="45" xfId="47" applyBorder="1"/>
    <xf numFmtId="3" fontId="10" fillId="0" borderId="46" xfId="47" applyNumberFormat="1" applyBorder="1"/>
    <xf numFmtId="0" fontId="10" fillId="0" borderId="51" xfId="47" applyBorder="1"/>
    <xf numFmtId="3" fontId="10" fillId="0" borderId="52" xfId="47" applyNumberFormat="1" applyBorder="1"/>
    <xf numFmtId="3" fontId="10" fillId="29" borderId="43" xfId="47" applyNumberFormat="1" applyFill="1" applyBorder="1"/>
    <xf numFmtId="3" fontId="10" fillId="29" borderId="44" xfId="47" applyNumberFormat="1" applyFill="1" applyBorder="1"/>
    <xf numFmtId="0" fontId="4" fillId="0" borderId="37" xfId="47" applyFont="1" applyBorder="1"/>
    <xf numFmtId="3" fontId="10" fillId="29" borderId="37" xfId="47" applyNumberFormat="1" applyFill="1" applyBorder="1"/>
    <xf numFmtId="0" fontId="10" fillId="29" borderId="53" xfId="47" applyFill="1" applyBorder="1"/>
    <xf numFmtId="0" fontId="10" fillId="29" borderId="54" xfId="47" applyFill="1" applyBorder="1"/>
    <xf numFmtId="3" fontId="10" fillId="29" borderId="42" xfId="47" applyNumberFormat="1" applyFill="1" applyBorder="1"/>
    <xf numFmtId="3" fontId="10" fillId="29" borderId="45" xfId="47" applyNumberFormat="1" applyFill="1" applyBorder="1"/>
    <xf numFmtId="3" fontId="10" fillId="29" borderId="46" xfId="47" applyNumberFormat="1" applyFill="1" applyBorder="1"/>
    <xf numFmtId="3" fontId="10" fillId="29" borderId="47" xfId="47" applyNumberFormat="1" applyFill="1" applyBorder="1"/>
    <xf numFmtId="3" fontId="10" fillId="29" borderId="48" xfId="47" applyNumberFormat="1" applyFill="1" applyBorder="1"/>
    <xf numFmtId="0" fontId="3" fillId="0" borderId="41" xfId="47" applyFont="1" applyBorder="1"/>
    <xf numFmtId="0" fontId="61" fillId="0" borderId="0" xfId="0" applyFont="1"/>
    <xf numFmtId="0" fontId="11" fillId="0" borderId="0" xfId="0" applyFont="1" applyFill="1" applyBorder="1"/>
    <xf numFmtId="0" fontId="11" fillId="0" borderId="16" xfId="0" applyFont="1" applyFill="1" applyBorder="1"/>
    <xf numFmtId="0" fontId="3" fillId="0" borderId="36" xfId="47" applyFont="1" applyFill="1" applyBorder="1"/>
    <xf numFmtId="0" fontId="3" fillId="0" borderId="0" xfId="47" applyFont="1" applyFill="1" applyBorder="1"/>
    <xf numFmtId="0" fontId="3" fillId="0" borderId="13" xfId="47" applyNumberFormat="1" applyFont="1" applyBorder="1" applyAlignment="1"/>
    <xf numFmtId="0" fontId="3" fillId="0" borderId="37" xfId="47" applyFont="1" applyBorder="1"/>
    <xf numFmtId="0" fontId="3" fillId="0" borderId="45" xfId="47" applyNumberFormat="1" applyFont="1" applyBorder="1" applyAlignment="1"/>
    <xf numFmtId="3" fontId="10" fillId="29" borderId="51" xfId="47" applyNumberFormat="1" applyFill="1" applyBorder="1"/>
    <xf numFmtId="0" fontId="3" fillId="29" borderId="57" xfId="47" applyFont="1" applyFill="1" applyBorder="1"/>
    <xf numFmtId="0" fontId="52" fillId="0" borderId="0" xfId="47" applyNumberFormat="1" applyFont="1" applyFill="1" applyBorder="1" applyAlignment="1"/>
    <xf numFmtId="0" fontId="10" fillId="29" borderId="58" xfId="47" applyFill="1" applyBorder="1"/>
    <xf numFmtId="0" fontId="10" fillId="29" borderId="59" xfId="47" applyFill="1" applyBorder="1"/>
    <xf numFmtId="0" fontId="10" fillId="29" borderId="56" xfId="47" applyFill="1" applyBorder="1"/>
    <xf numFmtId="0" fontId="10" fillId="29" borderId="60" xfId="47" applyFill="1" applyBorder="1"/>
    <xf numFmtId="0" fontId="10" fillId="29" borderId="61" xfId="47" applyFill="1" applyBorder="1"/>
    <xf numFmtId="3" fontId="10" fillId="29" borderId="62" xfId="47" applyNumberFormat="1" applyFill="1" applyBorder="1"/>
    <xf numFmtId="3" fontId="10" fillId="29" borderId="60" xfId="47" applyNumberFormat="1" applyFill="1" applyBorder="1"/>
    <xf numFmtId="3" fontId="10" fillId="29" borderId="63" xfId="47" applyNumberFormat="1" applyFill="1" applyBorder="1"/>
    <xf numFmtId="0" fontId="3" fillId="29" borderId="55" xfId="47" applyFont="1" applyFill="1" applyBorder="1"/>
    <xf numFmtId="0" fontId="3" fillId="29" borderId="51" xfId="47" applyFont="1" applyFill="1" applyBorder="1"/>
    <xf numFmtId="0" fontId="3" fillId="29" borderId="47" xfId="47" applyFont="1" applyFill="1" applyBorder="1"/>
    <xf numFmtId="0" fontId="11" fillId="0" borderId="13" xfId="0" applyFont="1" applyBorder="1"/>
    <xf numFmtId="0" fontId="11" fillId="0" borderId="0" xfId="0" applyFont="1"/>
    <xf numFmtId="3" fontId="11" fillId="0" borderId="0" xfId="0" applyNumberFormat="1" applyFont="1" applyAlignment="1">
      <alignment horizontal="center"/>
    </xf>
    <xf numFmtId="0" fontId="60" fillId="0" borderId="0" xfId="0" applyFont="1"/>
    <xf numFmtId="0" fontId="60" fillId="0" borderId="0" xfId="47" applyNumberFormat="1" applyFont="1" applyBorder="1" applyAlignment="1"/>
    <xf numFmtId="0" fontId="60" fillId="0" borderId="0" xfId="47" applyFont="1" applyBorder="1"/>
    <xf numFmtId="3" fontId="62" fillId="0" borderId="0" xfId="0" applyNumberFormat="1" applyFont="1" applyAlignment="1">
      <alignment horizontal="center"/>
    </xf>
    <xf numFmtId="0" fontId="11" fillId="26" borderId="17" xfId="0" applyFont="1" applyFill="1" applyBorder="1"/>
    <xf numFmtId="0" fontId="11" fillId="26" borderId="13" xfId="0" applyFont="1" applyFill="1" applyBorder="1"/>
    <xf numFmtId="0" fontId="11" fillId="26" borderId="14" xfId="0" applyFont="1" applyFill="1" applyBorder="1"/>
    <xf numFmtId="0" fontId="11" fillId="0" borderId="0" xfId="0" applyFont="1" applyBorder="1"/>
    <xf numFmtId="0" fontId="62" fillId="26" borderId="18" xfId="0" applyFont="1" applyFill="1" applyBorder="1"/>
    <xf numFmtId="3" fontId="62" fillId="26" borderId="18" xfId="0" applyNumberFormat="1" applyFont="1" applyFill="1" applyBorder="1" applyAlignment="1">
      <alignment horizontal="center"/>
    </xf>
    <xf numFmtId="0" fontId="62" fillId="26" borderId="0" xfId="0" applyFont="1" applyFill="1" applyBorder="1"/>
    <xf numFmtId="3" fontId="62" fillId="26" borderId="0" xfId="0" applyNumberFormat="1" applyFont="1" applyFill="1" applyBorder="1" applyAlignment="1">
      <alignment horizontal="center"/>
    </xf>
    <xf numFmtId="0" fontId="62" fillId="26" borderId="16" xfId="0" applyFont="1" applyFill="1" applyBorder="1"/>
    <xf numFmtId="3" fontId="62" fillId="26" borderId="16" xfId="0" applyNumberFormat="1" applyFont="1" applyFill="1" applyBorder="1" applyAlignment="1">
      <alignment horizontal="center"/>
    </xf>
    <xf numFmtId="3" fontId="62" fillId="26" borderId="25" xfId="0" applyNumberFormat="1" applyFont="1" applyFill="1" applyBorder="1" applyAlignment="1">
      <alignment horizontal="center"/>
    </xf>
    <xf numFmtId="3" fontId="60" fillId="0" borderId="0" xfId="47" applyNumberFormat="1" applyFont="1" applyBorder="1"/>
    <xf numFmtId="3" fontId="62" fillId="0" borderId="0" xfId="47" applyNumberFormat="1" applyFont="1" applyBorder="1"/>
    <xf numFmtId="0" fontId="60" fillId="0" borderId="0" xfId="47" applyNumberFormat="1" applyFont="1" applyFill="1" applyBorder="1" applyAlignment="1"/>
    <xf numFmtId="41" fontId="62" fillId="26" borderId="18" xfId="0" applyNumberFormat="1" applyFont="1" applyFill="1" applyBorder="1" applyAlignment="1">
      <alignment horizontal="center"/>
    </xf>
    <xf numFmtId="41" fontId="62" fillId="26" borderId="0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0" fillId="0" borderId="1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61" fillId="0" borderId="0" xfId="47" applyNumberFormat="1" applyFont="1" applyBorder="1" applyAlignment="1"/>
    <xf numFmtId="0" fontId="61" fillId="0" borderId="0" xfId="47" applyFont="1" applyBorder="1"/>
    <xf numFmtId="3" fontId="0" fillId="0" borderId="0" xfId="0" applyNumberFormat="1" applyFont="1" applyAlignment="1">
      <alignment horizontal="center"/>
    </xf>
    <xf numFmtId="3" fontId="63" fillId="0" borderId="0" xfId="0" applyNumberFormat="1" applyFont="1" applyAlignment="1">
      <alignment horizontal="center"/>
    </xf>
    <xf numFmtId="41" fontId="11" fillId="0" borderId="0" xfId="0" applyNumberFormat="1" applyFont="1" applyBorder="1" applyAlignment="1">
      <alignment horizontal="center"/>
    </xf>
    <xf numFmtId="41" fontId="11" fillId="0" borderId="0" xfId="0" applyNumberFormat="1" applyFont="1" applyAlignment="1">
      <alignment horizontal="center"/>
    </xf>
    <xf numFmtId="3" fontId="62" fillId="26" borderId="24" xfId="0" applyNumberFormat="1" applyFont="1" applyFill="1" applyBorder="1" applyAlignment="1">
      <alignment horizontal="center"/>
    </xf>
    <xf numFmtId="3" fontId="62" fillId="26" borderId="20" xfId="0" applyNumberFormat="1" applyFont="1" applyFill="1" applyBorder="1" applyAlignment="1">
      <alignment horizontal="center"/>
    </xf>
    <xf numFmtId="41" fontId="62" fillId="26" borderId="16" xfId="0" applyNumberFormat="1" applyFont="1" applyFill="1" applyBorder="1" applyAlignment="1">
      <alignment horizontal="center"/>
    </xf>
    <xf numFmtId="0" fontId="2" fillId="0" borderId="0" xfId="47" applyFont="1" applyFill="1" applyBorder="1"/>
    <xf numFmtId="0" fontId="55" fillId="0" borderId="0" xfId="37" applyFont="1" applyAlignment="1">
      <alignment horizontal="center"/>
    </xf>
    <xf numFmtId="0" fontId="56" fillId="0" borderId="0" xfId="37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6" fillId="0" borderId="0" xfId="0" quotePrefix="1" applyFont="1" applyBorder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 wrapText="1"/>
    </xf>
    <xf numFmtId="3" fontId="12" fillId="0" borderId="17" xfId="0" applyNumberFormat="1" applyFont="1" applyBorder="1" applyAlignment="1">
      <alignment horizontal="left" vertical="center"/>
    </xf>
    <xf numFmtId="3" fontId="12" fillId="0" borderId="18" xfId="0" applyNumberFormat="1" applyFont="1" applyBorder="1" applyAlignment="1">
      <alignment horizontal="left" vertical="center"/>
    </xf>
    <xf numFmtId="3" fontId="12" fillId="0" borderId="24" xfId="0" applyNumberFormat="1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2" fillId="0" borderId="17" xfId="0" applyFont="1" applyBorder="1" applyAlignment="1"/>
    <xf numFmtId="0" fontId="12" fillId="0" borderId="18" xfId="0" applyFont="1" applyBorder="1" applyAlignment="1"/>
    <xf numFmtId="0" fontId="12" fillId="0" borderId="19" xfId="0" applyFont="1" applyBorder="1" applyAlignment="1"/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3" fontId="12" fillId="0" borderId="17" xfId="0" applyNumberFormat="1" applyFont="1" applyBorder="1" applyAlignment="1">
      <alignment horizontal="left"/>
    </xf>
    <xf numFmtId="3" fontId="12" fillId="0" borderId="18" xfId="0" applyNumberFormat="1" applyFont="1" applyBorder="1" applyAlignment="1">
      <alignment horizontal="left"/>
    </xf>
    <xf numFmtId="3" fontId="12" fillId="0" borderId="19" xfId="0" applyNumberFormat="1" applyFont="1" applyBorder="1" applyAlignment="1">
      <alignment horizontal="left"/>
    </xf>
    <xf numFmtId="0" fontId="12" fillId="0" borderId="24" xfId="0" applyFont="1" applyBorder="1" applyAlignment="1"/>
    <xf numFmtId="3" fontId="12" fillId="0" borderId="24" xfId="0" applyNumberFormat="1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4" xfId="0" applyFont="1" applyFill="1" applyBorder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47" applyFont="1" applyAlignment="1">
      <alignment horizontal="center"/>
    </xf>
    <xf numFmtId="0" fontId="1" fillId="0" borderId="0" xfId="50"/>
    <xf numFmtId="0" fontId="64" fillId="0" borderId="0" xfId="50" applyFont="1" applyAlignment="1">
      <alignment horizontal="center"/>
    </xf>
    <xf numFmtId="3" fontId="1" fillId="0" borderId="0" xfId="50" applyNumberFormat="1"/>
    <xf numFmtId="0" fontId="1" fillId="0" borderId="0" xfId="50" applyBorder="1"/>
    <xf numFmtId="0" fontId="1" fillId="0" borderId="0" xfId="50" applyBorder="1" applyAlignment="1">
      <alignment horizontal="center"/>
    </xf>
    <xf numFmtId="0" fontId="52" fillId="0" borderId="0" xfId="50" applyFont="1" applyBorder="1" applyAlignment="1">
      <alignment horizontal="center"/>
    </xf>
    <xf numFmtId="0" fontId="1" fillId="0" borderId="18" xfId="50" applyFont="1" applyFill="1" applyBorder="1"/>
    <xf numFmtId="0" fontId="1" fillId="0" borderId="18" xfId="50" applyBorder="1"/>
    <xf numFmtId="3" fontId="1" fillId="0" borderId="0" xfId="50" applyNumberFormat="1" applyBorder="1" applyAlignment="1">
      <alignment horizontal="center"/>
    </xf>
    <xf numFmtId="3" fontId="1" fillId="0" borderId="18" xfId="50" applyNumberFormat="1" applyBorder="1" applyAlignment="1">
      <alignment horizontal="center"/>
    </xf>
    <xf numFmtId="3" fontId="52" fillId="0" borderId="0" xfId="50" applyNumberFormat="1" applyFont="1" applyBorder="1" applyAlignment="1">
      <alignment horizontal="center"/>
    </xf>
    <xf numFmtId="0" fontId="1" fillId="0" borderId="0" xfId="50" applyFill="1" applyBorder="1"/>
    <xf numFmtId="0" fontId="1" fillId="0" borderId="0" xfId="50" applyFont="1" applyFill="1" applyBorder="1"/>
    <xf numFmtId="3" fontId="1" fillId="0" borderId="0" xfId="50" applyNumberFormat="1" applyFill="1" applyBorder="1" applyAlignment="1">
      <alignment horizontal="center"/>
    </xf>
    <xf numFmtId="0" fontId="1" fillId="0" borderId="0" xfId="51" applyFont="1" applyBorder="1"/>
    <xf numFmtId="0" fontId="0" fillId="0" borderId="0" xfId="51" applyNumberFormat="1" applyFont="1" applyBorder="1" applyAlignment="1"/>
    <xf numFmtId="0" fontId="0" fillId="0" borderId="0" xfId="51" applyFont="1" applyBorder="1"/>
    <xf numFmtId="0" fontId="1" fillId="26" borderId="18" xfId="50" applyFill="1" applyBorder="1"/>
    <xf numFmtId="0" fontId="52" fillId="26" borderId="18" xfId="50" applyFont="1" applyFill="1" applyBorder="1"/>
    <xf numFmtId="3" fontId="52" fillId="26" borderId="18" xfId="50" applyNumberFormat="1" applyFont="1" applyFill="1" applyBorder="1" applyAlignment="1">
      <alignment horizontal="center"/>
    </xf>
    <xf numFmtId="0" fontId="1" fillId="26" borderId="0" xfId="50" applyFill="1" applyBorder="1"/>
    <xf numFmtId="0" fontId="52" fillId="26" borderId="0" xfId="50" applyFont="1" applyFill="1" applyBorder="1"/>
    <xf numFmtId="3" fontId="52" fillId="26" borderId="0" xfId="50" applyNumberFormat="1" applyFont="1" applyFill="1" applyBorder="1" applyAlignment="1">
      <alignment horizontal="center"/>
    </xf>
    <xf numFmtId="0" fontId="53" fillId="0" borderId="0" xfId="50" applyFont="1"/>
    <xf numFmtId="0" fontId="53" fillId="0" borderId="0" xfId="50" applyFont="1" applyFill="1"/>
  </cellXfs>
  <cellStyles count="5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48" builtinId="8"/>
    <cellStyle name="Incorrecto" xfId="32" builtinId="27" customBuiltin="1"/>
    <cellStyle name="Millares" xfId="33" builtinId="3"/>
    <cellStyle name="Millares 2" xfId="34"/>
    <cellStyle name="Millares 3" xfId="35"/>
    <cellStyle name="Neutral" xfId="36" builtinId="28" customBuiltin="1"/>
    <cellStyle name="Normal" xfId="0" builtinId="0"/>
    <cellStyle name="Normal 2" xfId="37"/>
    <cellStyle name="Normal 3" xfId="47"/>
    <cellStyle name="Normal 3 2" xfId="51"/>
    <cellStyle name="Normal 4" xfId="49"/>
    <cellStyle name="Normal 5" xfId="50"/>
    <cellStyle name="Notas" xfId="38" builtinId="10" customBuiltin="1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1" xfId="43"/>
    <cellStyle name="Título 2" xfId="44" builtinId="17" customBuiltin="1"/>
    <cellStyle name="Título 3" xfId="45" builtinId="18" customBuiltin="1"/>
    <cellStyle name="Total" xfId="46" builtinId="25" customBuiltin="1"/>
  </cellStyles>
  <dxfs count="8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  <border diagonalUp="0" diagonalDown="0" outline="0">
        <left style="medium">
          <color indexed="64"/>
        </left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la1" displayName="Tabla1" ref="A4:P28" totalsRowShown="0" tableBorderDxfId="79">
  <autoFilter ref="A4:P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sortState ref="A5:P20">
    <sortCondition ref="B3:B18"/>
    <sortCondition ref="A3:A18"/>
  </sortState>
  <tableColumns count="16">
    <tableColumn id="1" name="Servicio" totalsRowDxfId="78"/>
    <tableColumn id="2" name="Tipo de Servicio" totalsRowDxfId="77"/>
    <tableColumn id="3" name="Unidad/ Línea" totalsRowDxfId="76"/>
    <tableColumn id="4" name="Enero" dataDxfId="75" totalsRowDxfId="74"/>
    <tableColumn id="5" name="Febrero" dataDxfId="73" totalsRowDxfId="72"/>
    <tableColumn id="6" name="Marzo" dataDxfId="71" totalsRowDxfId="70"/>
    <tableColumn id="7" name="Abril" dataDxfId="69" totalsRowDxfId="68"/>
    <tableColumn id="8" name="Mayo" dataDxfId="67" totalsRowDxfId="66"/>
    <tableColumn id="9" name="Junio" dataDxfId="65" totalsRowDxfId="64"/>
    <tableColumn id="10" name="Julio" dataDxfId="63" totalsRowDxfId="62"/>
    <tableColumn id="11" name="Agosto" totalsRowDxfId="61"/>
    <tableColumn id="12" name="Septiembre" totalsRowDxfId="60"/>
    <tableColumn id="13" name="Octubre" totalsRowDxfId="59"/>
    <tableColumn id="14" name="Noviembre" totalsRowDxfId="58"/>
    <tableColumn id="15" name="Diciembre" totalsRowDxfId="57"/>
    <tableColumn id="16" name="Total" dataDxfId="56" totalsRowDxfId="55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id="2" name="Tabla13" displayName="Tabla13" ref="A4:P28" totalsRowShown="0" headerRowDxfId="54" dataDxfId="52" headerRowBorderDxfId="53" tableBorderDxfId="51">
  <autoFilter ref="A4:P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sortState ref="A5:P20">
    <sortCondition ref="B3:B18"/>
    <sortCondition ref="A3:A18"/>
  </sortState>
  <tableColumns count="16">
    <tableColumn id="1" name="Servicio" dataDxfId="50"/>
    <tableColumn id="2" name="Tipo de Servicio" dataDxfId="49"/>
    <tableColumn id="3" name="Unidad/ Línea" dataDxfId="48"/>
    <tableColumn id="4" name="Enero" dataDxfId="47"/>
    <tableColumn id="5" name="Febrero" dataDxfId="46"/>
    <tableColumn id="6" name="Marzo" dataDxfId="45"/>
    <tableColumn id="7" name="Abril" dataDxfId="44"/>
    <tableColumn id="8" name="Mayo" dataDxfId="43"/>
    <tableColumn id="9" name="Junio" dataDxfId="42"/>
    <tableColumn id="10" name="Julio" dataDxfId="41"/>
    <tableColumn id="11" name="Agosto" dataDxfId="40"/>
    <tableColumn id="12" name="Septiembre" dataDxfId="39"/>
    <tableColumn id="13" name="Octubre" dataDxfId="38"/>
    <tableColumn id="14" name="Noviembre" dataDxfId="37"/>
    <tableColumn id="15" name="Diciembre" dataDxfId="36"/>
    <tableColumn id="16" name="Total" dataDxfId="35">
      <calculatedColumnFormula>SUM(D5:O5)</calculatedColumnFormula>
    </tableColumn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id="3" name="Tabla14" displayName="Tabla14" ref="A4:P37" totalsRowShown="0" headerRowDxfId="34" dataDxfId="33" tableBorderDxfId="32">
  <tableColumns count="16">
    <tableColumn id="1" name="Servicio" dataDxfId="30" totalsRowDxfId="31"/>
    <tableColumn id="2" name="Tipo de Servicio" dataDxfId="28" totalsRowDxfId="29"/>
    <tableColumn id="3" name="Unidad/ Línea" dataDxfId="26" totalsRowDxfId="27"/>
    <tableColumn id="4" name="Enero" dataDxfId="24" totalsRowDxfId="25"/>
    <tableColumn id="5" name="Febrero" dataDxfId="22" totalsRowDxfId="23"/>
    <tableColumn id="6" name="Marzo" dataDxfId="20" totalsRowDxfId="21"/>
    <tableColumn id="7" name="Abril" dataDxfId="18" totalsRowDxfId="19"/>
    <tableColumn id="8" name="Mayo" dataDxfId="16" totalsRowDxfId="17"/>
    <tableColumn id="9" name="Junio" dataDxfId="14" totalsRowDxfId="15"/>
    <tableColumn id="10" name="Julio" dataDxfId="12" totalsRowDxfId="13"/>
    <tableColumn id="11" name="Agosto" dataDxfId="10" totalsRowDxfId="11"/>
    <tableColumn id="12" name="Septiembre" dataDxfId="8" totalsRowDxfId="9"/>
    <tableColumn id="13" name="Octubre" dataDxfId="6" totalsRowDxfId="7"/>
    <tableColumn id="14" name="Noviembre" dataDxfId="4" totalsRowDxfId="5"/>
    <tableColumn id="15" name="Diciembre" dataDxfId="2" totalsRowDxfId="3"/>
    <tableColumn id="16" name="Total" dataDxfId="0" totalsRowDxfId="1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30"/>
  <sheetViews>
    <sheetView showGridLines="0" showRowColHeaders="0" tabSelected="1" showRuler="0" view="pageLayout" topLeftCell="A4" zoomScaleNormal="100" zoomScaleSheetLayoutView="100" workbookViewId="0">
      <selection activeCell="K17" sqref="K17"/>
    </sheetView>
  </sheetViews>
  <sheetFormatPr baseColWidth="10" defaultRowHeight="12.75" x14ac:dyDescent="0.2"/>
  <cols>
    <col min="1" max="16384" width="11.42578125" style="307"/>
  </cols>
  <sheetData>
    <row r="5" spans="2:9" ht="23.25" x14ac:dyDescent="0.35">
      <c r="B5" s="415" t="s">
        <v>379</v>
      </c>
      <c r="C5" s="415"/>
      <c r="D5" s="415"/>
      <c r="E5" s="415"/>
      <c r="F5" s="415"/>
      <c r="G5" s="415"/>
      <c r="H5" s="415"/>
      <c r="I5" s="415"/>
    </row>
    <row r="6" spans="2:9" ht="18" x14ac:dyDescent="0.25">
      <c r="B6" s="416"/>
      <c r="C6" s="416"/>
      <c r="D6" s="416"/>
      <c r="E6" s="416"/>
      <c r="F6" s="416"/>
      <c r="G6" s="416"/>
      <c r="H6" s="416"/>
      <c r="I6" s="416"/>
    </row>
    <row r="9" spans="2:9" x14ac:dyDescent="0.2">
      <c r="B9" s="308" t="s">
        <v>374</v>
      </c>
    </row>
    <row r="10" spans="2:9" x14ac:dyDescent="0.2">
      <c r="B10" s="309"/>
      <c r="C10" s="309"/>
      <c r="D10" s="309"/>
      <c r="E10" s="309"/>
      <c r="F10" s="309"/>
      <c r="G10" s="309"/>
      <c r="H10" s="309"/>
    </row>
    <row r="11" spans="2:9" ht="12.75" customHeight="1" x14ac:dyDescent="0.2">
      <c r="B11" s="315" t="s">
        <v>380</v>
      </c>
      <c r="C11" s="313">
        <v>2013</v>
      </c>
      <c r="D11" s="313">
        <v>2020</v>
      </c>
      <c r="E11" s="314"/>
      <c r="F11" s="314"/>
      <c r="G11" s="314"/>
      <c r="H11" s="314"/>
    </row>
    <row r="12" spans="2:9" x14ac:dyDescent="0.2">
      <c r="B12" s="313">
        <v>2007</v>
      </c>
      <c r="C12" s="313">
        <v>2014</v>
      </c>
      <c r="D12" s="313">
        <v>2021</v>
      </c>
    </row>
    <row r="13" spans="2:9" x14ac:dyDescent="0.2">
      <c r="B13" s="313">
        <v>2008</v>
      </c>
      <c r="C13" s="313">
        <v>2015</v>
      </c>
      <c r="D13" s="313">
        <v>2022</v>
      </c>
    </row>
    <row r="14" spans="2:9" x14ac:dyDescent="0.2">
      <c r="B14" s="313">
        <v>2009</v>
      </c>
      <c r="C14" s="313">
        <v>2016</v>
      </c>
    </row>
    <row r="15" spans="2:9" x14ac:dyDescent="0.2">
      <c r="B15" s="313">
        <v>2010</v>
      </c>
      <c r="C15" s="313">
        <v>2017</v>
      </c>
    </row>
    <row r="16" spans="2:9" x14ac:dyDescent="0.2">
      <c r="B16" s="313">
        <v>2011</v>
      </c>
      <c r="C16" s="313">
        <v>2018</v>
      </c>
    </row>
    <row r="17" spans="2:5" x14ac:dyDescent="0.2">
      <c r="B17" s="313">
        <v>2012</v>
      </c>
      <c r="C17" s="313">
        <v>2019</v>
      </c>
    </row>
    <row r="20" spans="2:5" x14ac:dyDescent="0.2">
      <c r="B20" s="307" t="s">
        <v>375</v>
      </c>
    </row>
    <row r="23" spans="2:5" ht="18" x14ac:dyDescent="0.25">
      <c r="B23" s="310" t="s">
        <v>376</v>
      </c>
      <c r="C23" s="310"/>
      <c r="D23" s="310"/>
      <c r="E23" s="310"/>
    </row>
    <row r="24" spans="2:5" ht="15.75" x14ac:dyDescent="0.25">
      <c r="B24" s="311" t="s">
        <v>377</v>
      </c>
    </row>
    <row r="25" spans="2:5" x14ac:dyDescent="0.2">
      <c r="B25" s="308" t="s">
        <v>378</v>
      </c>
    </row>
    <row r="28" spans="2:5" x14ac:dyDescent="0.2">
      <c r="B28" s="312"/>
    </row>
    <row r="29" spans="2:5" x14ac:dyDescent="0.2">
      <c r="B29" s="312"/>
    </row>
    <row r="30" spans="2:5" x14ac:dyDescent="0.2">
      <c r="B30" s="313"/>
    </row>
  </sheetData>
  <mergeCells count="2">
    <mergeCell ref="B5:I5"/>
    <mergeCell ref="B6:I6"/>
  </mergeCells>
  <hyperlinks>
    <hyperlink ref="B11" location="'Pax desde 1994 hasta 2006'!Área_de_impresión" display="1994 - 2006"/>
    <hyperlink ref="B12" location="'Pax 2007'!Área_de_impresión" display="'Pax 2007'!Área_de_impresión"/>
    <hyperlink ref="B13" location="'Pax 2008'!Área_de_impresión" display="'Pax 2008'!Área_de_impresión"/>
    <hyperlink ref="B14" location="'Pax 2009'!Área_de_impresión" display="'Pax 2009'!Área_de_impresión"/>
    <hyperlink ref="B15" location="'Pax 2010'!Área_de_impresión" display="'Pax 2010'!Área_de_impresión"/>
    <hyperlink ref="B16" location="'Pax 2011'!Área_de_impresión" display="'Pax 2011'!Área_de_impresión"/>
    <hyperlink ref="B17" location="'Pax 2012'!Área_de_impresión" display="'Pax 2012'!Área_de_impresión"/>
    <hyperlink ref="C11" location="'Pax 2013'!Área_de_impresión" display="'Pax 2013'!Área_de_impresión"/>
    <hyperlink ref="C12" location="'Pax 2014'!Área_de_impresión" display="'Pax 2014'!Área_de_impresión"/>
    <hyperlink ref="C13" location="'Pax 2015'!Área_de_impresión" display="'Pax 2015'!Área_de_impresión"/>
    <hyperlink ref="C14" location="'Pax 2016'!Área_de_impresión" display="'Pax 2016'!Área_de_impresión"/>
    <hyperlink ref="C15" location="'Pax 2017'!Área_de_impresión" display="'Pax 2017'!Área_de_impresión"/>
    <hyperlink ref="C17" location="'Pax 2019'!Área_de_impresión" display="'Pax 2019'!Área_de_impresión"/>
    <hyperlink ref="C16" location="'Pax 2018'!Área_de_impresión" display="'Pax 2018'!Área_de_impresión"/>
    <hyperlink ref="D11" location="'Pax 2020'!Área_de_impresión" display="'Pax 2020'!Área_de_impresión"/>
    <hyperlink ref="D12" location="'Pax 2021'!A1" display="'Pax 2021'!A1"/>
    <hyperlink ref="D13" location="'Pax 2022'!Área_de_impresión" display="'Pax 2022'!Área_de_impresión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3"/>
  <sheetViews>
    <sheetView showGridLines="0" showRowColHeaders="0" showRuler="0" view="pageLayout" topLeftCell="E22" zoomScaleNormal="100" zoomScaleSheetLayoutView="100" workbookViewId="0">
      <selection activeCell="O45" sqref="N45:O45"/>
    </sheetView>
  </sheetViews>
  <sheetFormatPr baseColWidth="10" defaultRowHeight="11.25" x14ac:dyDescent="0.2"/>
  <cols>
    <col min="1" max="1" width="60" style="4" customWidth="1"/>
    <col min="2" max="8" width="9.7109375" style="5" customWidth="1"/>
    <col min="9" max="9" width="9.7109375" style="7" customWidth="1"/>
    <col min="10" max="13" width="9.7109375" style="5" customWidth="1"/>
    <col min="14" max="14" width="8.7109375" style="4" customWidth="1"/>
    <col min="15" max="16384" width="11.42578125" style="5"/>
  </cols>
  <sheetData>
    <row r="2" spans="1:18" s="2" customFormat="1" x14ac:dyDescent="0.2">
      <c r="A2" s="1"/>
      <c r="I2" s="3"/>
      <c r="N2" s="1"/>
    </row>
    <row r="3" spans="1:18" x14ac:dyDescent="0.2">
      <c r="G3" s="6"/>
    </row>
    <row r="4" spans="1:18" s="2" customFormat="1" ht="12.75" x14ac:dyDescent="0.2">
      <c r="A4" s="434" t="s">
        <v>241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</row>
    <row r="5" spans="1:18" ht="12" thickBot="1" x14ac:dyDescent="0.25">
      <c r="G5" s="6"/>
    </row>
    <row r="6" spans="1:18" s="11" customFormat="1" ht="12" thickBot="1" x14ac:dyDescent="0.25">
      <c r="A6" s="9" t="s">
        <v>0</v>
      </c>
      <c r="B6" s="186" t="s">
        <v>1</v>
      </c>
      <c r="C6" s="186" t="s">
        <v>2</v>
      </c>
      <c r="D6" s="186" t="s">
        <v>3</v>
      </c>
      <c r="E6" s="186" t="s">
        <v>4</v>
      </c>
      <c r="F6" s="186" t="s">
        <v>5</v>
      </c>
      <c r="G6" s="186" t="s">
        <v>6</v>
      </c>
      <c r="H6" s="186" t="s">
        <v>7</v>
      </c>
      <c r="I6" s="186" t="s">
        <v>8</v>
      </c>
      <c r="J6" s="186" t="s">
        <v>9</v>
      </c>
      <c r="K6" s="186" t="s">
        <v>10</v>
      </c>
      <c r="L6" s="186" t="s">
        <v>11</v>
      </c>
      <c r="M6" s="186" t="s">
        <v>12</v>
      </c>
      <c r="N6" s="187" t="s">
        <v>13</v>
      </c>
      <c r="O6" s="10"/>
      <c r="P6" s="10"/>
      <c r="Q6" s="10"/>
      <c r="R6" s="10"/>
    </row>
    <row r="7" spans="1:18" x14ac:dyDescent="0.2">
      <c r="A7" s="439" t="s">
        <v>242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1"/>
    </row>
    <row r="8" spans="1:18" x14ac:dyDescent="0.2">
      <c r="A8" s="14" t="s">
        <v>15</v>
      </c>
      <c r="B8" s="12">
        <v>27723</v>
      </c>
      <c r="C8" s="6">
        <v>30894</v>
      </c>
      <c r="D8" s="6">
        <v>27174</v>
      </c>
      <c r="E8" s="6">
        <v>30660</v>
      </c>
      <c r="F8" s="6">
        <v>38452</v>
      </c>
      <c r="G8" s="6">
        <v>40670</v>
      </c>
      <c r="H8" s="12">
        <v>40238</v>
      </c>
      <c r="I8" s="12">
        <v>34442</v>
      </c>
      <c r="J8" s="6">
        <v>41064</v>
      </c>
      <c r="K8" s="6">
        <v>39263</v>
      </c>
      <c r="L8" s="6">
        <v>34018</v>
      </c>
      <c r="M8" s="6">
        <v>33168</v>
      </c>
      <c r="N8" s="13">
        <f>SUM(B8:M8)</f>
        <v>417766</v>
      </c>
    </row>
    <row r="9" spans="1:18" x14ac:dyDescent="0.2">
      <c r="A9" s="14" t="s">
        <v>16</v>
      </c>
      <c r="B9" s="12">
        <v>8915</v>
      </c>
      <c r="C9" s="6">
        <v>11780</v>
      </c>
      <c r="D9" s="6">
        <v>13152</v>
      </c>
      <c r="E9" s="6">
        <v>11389</v>
      </c>
      <c r="F9" s="6">
        <v>13214</v>
      </c>
      <c r="G9" s="6">
        <v>14624</v>
      </c>
      <c r="H9" s="12">
        <v>13924</v>
      </c>
      <c r="I9" s="12">
        <v>13734</v>
      </c>
      <c r="J9" s="6">
        <v>13626</v>
      </c>
      <c r="K9" s="6">
        <v>9333</v>
      </c>
      <c r="L9" s="6">
        <v>8376</v>
      </c>
      <c r="M9" s="6">
        <v>7554</v>
      </c>
      <c r="N9" s="13">
        <f>SUM(B9:M9)</f>
        <v>139621</v>
      </c>
    </row>
    <row r="10" spans="1:18" ht="12" thickBot="1" x14ac:dyDescent="0.25">
      <c r="A10" s="14" t="s">
        <v>195</v>
      </c>
      <c r="B10" s="12">
        <v>5544</v>
      </c>
      <c r="C10" s="6">
        <v>6220</v>
      </c>
      <c r="D10" s="6">
        <v>7214</v>
      </c>
      <c r="E10" s="6">
        <v>7329</v>
      </c>
      <c r="F10" s="6">
        <v>7292</v>
      </c>
      <c r="G10" s="6">
        <v>5503</v>
      </c>
      <c r="H10" s="12">
        <v>5351</v>
      </c>
      <c r="I10" s="12">
        <v>5225</v>
      </c>
      <c r="J10" s="6">
        <v>6143</v>
      </c>
      <c r="K10" s="6">
        <v>5772</v>
      </c>
      <c r="L10" s="6">
        <v>5817</v>
      </c>
      <c r="M10" s="6">
        <v>7161</v>
      </c>
      <c r="N10" s="13">
        <f>SUM(B10:M10)</f>
        <v>74571</v>
      </c>
    </row>
    <row r="11" spans="1:18" s="11" customFormat="1" ht="12" thickBot="1" x14ac:dyDescent="0.25">
      <c r="A11" s="9" t="s">
        <v>243</v>
      </c>
      <c r="B11" s="188">
        <f t="shared" ref="B11:M11" si="0">SUM(B8:B10)</f>
        <v>42182</v>
      </c>
      <c r="C11" s="188">
        <f t="shared" si="0"/>
        <v>48894</v>
      </c>
      <c r="D11" s="188">
        <f t="shared" si="0"/>
        <v>47540</v>
      </c>
      <c r="E11" s="188">
        <f t="shared" si="0"/>
        <v>49378</v>
      </c>
      <c r="F11" s="188">
        <f t="shared" si="0"/>
        <v>58958</v>
      </c>
      <c r="G11" s="188">
        <f t="shared" si="0"/>
        <v>60797</v>
      </c>
      <c r="H11" s="188">
        <f t="shared" si="0"/>
        <v>59513</v>
      </c>
      <c r="I11" s="188">
        <f t="shared" si="0"/>
        <v>53401</v>
      </c>
      <c r="J11" s="188">
        <f t="shared" si="0"/>
        <v>60833</v>
      </c>
      <c r="K11" s="188">
        <f t="shared" si="0"/>
        <v>54368</v>
      </c>
      <c r="L11" s="188">
        <f t="shared" si="0"/>
        <v>48211</v>
      </c>
      <c r="M11" s="188">
        <f t="shared" si="0"/>
        <v>47883</v>
      </c>
      <c r="N11" s="189">
        <f>SUM(B11:M11)</f>
        <v>631958</v>
      </c>
    </row>
    <row r="12" spans="1:18" s="11" customFormat="1" x14ac:dyDescent="0.2">
      <c r="A12" s="448" t="s">
        <v>244</v>
      </c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50"/>
    </row>
    <row r="13" spans="1:18" s="11" customFormat="1" x14ac:dyDescent="0.2">
      <c r="A13" s="20" t="s">
        <v>245</v>
      </c>
      <c r="B13" s="6">
        <v>1607</v>
      </c>
      <c r="C13" s="6">
        <v>0</v>
      </c>
      <c r="D13" s="6">
        <v>0</v>
      </c>
      <c r="E13" s="6">
        <v>1073</v>
      </c>
      <c r="F13" s="6">
        <v>1233</v>
      </c>
      <c r="G13" s="6">
        <v>1023</v>
      </c>
      <c r="H13" s="6">
        <v>1116</v>
      </c>
      <c r="I13" s="12">
        <v>773</v>
      </c>
      <c r="J13" s="6">
        <v>774</v>
      </c>
      <c r="K13" s="6">
        <v>980</v>
      </c>
      <c r="L13" s="6">
        <v>828</v>
      </c>
      <c r="M13" s="6">
        <v>858</v>
      </c>
      <c r="N13" s="19">
        <f>SUM(B13:M13)</f>
        <v>10265</v>
      </c>
    </row>
    <row r="14" spans="1:18" s="11" customFormat="1" x14ac:dyDescent="0.2">
      <c r="A14" s="20" t="s">
        <v>246</v>
      </c>
      <c r="B14" s="22">
        <v>214</v>
      </c>
      <c r="C14" s="6">
        <v>662</v>
      </c>
      <c r="D14" s="6">
        <v>222</v>
      </c>
      <c r="E14" s="6">
        <v>41</v>
      </c>
      <c r="F14" s="6">
        <v>28</v>
      </c>
      <c r="G14" s="6">
        <v>335</v>
      </c>
      <c r="H14" s="6">
        <v>1528</v>
      </c>
      <c r="I14" s="12">
        <v>187</v>
      </c>
      <c r="J14" s="6">
        <v>782</v>
      </c>
      <c r="K14" s="6">
        <v>1980</v>
      </c>
      <c r="L14" s="6">
        <v>386</v>
      </c>
      <c r="M14" s="6">
        <v>272</v>
      </c>
      <c r="N14" s="19">
        <f>SUM(B14:M14)</f>
        <v>6637</v>
      </c>
    </row>
    <row r="15" spans="1:18" s="11" customFormat="1" x14ac:dyDescent="0.2">
      <c r="A15" s="20" t="s">
        <v>247</v>
      </c>
      <c r="B15" s="6">
        <v>3683</v>
      </c>
      <c r="C15" s="6">
        <v>4023</v>
      </c>
      <c r="D15" s="6">
        <v>3918</v>
      </c>
      <c r="E15" s="6">
        <v>4023</v>
      </c>
      <c r="F15" s="6">
        <v>3156</v>
      </c>
      <c r="G15" s="6">
        <v>3173</v>
      </c>
      <c r="H15" s="6">
        <v>3358</v>
      </c>
      <c r="I15" s="12">
        <v>3826</v>
      </c>
      <c r="J15" s="6">
        <v>2847</v>
      </c>
      <c r="K15" s="6">
        <v>4713</v>
      </c>
      <c r="L15" s="6">
        <v>3535</v>
      </c>
      <c r="M15" s="6">
        <v>3942</v>
      </c>
      <c r="N15" s="19">
        <f>SUM(B15:M15)</f>
        <v>44197</v>
      </c>
    </row>
    <row r="16" spans="1:18" s="11" customFormat="1" ht="12" thickBot="1" x14ac:dyDescent="0.25">
      <c r="A16" s="20" t="s">
        <v>248</v>
      </c>
      <c r="B16" s="6">
        <v>1528</v>
      </c>
      <c r="C16" s="6">
        <v>1597</v>
      </c>
      <c r="D16" s="6">
        <v>997</v>
      </c>
      <c r="E16" s="6">
        <v>1312</v>
      </c>
      <c r="F16" s="6">
        <v>1179</v>
      </c>
      <c r="G16" s="6">
        <v>1684</v>
      </c>
      <c r="H16" s="6">
        <v>1934</v>
      </c>
      <c r="I16" s="12">
        <v>1658</v>
      </c>
      <c r="J16" s="6">
        <v>1462</v>
      </c>
      <c r="K16" s="6">
        <v>1398</v>
      </c>
      <c r="L16" s="6">
        <v>1552</v>
      </c>
      <c r="M16" s="6">
        <v>1149</v>
      </c>
      <c r="N16" s="19">
        <f>SUM(B16:M16)</f>
        <v>17450</v>
      </c>
    </row>
    <row r="17" spans="1:14" s="11" customFormat="1" ht="12" thickBot="1" x14ac:dyDescent="0.25">
      <c r="A17" s="15" t="s">
        <v>249</v>
      </c>
      <c r="B17" s="188">
        <f t="shared" ref="B17:M17" si="1">SUM(B13:B16)</f>
        <v>7032</v>
      </c>
      <c r="C17" s="188">
        <f t="shared" si="1"/>
        <v>6282</v>
      </c>
      <c r="D17" s="188">
        <f t="shared" si="1"/>
        <v>5137</v>
      </c>
      <c r="E17" s="188">
        <f t="shared" si="1"/>
        <v>6449</v>
      </c>
      <c r="F17" s="188">
        <f t="shared" si="1"/>
        <v>5596</v>
      </c>
      <c r="G17" s="188">
        <f t="shared" si="1"/>
        <v>6215</v>
      </c>
      <c r="H17" s="188">
        <f t="shared" si="1"/>
        <v>7936</v>
      </c>
      <c r="I17" s="190">
        <f t="shared" si="1"/>
        <v>6444</v>
      </c>
      <c r="J17" s="188">
        <f t="shared" si="1"/>
        <v>5865</v>
      </c>
      <c r="K17" s="188">
        <f t="shared" si="1"/>
        <v>9071</v>
      </c>
      <c r="L17" s="188">
        <f t="shared" si="1"/>
        <v>6301</v>
      </c>
      <c r="M17" s="188">
        <f t="shared" si="1"/>
        <v>6221</v>
      </c>
      <c r="N17" s="191">
        <f>SUM(B17:M17)</f>
        <v>78549</v>
      </c>
    </row>
    <row r="18" spans="1:14" s="11" customFormat="1" x14ac:dyDescent="0.2">
      <c r="A18" s="192" t="s">
        <v>250</v>
      </c>
      <c r="B18" s="193"/>
      <c r="C18" s="193"/>
      <c r="D18" s="193"/>
      <c r="E18" s="193"/>
      <c r="F18" s="193"/>
      <c r="G18" s="193"/>
      <c r="H18" s="193"/>
      <c r="I18" s="47"/>
      <c r="J18" s="193"/>
      <c r="K18" s="193"/>
      <c r="L18" s="193"/>
      <c r="M18" s="193"/>
      <c r="N18" s="194"/>
    </row>
    <row r="19" spans="1:14" s="16" customFormat="1" x14ac:dyDescent="0.2">
      <c r="A19" s="50" t="s">
        <v>251</v>
      </c>
      <c r="B19" s="21">
        <v>1826</v>
      </c>
      <c r="C19" s="21">
        <v>1261</v>
      </c>
      <c r="D19" s="21">
        <v>927</v>
      </c>
      <c r="E19" s="21">
        <v>885</v>
      </c>
      <c r="F19" s="21">
        <v>0</v>
      </c>
      <c r="G19" s="21">
        <v>828</v>
      </c>
      <c r="H19" s="21">
        <v>1539</v>
      </c>
      <c r="I19" s="36">
        <v>1864</v>
      </c>
      <c r="J19" s="21">
        <v>934</v>
      </c>
      <c r="K19" s="21">
        <v>922</v>
      </c>
      <c r="L19" s="21">
        <v>1305</v>
      </c>
      <c r="M19" s="21">
        <v>1119</v>
      </c>
      <c r="N19" s="195">
        <f t="shared" ref="N19:N21" si="2">SUM(B19:M19)</f>
        <v>13410</v>
      </c>
    </row>
    <row r="20" spans="1:14" s="16" customFormat="1" x14ac:dyDescent="0.2">
      <c r="A20" s="50" t="s">
        <v>252</v>
      </c>
      <c r="B20" s="21">
        <v>3300</v>
      </c>
      <c r="C20" s="21">
        <v>2695</v>
      </c>
      <c r="D20" s="21">
        <v>2297</v>
      </c>
      <c r="E20" s="21">
        <v>2321</v>
      </c>
      <c r="F20" s="21">
        <v>2856</v>
      </c>
      <c r="G20" s="21">
        <v>2333</v>
      </c>
      <c r="H20" s="21">
        <v>2251</v>
      </c>
      <c r="I20" s="36">
        <v>2842</v>
      </c>
      <c r="J20" s="21">
        <v>2292</v>
      </c>
      <c r="K20" s="21">
        <v>3558</v>
      </c>
      <c r="L20" s="21">
        <v>4249</v>
      </c>
      <c r="M20" s="21">
        <v>5132</v>
      </c>
      <c r="N20" s="195">
        <f t="shared" si="2"/>
        <v>36126</v>
      </c>
    </row>
    <row r="21" spans="1:14" s="16" customFormat="1" ht="12" thickBot="1" x14ac:dyDescent="0.25">
      <c r="A21" s="196" t="s">
        <v>253</v>
      </c>
      <c r="B21" s="197"/>
      <c r="C21" s="197"/>
      <c r="D21" s="197"/>
      <c r="E21" s="197"/>
      <c r="F21" s="197"/>
      <c r="G21" s="197"/>
      <c r="H21" s="197"/>
      <c r="I21" s="198"/>
      <c r="J21" s="197"/>
      <c r="K21" s="197">
        <v>587</v>
      </c>
      <c r="L21" s="197">
        <v>705</v>
      </c>
      <c r="M21" s="197">
        <v>863</v>
      </c>
      <c r="N21" s="199">
        <f t="shared" si="2"/>
        <v>2155</v>
      </c>
    </row>
    <row r="22" spans="1:14" s="16" customFormat="1" ht="12" thickBot="1" x14ac:dyDescent="0.25">
      <c r="A22" s="15" t="s">
        <v>254</v>
      </c>
      <c r="B22" s="188">
        <f t="shared" ref="B22:M22" si="3">SUM(B19:B21)</f>
        <v>5126</v>
      </c>
      <c r="C22" s="188">
        <f t="shared" si="3"/>
        <v>3956</v>
      </c>
      <c r="D22" s="188">
        <f t="shared" si="3"/>
        <v>3224</v>
      </c>
      <c r="E22" s="188">
        <f t="shared" si="3"/>
        <v>3206</v>
      </c>
      <c r="F22" s="188">
        <f t="shared" si="3"/>
        <v>2856</v>
      </c>
      <c r="G22" s="188">
        <f t="shared" si="3"/>
        <v>3161</v>
      </c>
      <c r="H22" s="188">
        <f t="shared" si="3"/>
        <v>3790</v>
      </c>
      <c r="I22" s="188">
        <f t="shared" si="3"/>
        <v>4706</v>
      </c>
      <c r="J22" s="188">
        <f t="shared" si="3"/>
        <v>3226</v>
      </c>
      <c r="K22" s="188">
        <f t="shared" si="3"/>
        <v>5067</v>
      </c>
      <c r="L22" s="188">
        <f t="shared" si="3"/>
        <v>6259</v>
      </c>
      <c r="M22" s="188">
        <f t="shared" si="3"/>
        <v>7114</v>
      </c>
      <c r="N22" s="191">
        <f>SUM(B22:M22)</f>
        <v>51691</v>
      </c>
    </row>
    <row r="23" spans="1:14" s="16" customFormat="1" ht="12" thickBot="1" x14ac:dyDescent="0.25">
      <c r="A23" s="15" t="s">
        <v>255</v>
      </c>
      <c r="B23" s="188">
        <v>8455</v>
      </c>
      <c r="C23" s="188">
        <v>10120</v>
      </c>
      <c r="D23" s="188">
        <v>8934</v>
      </c>
      <c r="E23" s="188">
        <v>7827</v>
      </c>
      <c r="F23" s="188">
        <v>9452</v>
      </c>
      <c r="G23" s="188">
        <v>9090</v>
      </c>
      <c r="H23" s="188">
        <v>11531</v>
      </c>
      <c r="I23" s="190">
        <v>8815</v>
      </c>
      <c r="J23" s="188">
        <v>9649</v>
      </c>
      <c r="K23" s="188">
        <v>9889</v>
      </c>
      <c r="L23" s="188">
        <v>9020</v>
      </c>
      <c r="M23" s="188">
        <v>9482</v>
      </c>
      <c r="N23" s="191">
        <f>SUM(B23:M23)</f>
        <v>112264</v>
      </c>
    </row>
    <row r="24" spans="1:14" s="16" customFormat="1" ht="12" thickBot="1" x14ac:dyDescent="0.25">
      <c r="A24" s="15" t="s">
        <v>256</v>
      </c>
      <c r="B24" s="188">
        <v>0</v>
      </c>
      <c r="C24" s="188">
        <v>0</v>
      </c>
      <c r="D24" s="188">
        <v>0</v>
      </c>
      <c r="E24" s="188">
        <v>0</v>
      </c>
      <c r="F24" s="188">
        <v>0</v>
      </c>
      <c r="G24" s="188">
        <v>0</v>
      </c>
      <c r="H24" s="188">
        <v>0</v>
      </c>
      <c r="I24" s="190">
        <v>0</v>
      </c>
      <c r="J24" s="188">
        <v>0</v>
      </c>
      <c r="K24" s="188">
        <v>0</v>
      </c>
      <c r="L24" s="188">
        <v>0</v>
      </c>
      <c r="M24" s="188">
        <v>6346</v>
      </c>
      <c r="N24" s="191">
        <f>SUM(B24:M24)</f>
        <v>6346</v>
      </c>
    </row>
    <row r="25" spans="1:14" s="16" customFormat="1" x14ac:dyDescent="0.2">
      <c r="A25" s="442" t="s">
        <v>257</v>
      </c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4"/>
    </row>
    <row r="26" spans="1:14" s="16" customFormat="1" x14ac:dyDescent="0.2">
      <c r="A26" s="14" t="s">
        <v>258</v>
      </c>
      <c r="B26" s="6">
        <v>3726</v>
      </c>
      <c r="C26" s="6">
        <v>4148</v>
      </c>
      <c r="D26" s="6">
        <v>3442</v>
      </c>
      <c r="E26" s="6">
        <v>2733</v>
      </c>
      <c r="F26" s="6">
        <v>3199</v>
      </c>
      <c r="G26" s="6">
        <v>3157</v>
      </c>
      <c r="H26" s="6">
        <v>3671</v>
      </c>
      <c r="I26" s="12">
        <v>3495</v>
      </c>
      <c r="J26" s="6">
        <v>3332</v>
      </c>
      <c r="K26" s="6">
        <v>3389</v>
      </c>
      <c r="L26" s="6">
        <v>3250</v>
      </c>
      <c r="M26" s="6">
        <v>3621</v>
      </c>
      <c r="N26" s="13">
        <f t="shared" ref="N26:N29" si="4">SUM(B26:M26)</f>
        <v>41163</v>
      </c>
    </row>
    <row r="27" spans="1:14" s="16" customFormat="1" x14ac:dyDescent="0.2">
      <c r="A27" s="14" t="s">
        <v>259</v>
      </c>
      <c r="B27" s="6">
        <v>7221</v>
      </c>
      <c r="C27" s="6">
        <v>6157</v>
      </c>
      <c r="D27" s="6">
        <v>6546</v>
      </c>
      <c r="E27" s="6">
        <v>4339</v>
      </c>
      <c r="F27" s="6">
        <v>5101</v>
      </c>
      <c r="G27" s="6">
        <v>3845</v>
      </c>
      <c r="H27" s="6">
        <v>4427</v>
      </c>
      <c r="I27" s="12">
        <v>3674</v>
      </c>
      <c r="J27" s="6">
        <v>3623</v>
      </c>
      <c r="K27" s="6">
        <v>3772</v>
      </c>
      <c r="L27" s="6">
        <v>3458</v>
      </c>
      <c r="M27" s="6">
        <v>3978</v>
      </c>
      <c r="N27" s="13">
        <f t="shared" si="4"/>
        <v>56141</v>
      </c>
    </row>
    <row r="28" spans="1:14" s="16" customFormat="1" x14ac:dyDescent="0.2">
      <c r="A28" s="14" t="s">
        <v>260</v>
      </c>
      <c r="B28" s="12">
        <v>21410</v>
      </c>
      <c r="C28" s="6">
        <v>16608</v>
      </c>
      <c r="D28" s="6">
        <v>15985</v>
      </c>
      <c r="E28" s="6">
        <v>9209</v>
      </c>
      <c r="F28" s="6">
        <v>11133</v>
      </c>
      <c r="G28" s="6">
        <v>10368</v>
      </c>
      <c r="H28" s="6">
        <v>19400</v>
      </c>
      <c r="I28" s="12">
        <v>15337</v>
      </c>
      <c r="J28" s="6">
        <v>16287</v>
      </c>
      <c r="K28" s="6">
        <v>15673</v>
      </c>
      <c r="L28" s="6">
        <v>17637</v>
      </c>
      <c r="M28" s="6">
        <v>16955</v>
      </c>
      <c r="N28" s="13">
        <f t="shared" si="4"/>
        <v>186002</v>
      </c>
    </row>
    <row r="29" spans="1:14" s="16" customFormat="1" ht="12" thickBot="1" x14ac:dyDescent="0.25">
      <c r="A29" s="14" t="s">
        <v>261</v>
      </c>
      <c r="B29" s="12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12">
        <v>0</v>
      </c>
      <c r="J29" s="6">
        <v>0</v>
      </c>
      <c r="K29" s="6">
        <v>0</v>
      </c>
      <c r="L29" s="6">
        <v>0</v>
      </c>
      <c r="M29" s="6">
        <v>0</v>
      </c>
      <c r="N29" s="13">
        <f t="shared" si="4"/>
        <v>0</v>
      </c>
    </row>
    <row r="30" spans="1:14" s="16" customFormat="1" ht="12" thickBot="1" x14ac:dyDescent="0.25">
      <c r="A30" s="9" t="s">
        <v>262</v>
      </c>
      <c r="B30" s="190">
        <f t="shared" ref="B30:M30" si="5">SUM(B26:B29)</f>
        <v>32357</v>
      </c>
      <c r="C30" s="190">
        <f t="shared" si="5"/>
        <v>26913</v>
      </c>
      <c r="D30" s="190">
        <f t="shared" si="5"/>
        <v>25973</v>
      </c>
      <c r="E30" s="190">
        <f t="shared" si="5"/>
        <v>16281</v>
      </c>
      <c r="F30" s="190">
        <f t="shared" si="5"/>
        <v>19433</v>
      </c>
      <c r="G30" s="190">
        <f t="shared" si="5"/>
        <v>17370</v>
      </c>
      <c r="H30" s="190">
        <f t="shared" si="5"/>
        <v>27498</v>
      </c>
      <c r="I30" s="190">
        <f t="shared" si="5"/>
        <v>22506</v>
      </c>
      <c r="J30" s="190">
        <f t="shared" si="5"/>
        <v>23242</v>
      </c>
      <c r="K30" s="190">
        <f t="shared" si="5"/>
        <v>22834</v>
      </c>
      <c r="L30" s="190">
        <f t="shared" si="5"/>
        <v>24345</v>
      </c>
      <c r="M30" s="190">
        <f t="shared" si="5"/>
        <v>24554</v>
      </c>
      <c r="N30" s="189">
        <f>SUM(B30:M30)</f>
        <v>283306</v>
      </c>
    </row>
    <row r="31" spans="1:14" s="16" customFormat="1" ht="12" thickBot="1" x14ac:dyDescent="0.25">
      <c r="A31" s="200" t="s">
        <v>263</v>
      </c>
      <c r="B31" s="201">
        <v>20026</v>
      </c>
      <c r="C31" s="201">
        <v>17901</v>
      </c>
      <c r="D31" s="201">
        <v>11882</v>
      </c>
      <c r="E31" s="201">
        <v>10207</v>
      </c>
      <c r="F31" s="201">
        <v>7798</v>
      </c>
      <c r="G31" s="201">
        <v>4640</v>
      </c>
      <c r="H31" s="201">
        <v>8204</v>
      </c>
      <c r="I31" s="202">
        <v>5629</v>
      </c>
      <c r="J31" s="201">
        <v>5320</v>
      </c>
      <c r="K31" s="201">
        <v>4861</v>
      </c>
      <c r="L31" s="201">
        <v>5875</v>
      </c>
      <c r="M31" s="201">
        <v>4862</v>
      </c>
      <c r="N31" s="203">
        <f>SUM(B31:M31)</f>
        <v>107205</v>
      </c>
    </row>
    <row r="32" spans="1:14" x14ac:dyDescent="0.2">
      <c r="A32" s="442" t="s">
        <v>18</v>
      </c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4"/>
    </row>
    <row r="33" spans="1:14" x14ac:dyDescent="0.2">
      <c r="A33" s="14" t="s">
        <v>264</v>
      </c>
      <c r="B33" s="6">
        <v>10799</v>
      </c>
      <c r="C33" s="6">
        <v>9982</v>
      </c>
      <c r="D33" s="6">
        <v>9167</v>
      </c>
      <c r="E33" s="6">
        <v>7250</v>
      </c>
      <c r="F33" s="6">
        <v>5567</v>
      </c>
      <c r="G33" s="6">
        <v>5009</v>
      </c>
      <c r="H33" s="6">
        <v>6104</v>
      </c>
      <c r="I33" s="17">
        <v>6458</v>
      </c>
      <c r="J33" s="6">
        <v>6495</v>
      </c>
      <c r="K33" s="6">
        <v>7870</v>
      </c>
      <c r="L33" s="6">
        <v>8936</v>
      </c>
      <c r="M33" s="6">
        <v>8046</v>
      </c>
      <c r="N33" s="13">
        <f t="shared" ref="N33:N40" si="6">SUM(B33:M33)</f>
        <v>91683</v>
      </c>
    </row>
    <row r="34" spans="1:14" x14ac:dyDescent="0.2">
      <c r="A34" s="14" t="s">
        <v>265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12">
        <v>0</v>
      </c>
      <c r="J34" s="6">
        <v>0</v>
      </c>
      <c r="K34" s="6">
        <v>0</v>
      </c>
      <c r="L34" s="6">
        <v>0</v>
      </c>
      <c r="M34" s="6">
        <v>0</v>
      </c>
      <c r="N34" s="13">
        <f t="shared" si="6"/>
        <v>0</v>
      </c>
    </row>
    <row r="35" spans="1:14" x14ac:dyDescent="0.2">
      <c r="A35" s="14" t="s">
        <v>266</v>
      </c>
      <c r="B35" s="6">
        <v>19329</v>
      </c>
      <c r="C35" s="6">
        <v>15871</v>
      </c>
      <c r="D35" s="6">
        <v>12628</v>
      </c>
      <c r="E35" s="6">
        <v>11192</v>
      </c>
      <c r="F35" s="6">
        <v>9683</v>
      </c>
      <c r="G35" s="6">
        <v>9291</v>
      </c>
      <c r="H35" s="6">
        <v>13721</v>
      </c>
      <c r="I35" s="12">
        <v>10280</v>
      </c>
      <c r="J35" s="6">
        <v>10198</v>
      </c>
      <c r="K35" s="6">
        <v>11965</v>
      </c>
      <c r="L35" s="6">
        <v>11472</v>
      </c>
      <c r="M35" s="6">
        <v>14507</v>
      </c>
      <c r="N35" s="13">
        <f t="shared" si="6"/>
        <v>150137</v>
      </c>
    </row>
    <row r="36" spans="1:14" x14ac:dyDescent="0.2">
      <c r="A36" s="14" t="s">
        <v>267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12">
        <v>0</v>
      </c>
      <c r="J36" s="6">
        <v>0</v>
      </c>
      <c r="K36" s="6">
        <v>43</v>
      </c>
      <c r="L36" s="6">
        <v>499</v>
      </c>
      <c r="M36" s="6">
        <v>809</v>
      </c>
      <c r="N36" s="13">
        <f t="shared" si="6"/>
        <v>1351</v>
      </c>
    </row>
    <row r="37" spans="1:14" x14ac:dyDescent="0.2">
      <c r="A37" s="14" t="s">
        <v>268</v>
      </c>
      <c r="B37" s="6">
        <v>2662</v>
      </c>
      <c r="C37" s="6">
        <v>2177</v>
      </c>
      <c r="D37" s="6">
        <v>1480</v>
      </c>
      <c r="E37" s="6">
        <v>1512</v>
      </c>
      <c r="F37" s="6">
        <v>1165</v>
      </c>
      <c r="G37" s="6">
        <v>1477</v>
      </c>
      <c r="H37" s="6">
        <v>2160</v>
      </c>
      <c r="I37" s="12">
        <v>2991</v>
      </c>
      <c r="J37" s="6">
        <v>2718</v>
      </c>
      <c r="K37" s="6">
        <v>2946</v>
      </c>
      <c r="L37" s="6">
        <v>3097</v>
      </c>
      <c r="M37" s="6">
        <v>2743</v>
      </c>
      <c r="N37" s="13">
        <f t="shared" si="6"/>
        <v>27128</v>
      </c>
    </row>
    <row r="38" spans="1:14" x14ac:dyDescent="0.2">
      <c r="A38" s="14" t="s">
        <v>269</v>
      </c>
      <c r="B38" s="6">
        <v>4586</v>
      </c>
      <c r="C38" s="6">
        <v>6059</v>
      </c>
      <c r="D38" s="6">
        <v>5612</v>
      </c>
      <c r="E38" s="6">
        <v>5302</v>
      </c>
      <c r="F38" s="6">
        <v>5147</v>
      </c>
      <c r="G38" s="6">
        <v>4869</v>
      </c>
      <c r="H38" s="6">
        <v>6619</v>
      </c>
      <c r="I38" s="12">
        <v>5953</v>
      </c>
      <c r="J38" s="6">
        <v>5951</v>
      </c>
      <c r="K38" s="6">
        <v>7183</v>
      </c>
      <c r="L38" s="6">
        <v>5382</v>
      </c>
      <c r="M38" s="6">
        <v>7095</v>
      </c>
      <c r="N38" s="13">
        <f t="shared" si="6"/>
        <v>69758</v>
      </c>
    </row>
    <row r="39" spans="1:14" x14ac:dyDescent="0.2">
      <c r="A39" s="14" t="s">
        <v>270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12">
        <v>0</v>
      </c>
      <c r="J39" s="6">
        <v>0</v>
      </c>
      <c r="K39" s="6">
        <v>0</v>
      </c>
      <c r="L39" s="6">
        <v>0</v>
      </c>
      <c r="M39" s="6">
        <v>0</v>
      </c>
      <c r="N39" s="13">
        <f t="shared" si="6"/>
        <v>0</v>
      </c>
    </row>
    <row r="40" spans="1:14" ht="12" thickBot="1" x14ac:dyDescent="0.25">
      <c r="A40" s="14" t="s">
        <v>271</v>
      </c>
      <c r="B40" s="6">
        <v>0</v>
      </c>
      <c r="C40" s="6">
        <v>313</v>
      </c>
      <c r="D40" s="6">
        <v>0</v>
      </c>
      <c r="E40" s="6">
        <v>74</v>
      </c>
      <c r="F40" s="6">
        <v>2675</v>
      </c>
      <c r="G40" s="6">
        <v>3173</v>
      </c>
      <c r="H40" s="6">
        <v>5062</v>
      </c>
      <c r="I40" s="12">
        <v>3784</v>
      </c>
      <c r="J40" s="6">
        <v>2918</v>
      </c>
      <c r="K40" s="6">
        <v>3549</v>
      </c>
      <c r="L40" s="6">
        <v>2847</v>
      </c>
      <c r="M40" s="6">
        <v>4765</v>
      </c>
      <c r="N40" s="13">
        <f t="shared" si="6"/>
        <v>29160</v>
      </c>
    </row>
    <row r="41" spans="1:14" s="11" customFormat="1" ht="12" thickBot="1" x14ac:dyDescent="0.25">
      <c r="A41" s="9" t="s">
        <v>272</v>
      </c>
      <c r="B41" s="188">
        <f t="shared" ref="B41:M41" si="7">SUM(B33:B40)</f>
        <v>37376</v>
      </c>
      <c r="C41" s="188">
        <f t="shared" si="7"/>
        <v>34402</v>
      </c>
      <c r="D41" s="188">
        <f t="shared" si="7"/>
        <v>28887</v>
      </c>
      <c r="E41" s="188">
        <f t="shared" si="7"/>
        <v>25330</v>
      </c>
      <c r="F41" s="188">
        <f t="shared" si="7"/>
        <v>24237</v>
      </c>
      <c r="G41" s="188">
        <f t="shared" si="7"/>
        <v>23819</v>
      </c>
      <c r="H41" s="188">
        <f t="shared" si="7"/>
        <v>33666</v>
      </c>
      <c r="I41" s="190">
        <f t="shared" si="7"/>
        <v>29466</v>
      </c>
      <c r="J41" s="188">
        <f t="shared" si="7"/>
        <v>28280</v>
      </c>
      <c r="K41" s="188">
        <f t="shared" si="7"/>
        <v>33556</v>
      </c>
      <c r="L41" s="188">
        <f t="shared" si="7"/>
        <v>32233</v>
      </c>
      <c r="M41" s="188">
        <f t="shared" si="7"/>
        <v>37965</v>
      </c>
      <c r="N41" s="189">
        <f>SUM(B41:M41)</f>
        <v>369217</v>
      </c>
    </row>
    <row r="42" spans="1:14" s="11" customFormat="1" ht="12.75" customHeight="1" x14ac:dyDescent="0.2">
      <c r="A42" s="445" t="s">
        <v>273</v>
      </c>
      <c r="B42" s="446"/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7"/>
    </row>
    <row r="43" spans="1:14" s="11" customFormat="1" x14ac:dyDescent="0.2">
      <c r="A43" s="35" t="s">
        <v>274</v>
      </c>
      <c r="B43" s="37">
        <v>7329</v>
      </c>
      <c r="C43" s="37">
        <v>4374</v>
      </c>
      <c r="D43" s="37">
        <v>1992</v>
      </c>
      <c r="E43" s="37">
        <v>1456</v>
      </c>
      <c r="F43" s="37">
        <v>719</v>
      </c>
      <c r="G43" s="37">
        <v>291</v>
      </c>
      <c r="H43" s="37">
        <v>2485</v>
      </c>
      <c r="I43" s="37">
        <v>681</v>
      </c>
      <c r="J43" s="37">
        <v>1345</v>
      </c>
      <c r="K43" s="37" t="s">
        <v>280</v>
      </c>
      <c r="L43" s="37" t="s">
        <v>280</v>
      </c>
      <c r="M43" s="37" t="s">
        <v>280</v>
      </c>
      <c r="N43" s="38">
        <f>SUM(B43:M43)</f>
        <v>20672</v>
      </c>
    </row>
    <row r="44" spans="1:14" s="11" customFormat="1" ht="12" thickBot="1" x14ac:dyDescent="0.25">
      <c r="A44" s="32" t="s">
        <v>361</v>
      </c>
      <c r="B44" s="34">
        <v>2386</v>
      </c>
      <c r="C44" s="34">
        <v>3089</v>
      </c>
      <c r="D44" s="34">
        <v>424</v>
      </c>
      <c r="E44" s="34">
        <v>150</v>
      </c>
      <c r="F44" s="34">
        <v>150</v>
      </c>
      <c r="G44" s="34">
        <v>0</v>
      </c>
      <c r="H44" s="34">
        <v>446</v>
      </c>
      <c r="I44" s="34">
        <v>55</v>
      </c>
      <c r="J44" s="34">
        <v>249</v>
      </c>
      <c r="K44" s="34">
        <v>588</v>
      </c>
      <c r="L44" s="34">
        <v>698</v>
      </c>
      <c r="M44" s="34">
        <v>360</v>
      </c>
      <c r="N44" s="33">
        <f>SUM(B44:M44)</f>
        <v>8595</v>
      </c>
    </row>
    <row r="45" spans="1:14" s="18" customFormat="1" ht="12" thickBot="1" x14ac:dyDescent="0.25">
      <c r="A45" s="9" t="s">
        <v>276</v>
      </c>
      <c r="B45" s="190">
        <f t="shared" ref="B45:M45" si="8">SUM(B43:B44)</f>
        <v>9715</v>
      </c>
      <c r="C45" s="190">
        <f t="shared" si="8"/>
        <v>7463</v>
      </c>
      <c r="D45" s="190">
        <f t="shared" si="8"/>
        <v>2416</v>
      </c>
      <c r="E45" s="190">
        <f t="shared" si="8"/>
        <v>1606</v>
      </c>
      <c r="F45" s="190">
        <f t="shared" si="8"/>
        <v>869</v>
      </c>
      <c r="G45" s="190">
        <f t="shared" si="8"/>
        <v>291</v>
      </c>
      <c r="H45" s="190">
        <f t="shared" si="8"/>
        <v>2931</v>
      </c>
      <c r="I45" s="190">
        <f t="shared" si="8"/>
        <v>736</v>
      </c>
      <c r="J45" s="190">
        <f t="shared" si="8"/>
        <v>1594</v>
      </c>
      <c r="K45" s="190">
        <f t="shared" si="8"/>
        <v>588</v>
      </c>
      <c r="L45" s="190">
        <f t="shared" si="8"/>
        <v>698</v>
      </c>
      <c r="M45" s="190">
        <f t="shared" si="8"/>
        <v>360</v>
      </c>
      <c r="N45" s="189">
        <f>SUM(B45:M45)</f>
        <v>29267</v>
      </c>
    </row>
    <row r="46" spans="1:14" s="21" customFormat="1" ht="12" thickBot="1" x14ac:dyDescent="0.25">
      <c r="A46" s="15" t="s">
        <v>277</v>
      </c>
      <c r="B46" s="188">
        <v>414</v>
      </c>
      <c r="C46" s="188">
        <v>1501</v>
      </c>
      <c r="D46" s="188">
        <v>1320</v>
      </c>
      <c r="E46" s="188">
        <v>165</v>
      </c>
      <c r="F46" s="188">
        <v>1179</v>
      </c>
      <c r="G46" s="188">
        <v>3258</v>
      </c>
      <c r="H46" s="188">
        <v>4802</v>
      </c>
      <c r="I46" s="190">
        <v>3297</v>
      </c>
      <c r="J46" s="188">
        <v>3158</v>
      </c>
      <c r="K46" s="188">
        <v>3896</v>
      </c>
      <c r="L46" s="188">
        <v>4305</v>
      </c>
      <c r="M46" s="188">
        <v>4272</v>
      </c>
      <c r="N46" s="191">
        <f>SUM(B46:M46)</f>
        <v>31567</v>
      </c>
    </row>
    <row r="47" spans="1:14" s="16" customFormat="1" ht="12" thickBot="1" x14ac:dyDescent="0.25">
      <c r="A47" s="15" t="s">
        <v>278</v>
      </c>
      <c r="B47" s="188">
        <v>0</v>
      </c>
      <c r="C47" s="188">
        <v>0</v>
      </c>
      <c r="D47" s="188">
        <v>296</v>
      </c>
      <c r="E47" s="188">
        <v>1360</v>
      </c>
      <c r="F47" s="188">
        <v>1378</v>
      </c>
      <c r="G47" s="188">
        <v>898</v>
      </c>
      <c r="H47" s="188">
        <v>0</v>
      </c>
      <c r="I47" s="190">
        <v>0</v>
      </c>
      <c r="J47" s="188">
        <v>0</v>
      </c>
      <c r="K47" s="188">
        <v>0</v>
      </c>
      <c r="L47" s="188">
        <v>0</v>
      </c>
      <c r="M47" s="188">
        <v>0</v>
      </c>
      <c r="N47" s="191">
        <f>SUM(B47:M47)</f>
        <v>3932</v>
      </c>
    </row>
    <row r="48" spans="1:14" s="23" customFormat="1" ht="13.5" thickTop="1" thickBot="1" x14ac:dyDescent="0.25">
      <c r="A48" s="206" t="s">
        <v>26</v>
      </c>
      <c r="B48" s="207">
        <f>B11+B17+B22+B23+B24+B30+B31+B41+B45+B46+B47</f>
        <v>162683</v>
      </c>
      <c r="C48" s="207">
        <f t="shared" ref="C48:N48" si="9">C11+C17+C22+C23+C24+C30+C31+C41+C45+C46+C47</f>
        <v>157432</v>
      </c>
      <c r="D48" s="207">
        <f t="shared" si="9"/>
        <v>135609</v>
      </c>
      <c r="E48" s="207">
        <f t="shared" si="9"/>
        <v>121809</v>
      </c>
      <c r="F48" s="207">
        <f t="shared" si="9"/>
        <v>131756</v>
      </c>
      <c r="G48" s="207">
        <f t="shared" si="9"/>
        <v>129539</v>
      </c>
      <c r="H48" s="207">
        <f t="shared" si="9"/>
        <v>159871</v>
      </c>
      <c r="I48" s="207">
        <f t="shared" si="9"/>
        <v>135000</v>
      </c>
      <c r="J48" s="207">
        <f t="shared" si="9"/>
        <v>141167</v>
      </c>
      <c r="K48" s="207">
        <f t="shared" si="9"/>
        <v>144130</v>
      </c>
      <c r="L48" s="207">
        <f t="shared" si="9"/>
        <v>137247</v>
      </c>
      <c r="M48" s="207">
        <f t="shared" si="9"/>
        <v>149059</v>
      </c>
      <c r="N48" s="207">
        <f t="shared" si="9"/>
        <v>1705302</v>
      </c>
    </row>
    <row r="49" spans="1:17" ht="12" thickTop="1" x14ac:dyDescent="0.2">
      <c r="A49" s="4" t="s">
        <v>362</v>
      </c>
      <c r="L49" s="24"/>
      <c r="N49" s="1"/>
      <c r="O49" s="6">
        <f>SUM(B48:M48)</f>
        <v>1705302</v>
      </c>
      <c r="P49" s="6"/>
      <c r="Q49" s="6"/>
    </row>
    <row r="50" spans="1:17" s="209" customFormat="1" ht="12" customHeight="1" x14ac:dyDescent="0.2">
      <c r="A50" s="208" t="s">
        <v>279</v>
      </c>
      <c r="I50" s="210"/>
      <c r="L50" s="211"/>
      <c r="N50" s="215"/>
      <c r="O50" s="211"/>
    </row>
    <row r="51" spans="1:17" s="209" customFormat="1" ht="12" customHeight="1" x14ac:dyDescent="0.2">
      <c r="A51" s="208"/>
      <c r="I51" s="210"/>
      <c r="N51" s="215">
        <f>+N48-N47-N46-N45</f>
        <v>1640536</v>
      </c>
      <c r="O51" s="211"/>
    </row>
    <row r="52" spans="1:17" s="209" customFormat="1" ht="12" customHeight="1" x14ac:dyDescent="0.2">
      <c r="A52" s="208"/>
      <c r="B52" s="208"/>
      <c r="C52" s="208"/>
      <c r="D52" s="208"/>
      <c r="E52" s="208"/>
      <c r="I52" s="210"/>
      <c r="N52" s="208"/>
    </row>
    <row r="53" spans="1:17" s="212" customFormat="1" ht="12" customHeight="1" x14ac:dyDescent="0.2">
      <c r="N53" s="213"/>
    </row>
    <row r="54" spans="1:17" s="212" customFormat="1" ht="12" customHeight="1" x14ac:dyDescent="0.2">
      <c r="A54" s="437"/>
      <c r="B54" s="437"/>
      <c r="C54" s="437"/>
      <c r="D54" s="437"/>
      <c r="E54" s="437"/>
      <c r="F54" s="437"/>
      <c r="G54" s="437"/>
      <c r="H54" s="437"/>
      <c r="I54" s="210"/>
      <c r="N54" s="213"/>
    </row>
    <row r="55" spans="1:17" s="143" customFormat="1" ht="12" customHeight="1" x14ac:dyDescent="0.2">
      <c r="A55" s="438"/>
      <c r="B55" s="438"/>
      <c r="C55" s="438"/>
      <c r="D55" s="438"/>
      <c r="E55" s="438"/>
      <c r="F55" s="438"/>
      <c r="G55" s="438"/>
      <c r="H55" s="438"/>
      <c r="I55" s="438"/>
      <c r="J55" s="438"/>
      <c r="K55" s="438"/>
      <c r="L55" s="438"/>
      <c r="M55" s="438"/>
      <c r="N55" s="438"/>
    </row>
    <row r="56" spans="1:17" s="143" customFormat="1" ht="12" customHeight="1" x14ac:dyDescent="0.2">
      <c r="A56" s="208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</row>
    <row r="57" spans="1:17" s="143" customFormat="1" ht="12" customHeight="1" x14ac:dyDescent="0.2">
      <c r="A57" s="208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</row>
    <row r="58" spans="1:17" s="143" customFormat="1" ht="12" customHeight="1" x14ac:dyDescent="0.2">
      <c r="A58" s="208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</row>
    <row r="59" spans="1:17" s="143" customFormat="1" ht="12" customHeight="1" x14ac:dyDescent="0.2">
      <c r="A59" s="436"/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214"/>
    </row>
    <row r="60" spans="1:17" s="143" customFormat="1" ht="12" customHeight="1" x14ac:dyDescent="0.2">
      <c r="A60" s="214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</row>
    <row r="61" spans="1:17" s="143" customFormat="1" ht="12" customHeight="1" x14ac:dyDescent="0.2">
      <c r="A61" s="208"/>
      <c r="I61" s="145"/>
      <c r="N61" s="142"/>
    </row>
    <row r="62" spans="1:17" s="143" customFormat="1" ht="12" customHeight="1" x14ac:dyDescent="0.2">
      <c r="A62" s="208"/>
      <c r="I62" s="145"/>
      <c r="N62" s="142"/>
    </row>
    <row r="63" spans="1:17" s="143" customFormat="1" ht="12" customHeight="1" x14ac:dyDescent="0.2">
      <c r="A63" s="208"/>
      <c r="I63" s="145"/>
      <c r="N63" s="142"/>
    </row>
    <row r="64" spans="1:17" s="143" customFormat="1" ht="12" customHeight="1" x14ac:dyDescent="0.2">
      <c r="A64" s="208"/>
      <c r="I64" s="145"/>
      <c r="N64" s="142"/>
    </row>
    <row r="65" spans="1:14" s="209" customFormat="1" ht="12" customHeight="1" x14ac:dyDescent="0.2">
      <c r="A65" s="208"/>
      <c r="I65" s="210"/>
      <c r="N65" s="208"/>
    </row>
    <row r="66" spans="1:14" s="143" customFormat="1" ht="12" customHeight="1" x14ac:dyDescent="0.2">
      <c r="A66" s="208"/>
      <c r="I66" s="145"/>
      <c r="N66" s="142"/>
    </row>
    <row r="67" spans="1:14" s="143" customFormat="1" ht="12" customHeight="1" x14ac:dyDescent="0.2">
      <c r="A67" s="208"/>
      <c r="I67" s="145"/>
      <c r="N67" s="142"/>
    </row>
    <row r="68" spans="1:14" s="143" customFormat="1" ht="12" customHeight="1" x14ac:dyDescent="0.2">
      <c r="A68" s="208"/>
      <c r="I68" s="145"/>
      <c r="N68" s="142"/>
    </row>
    <row r="69" spans="1:14" s="143" customFormat="1" ht="12" customHeight="1" x14ac:dyDescent="0.2">
      <c r="A69" s="208"/>
      <c r="I69" s="145"/>
      <c r="N69" s="142"/>
    </row>
    <row r="70" spans="1:14" s="143" customFormat="1" ht="12" customHeight="1" x14ac:dyDescent="0.2">
      <c r="A70" s="208"/>
      <c r="I70" s="145"/>
      <c r="N70" s="142"/>
    </row>
    <row r="71" spans="1:14" s="143" customFormat="1" ht="12" customHeight="1" x14ac:dyDescent="0.2">
      <c r="A71" s="208"/>
      <c r="I71" s="145"/>
      <c r="N71" s="142"/>
    </row>
    <row r="72" spans="1:14" s="143" customFormat="1" ht="12" customHeight="1" x14ac:dyDescent="0.2">
      <c r="A72" s="208"/>
      <c r="I72" s="145"/>
      <c r="N72" s="142"/>
    </row>
    <row r="73" spans="1:14" s="143" customFormat="1" ht="12" customHeight="1" x14ac:dyDescent="0.2">
      <c r="A73" s="208"/>
      <c r="I73" s="145"/>
      <c r="N73" s="142"/>
    </row>
  </sheetData>
  <mergeCells count="9">
    <mergeCell ref="A4:N4"/>
    <mergeCell ref="A59:N59"/>
    <mergeCell ref="A54:H54"/>
    <mergeCell ref="A55:N55"/>
    <mergeCell ref="A7:N7"/>
    <mergeCell ref="A32:N32"/>
    <mergeCell ref="A25:N25"/>
    <mergeCell ref="A42:N42"/>
    <mergeCell ref="A12:N12"/>
  </mergeCells>
  <phoneticPr fontId="0" type="noConversion"/>
  <pageMargins left="0.7" right="0.7" top="0.75" bottom="0.75" header="0.3" footer="0.3"/>
  <pageSetup paperSize="9" scale="68" orientation="landscape" r:id="rId1"/>
  <headerFooter alignWithMargins="0">
    <oddHeader>&amp;L&amp;G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R82"/>
  <sheetViews>
    <sheetView showGridLines="0" showRowColHeaders="0" showRuler="0" view="pageLayout" topLeftCell="E54" zoomScaleNormal="100" zoomScaleSheetLayoutView="100" workbookViewId="0">
      <selection activeCell="N56" sqref="N56"/>
    </sheetView>
  </sheetViews>
  <sheetFormatPr baseColWidth="10" defaultRowHeight="11.25" x14ac:dyDescent="0.2"/>
  <cols>
    <col min="1" max="1" width="60" style="4" customWidth="1"/>
    <col min="2" max="8" width="9.7109375" style="5" customWidth="1"/>
    <col min="9" max="9" width="9.7109375" style="7" customWidth="1"/>
    <col min="10" max="13" width="9.7109375" style="5" customWidth="1"/>
    <col min="14" max="14" width="18.5703125" style="4" customWidth="1"/>
    <col min="15" max="16384" width="11.42578125" style="5"/>
  </cols>
  <sheetData>
    <row r="4" spans="1:18" x14ac:dyDescent="0.2">
      <c r="G4" s="6"/>
    </row>
    <row r="5" spans="1:18" s="2" customFormat="1" ht="12.75" x14ac:dyDescent="0.2">
      <c r="A5" s="434" t="s">
        <v>283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</row>
    <row r="6" spans="1:18" ht="12" thickBot="1" x14ac:dyDescent="0.25">
      <c r="G6" s="6"/>
    </row>
    <row r="7" spans="1:18" s="11" customFormat="1" ht="12" thickBot="1" x14ac:dyDescent="0.25">
      <c r="A7" s="9" t="s">
        <v>0</v>
      </c>
      <c r="B7" s="186" t="s">
        <v>1</v>
      </c>
      <c r="C7" s="186" t="s">
        <v>2</v>
      </c>
      <c r="D7" s="186" t="s">
        <v>3</v>
      </c>
      <c r="E7" s="186" t="s">
        <v>4</v>
      </c>
      <c r="F7" s="186" t="s">
        <v>5</v>
      </c>
      <c r="G7" s="186" t="s">
        <v>6</v>
      </c>
      <c r="H7" s="186" t="s">
        <v>7</v>
      </c>
      <c r="I7" s="186" t="s">
        <v>8</v>
      </c>
      <c r="J7" s="186" t="s">
        <v>9</v>
      </c>
      <c r="K7" s="186" t="s">
        <v>10</v>
      </c>
      <c r="L7" s="186" t="s">
        <v>11</v>
      </c>
      <c r="M7" s="186" t="s">
        <v>12</v>
      </c>
      <c r="N7" s="187" t="s">
        <v>13</v>
      </c>
      <c r="O7" s="10"/>
      <c r="P7" s="10"/>
      <c r="Q7" s="10"/>
      <c r="R7" s="10"/>
    </row>
    <row r="8" spans="1:18" x14ac:dyDescent="0.2">
      <c r="A8" s="439" t="s">
        <v>242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1"/>
    </row>
    <row r="9" spans="1:18" x14ac:dyDescent="0.2">
      <c r="A9" s="14" t="s">
        <v>15</v>
      </c>
      <c r="B9" s="12">
        <v>25951</v>
      </c>
      <c r="C9" s="6">
        <v>26438</v>
      </c>
      <c r="D9" s="6">
        <v>24434</v>
      </c>
      <c r="E9" s="6">
        <v>26538</v>
      </c>
      <c r="F9" s="6">
        <v>26736</v>
      </c>
      <c r="G9" s="6">
        <v>14374</v>
      </c>
      <c r="H9" s="12">
        <v>12781</v>
      </c>
      <c r="I9" s="12">
        <v>12178</v>
      </c>
      <c r="J9" s="6">
        <v>13117</v>
      </c>
      <c r="K9" s="6">
        <v>15531</v>
      </c>
      <c r="L9" s="6">
        <v>20802</v>
      </c>
      <c r="M9" s="6">
        <v>14894</v>
      </c>
      <c r="N9" s="13">
        <f>SUM(B9:M9)</f>
        <v>233774</v>
      </c>
    </row>
    <row r="10" spans="1:18" x14ac:dyDescent="0.2">
      <c r="A10" s="14" t="s">
        <v>16</v>
      </c>
      <c r="B10" s="12">
        <v>10477</v>
      </c>
      <c r="C10" s="6">
        <v>11162</v>
      </c>
      <c r="D10" s="6">
        <v>11117</v>
      </c>
      <c r="E10" s="6">
        <v>13278</v>
      </c>
      <c r="F10" s="6">
        <v>12000</v>
      </c>
      <c r="G10" s="6">
        <v>10750</v>
      </c>
      <c r="H10" s="12">
        <v>12606</v>
      </c>
      <c r="I10" s="12">
        <v>6392</v>
      </c>
      <c r="J10" s="6">
        <v>11735</v>
      </c>
      <c r="K10" s="6">
        <v>11943</v>
      </c>
      <c r="L10" s="6">
        <v>11323</v>
      </c>
      <c r="M10" s="6">
        <v>12380</v>
      </c>
      <c r="N10" s="13">
        <f>SUM(B10:M10)</f>
        <v>135163</v>
      </c>
    </row>
    <row r="11" spans="1:18" ht="12" thickBot="1" x14ac:dyDescent="0.25">
      <c r="A11" s="14" t="s">
        <v>195</v>
      </c>
      <c r="B11" s="12">
        <v>6005</v>
      </c>
      <c r="C11" s="6">
        <v>5706</v>
      </c>
      <c r="D11" s="6">
        <v>6239</v>
      </c>
      <c r="E11" s="6">
        <v>6422</v>
      </c>
      <c r="F11" s="6">
        <v>6408</v>
      </c>
      <c r="G11" s="6">
        <v>5588</v>
      </c>
      <c r="H11" s="12">
        <v>5591</v>
      </c>
      <c r="I11" s="12">
        <v>11954</v>
      </c>
      <c r="J11" s="6">
        <v>4698</v>
      </c>
      <c r="K11" s="6">
        <v>6554</v>
      </c>
      <c r="L11" s="6">
        <v>6664</v>
      </c>
      <c r="M11" s="6">
        <v>7070</v>
      </c>
      <c r="N11" s="13">
        <f>SUM(B11:M11)</f>
        <v>78899</v>
      </c>
    </row>
    <row r="12" spans="1:18" s="11" customFormat="1" ht="12" thickBot="1" x14ac:dyDescent="0.25">
      <c r="A12" s="9" t="s">
        <v>243</v>
      </c>
      <c r="B12" s="188">
        <f t="shared" ref="B12:M12" si="0">SUM(B9:B11)</f>
        <v>42433</v>
      </c>
      <c r="C12" s="188">
        <f t="shared" si="0"/>
        <v>43306</v>
      </c>
      <c r="D12" s="188">
        <f t="shared" si="0"/>
        <v>41790</v>
      </c>
      <c r="E12" s="188">
        <f t="shared" si="0"/>
        <v>46238</v>
      </c>
      <c r="F12" s="188">
        <f t="shared" si="0"/>
        <v>45144</v>
      </c>
      <c r="G12" s="188">
        <f t="shared" si="0"/>
        <v>30712</v>
      </c>
      <c r="H12" s="188">
        <f t="shared" si="0"/>
        <v>30978</v>
      </c>
      <c r="I12" s="188">
        <f t="shared" si="0"/>
        <v>30524</v>
      </c>
      <c r="J12" s="188">
        <f t="shared" si="0"/>
        <v>29550</v>
      </c>
      <c r="K12" s="188">
        <f t="shared" si="0"/>
        <v>34028</v>
      </c>
      <c r="L12" s="188">
        <f t="shared" si="0"/>
        <v>38789</v>
      </c>
      <c r="M12" s="188">
        <f t="shared" si="0"/>
        <v>34344</v>
      </c>
      <c r="N12" s="189">
        <f>SUM(B12:M12)</f>
        <v>447836</v>
      </c>
    </row>
    <row r="13" spans="1:18" s="11" customFormat="1" x14ac:dyDescent="0.2">
      <c r="A13" s="448" t="s">
        <v>244</v>
      </c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50"/>
    </row>
    <row r="14" spans="1:18" s="11" customFormat="1" x14ac:dyDescent="0.2">
      <c r="A14" s="20" t="s">
        <v>245</v>
      </c>
      <c r="B14" s="6">
        <v>830</v>
      </c>
      <c r="C14" s="6">
        <v>925</v>
      </c>
      <c r="D14" s="6">
        <v>1018</v>
      </c>
      <c r="E14" s="6">
        <v>1005</v>
      </c>
      <c r="F14" s="6">
        <v>927</v>
      </c>
      <c r="G14" s="6">
        <v>883</v>
      </c>
      <c r="H14" s="6">
        <v>926</v>
      </c>
      <c r="I14" s="12">
        <v>903</v>
      </c>
      <c r="J14" s="6">
        <v>1019</v>
      </c>
      <c r="K14" s="6">
        <v>835</v>
      </c>
      <c r="L14" s="6">
        <v>873</v>
      </c>
      <c r="M14" s="6">
        <v>544</v>
      </c>
      <c r="N14" s="19">
        <f>SUM(B14:M14)</f>
        <v>10688</v>
      </c>
    </row>
    <row r="15" spans="1:18" s="11" customFormat="1" x14ac:dyDescent="0.2">
      <c r="A15" s="20" t="s">
        <v>246</v>
      </c>
      <c r="B15" s="22">
        <v>361</v>
      </c>
      <c r="C15" s="6">
        <v>165</v>
      </c>
      <c r="D15" s="6">
        <v>117</v>
      </c>
      <c r="E15" s="6">
        <v>23</v>
      </c>
      <c r="F15" s="6">
        <v>249</v>
      </c>
      <c r="G15" s="6">
        <v>22</v>
      </c>
      <c r="H15" s="6">
        <v>0</v>
      </c>
      <c r="I15" s="12">
        <v>0</v>
      </c>
      <c r="J15" s="6">
        <v>0</v>
      </c>
      <c r="K15" s="6">
        <v>0</v>
      </c>
      <c r="L15" s="6">
        <v>0</v>
      </c>
      <c r="M15" s="6">
        <v>0</v>
      </c>
      <c r="N15" s="19">
        <f>SUM(B15:M15)</f>
        <v>937</v>
      </c>
    </row>
    <row r="16" spans="1:18" s="11" customFormat="1" x14ac:dyDescent="0.2">
      <c r="A16" s="20" t="s">
        <v>247</v>
      </c>
      <c r="B16" s="6">
        <v>4125</v>
      </c>
      <c r="C16" s="6">
        <v>6622</v>
      </c>
      <c r="D16" s="6">
        <v>5878</v>
      </c>
      <c r="E16" s="6">
        <v>6534</v>
      </c>
      <c r="F16" s="6">
        <v>9112</v>
      </c>
      <c r="G16" s="6">
        <v>8482</v>
      </c>
      <c r="H16" s="6">
        <v>11362</v>
      </c>
      <c r="I16" s="12">
        <v>6216</v>
      </c>
      <c r="J16" s="6">
        <v>8086</v>
      </c>
      <c r="K16" s="6">
        <v>6842</v>
      </c>
      <c r="L16" s="6">
        <v>7430</v>
      </c>
      <c r="M16" s="6">
        <v>6444</v>
      </c>
      <c r="N16" s="19">
        <f>SUM(B16:M16)</f>
        <v>87133</v>
      </c>
    </row>
    <row r="17" spans="1:14" s="11" customFormat="1" ht="12" thickBot="1" x14ac:dyDescent="0.25">
      <c r="A17" s="20" t="s">
        <v>248</v>
      </c>
      <c r="B17" s="6">
        <v>1737</v>
      </c>
      <c r="C17" s="6">
        <v>1797</v>
      </c>
      <c r="D17" s="6">
        <v>1542</v>
      </c>
      <c r="E17" s="6">
        <v>1585</v>
      </c>
      <c r="F17" s="6">
        <v>1192</v>
      </c>
      <c r="G17" s="6">
        <v>1655</v>
      </c>
      <c r="H17" s="6">
        <v>1439</v>
      </c>
      <c r="I17" s="12">
        <v>1314</v>
      </c>
      <c r="J17" s="6">
        <v>945</v>
      </c>
      <c r="K17" s="6">
        <v>984</v>
      </c>
      <c r="L17" s="6">
        <v>1341</v>
      </c>
      <c r="M17" s="6">
        <v>962</v>
      </c>
      <c r="N17" s="19">
        <f>SUM(B17:M17)</f>
        <v>16493</v>
      </c>
    </row>
    <row r="18" spans="1:14" s="11" customFormat="1" ht="12" thickBot="1" x14ac:dyDescent="0.25">
      <c r="A18" s="15" t="s">
        <v>249</v>
      </c>
      <c r="B18" s="188">
        <f t="shared" ref="B18:M18" si="1">SUM(B14:B17)</f>
        <v>7053</v>
      </c>
      <c r="C18" s="188">
        <f t="shared" si="1"/>
        <v>9509</v>
      </c>
      <c r="D18" s="188">
        <f t="shared" si="1"/>
        <v>8555</v>
      </c>
      <c r="E18" s="188">
        <f t="shared" si="1"/>
        <v>9147</v>
      </c>
      <c r="F18" s="188">
        <f t="shared" si="1"/>
        <v>11480</v>
      </c>
      <c r="G18" s="188">
        <f t="shared" si="1"/>
        <v>11042</v>
      </c>
      <c r="H18" s="188">
        <f t="shared" si="1"/>
        <v>13727</v>
      </c>
      <c r="I18" s="190">
        <f t="shared" si="1"/>
        <v>8433</v>
      </c>
      <c r="J18" s="188">
        <f t="shared" si="1"/>
        <v>10050</v>
      </c>
      <c r="K18" s="188">
        <f t="shared" si="1"/>
        <v>8661</v>
      </c>
      <c r="L18" s="188">
        <f t="shared" si="1"/>
        <v>9644</v>
      </c>
      <c r="M18" s="188">
        <f t="shared" si="1"/>
        <v>7950</v>
      </c>
      <c r="N18" s="191">
        <f>SUM(B18:M18)</f>
        <v>115251</v>
      </c>
    </row>
    <row r="19" spans="1:14" s="11" customFormat="1" x14ac:dyDescent="0.2">
      <c r="A19" s="192" t="s">
        <v>250</v>
      </c>
      <c r="B19" s="193"/>
      <c r="C19" s="193"/>
      <c r="D19" s="193"/>
      <c r="E19" s="193"/>
      <c r="F19" s="193"/>
      <c r="G19" s="193"/>
      <c r="H19" s="193"/>
      <c r="I19" s="47"/>
      <c r="J19" s="193"/>
      <c r="K19" s="193"/>
      <c r="L19" s="193"/>
      <c r="M19" s="193"/>
      <c r="N19" s="194"/>
    </row>
    <row r="20" spans="1:14" s="16" customFormat="1" x14ac:dyDescent="0.2">
      <c r="A20" s="50" t="s">
        <v>284</v>
      </c>
      <c r="B20" s="21">
        <v>2180</v>
      </c>
      <c r="C20" s="21">
        <v>1689</v>
      </c>
      <c r="D20" s="21">
        <v>1315</v>
      </c>
      <c r="E20" s="21">
        <v>827</v>
      </c>
      <c r="F20" s="21">
        <v>1038</v>
      </c>
      <c r="G20" s="21">
        <v>1083</v>
      </c>
      <c r="H20" s="21">
        <v>1688</v>
      </c>
      <c r="I20" s="36">
        <v>500</v>
      </c>
      <c r="J20" s="21">
        <v>0</v>
      </c>
      <c r="K20" s="21">
        <v>0</v>
      </c>
      <c r="L20" s="21">
        <v>0</v>
      </c>
      <c r="M20" s="21">
        <v>0</v>
      </c>
      <c r="N20" s="195">
        <f t="shared" ref="N20:N25" si="2">SUM(B20:M20)</f>
        <v>10320</v>
      </c>
    </row>
    <row r="21" spans="1:14" s="16" customFormat="1" x14ac:dyDescent="0.2">
      <c r="A21" s="50" t="s">
        <v>285</v>
      </c>
      <c r="B21" s="21">
        <v>7606</v>
      </c>
      <c r="C21" s="21">
        <v>7076</v>
      </c>
      <c r="D21" s="21">
        <v>5700</v>
      </c>
      <c r="E21" s="21">
        <v>6268</v>
      </c>
      <c r="F21" s="21">
        <v>4289</v>
      </c>
      <c r="G21" s="21">
        <v>3864</v>
      </c>
      <c r="H21" s="21">
        <v>6638</v>
      </c>
      <c r="I21" s="36">
        <v>1794</v>
      </c>
      <c r="J21" s="21">
        <v>543</v>
      </c>
      <c r="K21" s="21">
        <v>741</v>
      </c>
      <c r="L21" s="21">
        <v>621</v>
      </c>
      <c r="M21" s="21">
        <v>563</v>
      </c>
      <c r="N21" s="195">
        <f t="shared" si="2"/>
        <v>45703</v>
      </c>
    </row>
    <row r="22" spans="1:14" s="16" customFormat="1" ht="12" thickBot="1" x14ac:dyDescent="0.25">
      <c r="A22" s="196" t="s">
        <v>253</v>
      </c>
      <c r="B22" s="197">
        <v>1532</v>
      </c>
      <c r="C22" s="197">
        <v>1224</v>
      </c>
      <c r="D22" s="197">
        <v>847</v>
      </c>
      <c r="E22" s="197">
        <v>824</v>
      </c>
      <c r="F22" s="197">
        <v>614</v>
      </c>
      <c r="G22" s="197">
        <v>732</v>
      </c>
      <c r="H22" s="197">
        <v>1291</v>
      </c>
      <c r="I22" s="198">
        <v>549</v>
      </c>
      <c r="J22" s="197">
        <v>250</v>
      </c>
      <c r="K22" s="197">
        <v>181</v>
      </c>
      <c r="L22" s="197">
        <v>385</v>
      </c>
      <c r="M22" s="197">
        <v>125</v>
      </c>
      <c r="N22" s="199">
        <f t="shared" si="2"/>
        <v>8554</v>
      </c>
    </row>
    <row r="23" spans="1:14" s="16" customFormat="1" ht="12" thickBot="1" x14ac:dyDescent="0.25">
      <c r="A23" s="15" t="s">
        <v>254</v>
      </c>
      <c r="B23" s="188">
        <f t="shared" ref="B23:M23" si="3">SUM(B20:B22)</f>
        <v>11318</v>
      </c>
      <c r="C23" s="188">
        <f t="shared" si="3"/>
        <v>9989</v>
      </c>
      <c r="D23" s="188">
        <f t="shared" si="3"/>
        <v>7862</v>
      </c>
      <c r="E23" s="188">
        <f t="shared" si="3"/>
        <v>7919</v>
      </c>
      <c r="F23" s="188">
        <f t="shared" si="3"/>
        <v>5941</v>
      </c>
      <c r="G23" s="188">
        <f t="shared" si="3"/>
        <v>5679</v>
      </c>
      <c r="H23" s="188">
        <f t="shared" si="3"/>
        <v>9617</v>
      </c>
      <c r="I23" s="188">
        <f t="shared" si="3"/>
        <v>2843</v>
      </c>
      <c r="J23" s="188">
        <f t="shared" si="3"/>
        <v>793</v>
      </c>
      <c r="K23" s="188">
        <f t="shared" si="3"/>
        <v>922</v>
      </c>
      <c r="L23" s="188">
        <f t="shared" si="3"/>
        <v>1006</v>
      </c>
      <c r="M23" s="188">
        <f t="shared" si="3"/>
        <v>688</v>
      </c>
      <c r="N23" s="191">
        <f t="shared" si="2"/>
        <v>64577</v>
      </c>
    </row>
    <row r="24" spans="1:14" s="16" customFormat="1" ht="12" thickBot="1" x14ac:dyDescent="0.25">
      <c r="A24" s="15" t="s">
        <v>255</v>
      </c>
      <c r="B24" s="188">
        <v>10177</v>
      </c>
      <c r="C24" s="188">
        <v>9202</v>
      </c>
      <c r="D24" s="188">
        <v>8605</v>
      </c>
      <c r="E24" s="188">
        <v>9696</v>
      </c>
      <c r="F24" s="188">
        <v>7997</v>
      </c>
      <c r="G24" s="188">
        <v>8930</v>
      </c>
      <c r="H24" s="188">
        <v>10531</v>
      </c>
      <c r="I24" s="190">
        <v>7596</v>
      </c>
      <c r="J24" s="188">
        <v>9440</v>
      </c>
      <c r="K24" s="188">
        <v>9169</v>
      </c>
      <c r="L24" s="188">
        <v>8705</v>
      </c>
      <c r="M24" s="188">
        <v>9092</v>
      </c>
      <c r="N24" s="191">
        <f t="shared" si="2"/>
        <v>109140</v>
      </c>
    </row>
    <row r="25" spans="1:14" s="16" customFormat="1" ht="12" thickBot="1" x14ac:dyDescent="0.25">
      <c r="A25" s="15" t="s">
        <v>256</v>
      </c>
      <c r="B25" s="188">
        <v>36972</v>
      </c>
      <c r="C25" s="188">
        <v>33946</v>
      </c>
      <c r="D25" s="188">
        <v>21609</v>
      </c>
      <c r="E25" s="188">
        <v>12715</v>
      </c>
      <c r="F25" s="188">
        <v>9932</v>
      </c>
      <c r="G25" s="188">
        <v>9005</v>
      </c>
      <c r="H25" s="188">
        <v>15868</v>
      </c>
      <c r="I25" s="190">
        <v>5268</v>
      </c>
      <c r="J25" s="188">
        <v>0</v>
      </c>
      <c r="K25" s="188">
        <v>0</v>
      </c>
      <c r="L25" s="188">
        <v>0</v>
      </c>
      <c r="M25" s="188">
        <v>0</v>
      </c>
      <c r="N25" s="191">
        <f t="shared" si="2"/>
        <v>145315</v>
      </c>
    </row>
    <row r="26" spans="1:14" s="16" customFormat="1" x14ac:dyDescent="0.2">
      <c r="A26" s="442"/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4"/>
    </row>
    <row r="27" spans="1:14" s="16" customFormat="1" x14ac:dyDescent="0.2">
      <c r="A27" s="14" t="s">
        <v>258</v>
      </c>
      <c r="B27" s="6">
        <v>5545</v>
      </c>
      <c r="C27" s="6">
        <v>4485</v>
      </c>
      <c r="D27" s="6">
        <v>3693</v>
      </c>
      <c r="E27" s="6">
        <v>3372</v>
      </c>
      <c r="F27" s="6">
        <v>3930</v>
      </c>
      <c r="G27" s="6">
        <v>3192</v>
      </c>
      <c r="H27" s="6">
        <v>5339</v>
      </c>
      <c r="I27" s="12">
        <v>3992</v>
      </c>
      <c r="J27" s="6">
        <v>4250</v>
      </c>
      <c r="K27" s="6">
        <v>3270</v>
      </c>
      <c r="L27" s="6">
        <v>3566</v>
      </c>
      <c r="M27" s="6">
        <v>3811</v>
      </c>
      <c r="N27" s="13">
        <f t="shared" ref="N27:N36" si="4">SUM(B27:M27)</f>
        <v>48445</v>
      </c>
    </row>
    <row r="28" spans="1:14" s="16" customFormat="1" x14ac:dyDescent="0.2">
      <c r="A28" s="14" t="s">
        <v>259</v>
      </c>
      <c r="B28" s="6">
        <v>4483</v>
      </c>
      <c r="C28" s="6">
        <v>3870</v>
      </c>
      <c r="D28" s="6">
        <v>3140</v>
      </c>
      <c r="E28" s="6">
        <v>7401</v>
      </c>
      <c r="F28" s="6">
        <v>6907</v>
      </c>
      <c r="G28" s="6">
        <v>6430</v>
      </c>
      <c r="H28" s="6">
        <v>7403</v>
      </c>
      <c r="I28" s="12">
        <v>6974</v>
      </c>
      <c r="J28" s="6">
        <v>6545</v>
      </c>
      <c r="K28" s="6">
        <v>6640</v>
      </c>
      <c r="L28" s="6">
        <v>6860</v>
      </c>
      <c r="M28" s="6">
        <v>6231</v>
      </c>
      <c r="N28" s="13">
        <f t="shared" si="4"/>
        <v>72884</v>
      </c>
    </row>
    <row r="29" spans="1:14" s="16" customFormat="1" ht="12" thickBot="1" x14ac:dyDescent="0.25">
      <c r="A29" s="14" t="s">
        <v>260</v>
      </c>
      <c r="B29" s="12">
        <v>31308</v>
      </c>
      <c r="C29" s="6">
        <v>23126</v>
      </c>
      <c r="D29" s="6">
        <v>16429</v>
      </c>
      <c r="E29" s="6">
        <v>19443</v>
      </c>
      <c r="F29" s="6">
        <v>19049</v>
      </c>
      <c r="G29" s="6">
        <v>13490</v>
      </c>
      <c r="H29" s="6">
        <v>28925</v>
      </c>
      <c r="I29" s="12">
        <v>18477</v>
      </c>
      <c r="J29" s="6">
        <v>19482</v>
      </c>
      <c r="K29" s="6">
        <v>19034</v>
      </c>
      <c r="L29" s="6">
        <v>18807</v>
      </c>
      <c r="M29" s="6">
        <v>20017</v>
      </c>
      <c r="N29" s="13">
        <f t="shared" si="4"/>
        <v>247587</v>
      </c>
    </row>
    <row r="30" spans="1:14" s="16" customFormat="1" ht="12" thickBot="1" x14ac:dyDescent="0.25">
      <c r="A30" s="9" t="s">
        <v>262</v>
      </c>
      <c r="B30" s="190">
        <f t="shared" ref="B30:M30" si="5">SUM(B27:B29)</f>
        <v>41336</v>
      </c>
      <c r="C30" s="190">
        <f t="shared" si="5"/>
        <v>31481</v>
      </c>
      <c r="D30" s="190">
        <f t="shared" si="5"/>
        <v>23262</v>
      </c>
      <c r="E30" s="190">
        <f t="shared" si="5"/>
        <v>30216</v>
      </c>
      <c r="F30" s="190">
        <f t="shared" si="5"/>
        <v>29886</v>
      </c>
      <c r="G30" s="190">
        <f t="shared" si="5"/>
        <v>23112</v>
      </c>
      <c r="H30" s="190">
        <f t="shared" si="5"/>
        <v>41667</v>
      </c>
      <c r="I30" s="190">
        <f t="shared" si="5"/>
        <v>29443</v>
      </c>
      <c r="J30" s="190">
        <f t="shared" si="5"/>
        <v>30277</v>
      </c>
      <c r="K30" s="190">
        <f t="shared" si="5"/>
        <v>28944</v>
      </c>
      <c r="L30" s="190">
        <f t="shared" si="5"/>
        <v>29233</v>
      </c>
      <c r="M30" s="190">
        <f t="shared" si="5"/>
        <v>30059</v>
      </c>
      <c r="N30" s="189">
        <f t="shared" si="4"/>
        <v>368916</v>
      </c>
    </row>
    <row r="31" spans="1:14" s="16" customFormat="1" ht="12" thickBot="1" x14ac:dyDescent="0.25">
      <c r="A31" s="200" t="s">
        <v>263</v>
      </c>
      <c r="B31" s="201">
        <v>11856</v>
      </c>
      <c r="C31" s="201">
        <v>9237</v>
      </c>
      <c r="D31" s="201">
        <v>5719</v>
      </c>
      <c r="E31" s="201">
        <v>7423</v>
      </c>
      <c r="F31" s="201">
        <v>7510</v>
      </c>
      <c r="G31" s="201">
        <v>7287</v>
      </c>
      <c r="H31" s="201">
        <v>11941</v>
      </c>
      <c r="I31" s="202">
        <v>9321</v>
      </c>
      <c r="J31" s="201">
        <v>6265</v>
      </c>
      <c r="K31" s="201">
        <v>7344</v>
      </c>
      <c r="L31" s="201">
        <v>7068</v>
      </c>
      <c r="M31" s="201">
        <v>7605</v>
      </c>
      <c r="N31" s="203">
        <f t="shared" si="4"/>
        <v>98576</v>
      </c>
    </row>
    <row r="32" spans="1:14" s="16" customFormat="1" ht="12" thickBot="1" x14ac:dyDescent="0.25">
      <c r="A32" s="39" t="s">
        <v>286</v>
      </c>
      <c r="B32" s="204">
        <v>0</v>
      </c>
      <c r="C32" s="204">
        <v>240</v>
      </c>
      <c r="D32" s="204">
        <v>2096</v>
      </c>
      <c r="E32" s="204">
        <v>2076</v>
      </c>
      <c r="F32" s="204">
        <v>2010</v>
      </c>
      <c r="G32" s="204">
        <v>1735</v>
      </c>
      <c r="H32" s="204">
        <v>2400</v>
      </c>
      <c r="I32" s="205">
        <v>1324</v>
      </c>
      <c r="J32" s="204">
        <v>1787</v>
      </c>
      <c r="K32" s="204">
        <v>2168</v>
      </c>
      <c r="L32" s="204">
        <v>2142</v>
      </c>
      <c r="M32" s="204">
        <v>1784</v>
      </c>
      <c r="N32" s="191">
        <f t="shared" si="4"/>
        <v>19762</v>
      </c>
    </row>
    <row r="33" spans="1:14" s="16" customFormat="1" ht="12" thickBot="1" x14ac:dyDescent="0.25">
      <c r="A33" s="39" t="s">
        <v>287</v>
      </c>
      <c r="B33" s="204">
        <v>0</v>
      </c>
      <c r="C33" s="204">
        <v>103791</v>
      </c>
      <c r="D33" s="204">
        <v>56713</v>
      </c>
      <c r="E33" s="204">
        <v>59987</v>
      </c>
      <c r="F33" s="204">
        <v>61797</v>
      </c>
      <c r="G33" s="204">
        <v>79051</v>
      </c>
      <c r="H33" s="204">
        <v>93736</v>
      </c>
      <c r="I33" s="205">
        <v>57075</v>
      </c>
      <c r="J33" s="204">
        <v>52335</v>
      </c>
      <c r="K33" s="204">
        <v>71450</v>
      </c>
      <c r="L33" s="204">
        <v>71628</v>
      </c>
      <c r="M33" s="204">
        <v>124479</v>
      </c>
      <c r="N33" s="191">
        <f t="shared" si="4"/>
        <v>832042</v>
      </c>
    </row>
    <row r="34" spans="1:14" s="16" customFormat="1" ht="12" thickBot="1" x14ac:dyDescent="0.25">
      <c r="A34" s="39" t="s">
        <v>288</v>
      </c>
      <c r="B34" s="204">
        <v>0</v>
      </c>
      <c r="C34" s="204">
        <v>0</v>
      </c>
      <c r="D34" s="204">
        <v>0</v>
      </c>
      <c r="E34" s="204">
        <v>4012</v>
      </c>
      <c r="F34" s="204">
        <v>3756</v>
      </c>
      <c r="G34" s="204">
        <v>4307</v>
      </c>
      <c r="H34" s="204">
        <v>7219</v>
      </c>
      <c r="I34" s="205">
        <v>9158</v>
      </c>
      <c r="J34" s="204">
        <v>6290</v>
      </c>
      <c r="K34" s="204">
        <v>7310</v>
      </c>
      <c r="L34" s="204">
        <v>4709</v>
      </c>
      <c r="M34" s="204">
        <v>6760</v>
      </c>
      <c r="N34" s="191">
        <f t="shared" si="4"/>
        <v>53521</v>
      </c>
    </row>
    <row r="35" spans="1:14" s="16" customFormat="1" ht="12" thickBot="1" x14ac:dyDescent="0.25">
      <c r="A35" s="39" t="s">
        <v>289</v>
      </c>
      <c r="B35" s="204">
        <v>0</v>
      </c>
      <c r="C35" s="204">
        <v>0</v>
      </c>
      <c r="D35" s="204">
        <v>0</v>
      </c>
      <c r="E35" s="204">
        <v>0</v>
      </c>
      <c r="F35" s="204">
        <v>0</v>
      </c>
      <c r="G35" s="204">
        <v>0</v>
      </c>
      <c r="H35" s="204">
        <v>16306</v>
      </c>
      <c r="I35" s="205">
        <v>33767</v>
      </c>
      <c r="J35" s="204">
        <v>26381</v>
      </c>
      <c r="K35" s="204">
        <v>29681</v>
      </c>
      <c r="L35" s="204">
        <v>27898</v>
      </c>
      <c r="M35" s="204">
        <v>19888</v>
      </c>
      <c r="N35" s="191">
        <f t="shared" si="4"/>
        <v>153921</v>
      </c>
    </row>
    <row r="36" spans="1:14" s="16" customFormat="1" ht="12" thickBot="1" x14ac:dyDescent="0.25">
      <c r="A36" s="39" t="s">
        <v>290</v>
      </c>
      <c r="B36" s="204">
        <v>0</v>
      </c>
      <c r="C36" s="204">
        <v>0</v>
      </c>
      <c r="D36" s="204">
        <v>0</v>
      </c>
      <c r="E36" s="204">
        <v>0</v>
      </c>
      <c r="F36" s="204">
        <v>0</v>
      </c>
      <c r="G36" s="204">
        <v>0</v>
      </c>
      <c r="H36" s="204">
        <v>0</v>
      </c>
      <c r="I36" s="205">
        <v>0</v>
      </c>
      <c r="J36" s="204">
        <v>1411</v>
      </c>
      <c r="K36" s="204">
        <v>3605</v>
      </c>
      <c r="L36" s="204">
        <v>3863</v>
      </c>
      <c r="M36" s="204">
        <v>3767</v>
      </c>
      <c r="N36" s="191">
        <f t="shared" si="4"/>
        <v>12646</v>
      </c>
    </row>
    <row r="37" spans="1:14" x14ac:dyDescent="0.2">
      <c r="A37" s="442"/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4"/>
    </row>
    <row r="38" spans="1:14" x14ac:dyDescent="0.2">
      <c r="A38" s="14" t="s">
        <v>294</v>
      </c>
      <c r="B38" s="6">
        <v>8823</v>
      </c>
      <c r="C38" s="6">
        <v>8018</v>
      </c>
      <c r="D38" s="6">
        <v>7590</v>
      </c>
      <c r="E38" s="6">
        <v>4948</v>
      </c>
      <c r="F38" s="6">
        <v>3384</v>
      </c>
      <c r="G38" s="6">
        <v>2220</v>
      </c>
      <c r="H38" s="6">
        <v>3930</v>
      </c>
      <c r="I38" s="17">
        <v>2189</v>
      </c>
      <c r="J38" s="6">
        <v>2443</v>
      </c>
      <c r="K38" s="6">
        <v>4220</v>
      </c>
      <c r="L38" s="6">
        <v>3797</v>
      </c>
      <c r="M38" s="6">
        <v>4063</v>
      </c>
      <c r="N38" s="13">
        <f t="shared" ref="N38:N46" si="6">SUM(B38:M38)</f>
        <v>55625</v>
      </c>
    </row>
    <row r="39" spans="1:14" x14ac:dyDescent="0.2">
      <c r="A39" s="14" t="s">
        <v>291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425</v>
      </c>
      <c r="I39" s="12">
        <v>193</v>
      </c>
      <c r="J39" s="6">
        <v>0</v>
      </c>
      <c r="K39" s="6">
        <v>0</v>
      </c>
      <c r="L39" s="6">
        <v>0</v>
      </c>
      <c r="M39" s="6">
        <v>11</v>
      </c>
      <c r="N39" s="13">
        <f t="shared" si="6"/>
        <v>629</v>
      </c>
    </row>
    <row r="40" spans="1:14" x14ac:dyDescent="0.2">
      <c r="A40" s="14" t="s">
        <v>266</v>
      </c>
      <c r="B40" s="6">
        <v>19307</v>
      </c>
      <c r="C40" s="6">
        <v>17065</v>
      </c>
      <c r="D40" s="6">
        <v>13502</v>
      </c>
      <c r="E40" s="6">
        <v>12349</v>
      </c>
      <c r="F40" s="6">
        <v>10718</v>
      </c>
      <c r="G40" s="6">
        <v>9417</v>
      </c>
      <c r="H40" s="6">
        <v>13934</v>
      </c>
      <c r="I40" s="12">
        <v>9678</v>
      </c>
      <c r="J40" s="6">
        <v>9111</v>
      </c>
      <c r="K40" s="6">
        <v>7847</v>
      </c>
      <c r="L40" s="6">
        <v>8670</v>
      </c>
      <c r="M40" s="6">
        <v>11395</v>
      </c>
      <c r="N40" s="13">
        <f t="shared" si="6"/>
        <v>142993</v>
      </c>
    </row>
    <row r="41" spans="1:14" x14ac:dyDescent="0.2">
      <c r="A41" s="14" t="s">
        <v>267</v>
      </c>
      <c r="B41" s="6">
        <v>819</v>
      </c>
      <c r="C41" s="6">
        <v>830</v>
      </c>
      <c r="D41" s="6">
        <v>619</v>
      </c>
      <c r="E41" s="6">
        <v>491</v>
      </c>
      <c r="F41" s="6">
        <v>589</v>
      </c>
      <c r="G41" s="6">
        <v>422</v>
      </c>
      <c r="H41" s="6">
        <v>788</v>
      </c>
      <c r="I41" s="12">
        <v>120</v>
      </c>
      <c r="J41" s="6">
        <v>0</v>
      </c>
      <c r="K41" s="6">
        <v>0</v>
      </c>
      <c r="L41" s="6">
        <v>71</v>
      </c>
      <c r="M41" s="6">
        <v>568</v>
      </c>
      <c r="N41" s="13">
        <f t="shared" si="6"/>
        <v>5317</v>
      </c>
    </row>
    <row r="42" spans="1:14" x14ac:dyDescent="0.2">
      <c r="A42" s="14" t="s">
        <v>268</v>
      </c>
      <c r="B42" s="6">
        <v>4078</v>
      </c>
      <c r="C42" s="6">
        <v>3748</v>
      </c>
      <c r="D42" s="6">
        <v>2667</v>
      </c>
      <c r="E42" s="6">
        <v>2738</v>
      </c>
      <c r="F42" s="6">
        <v>3472</v>
      </c>
      <c r="G42" s="6">
        <v>2958</v>
      </c>
      <c r="H42" s="6">
        <v>3631</v>
      </c>
      <c r="I42" s="12">
        <v>3465</v>
      </c>
      <c r="J42" s="6">
        <v>3122</v>
      </c>
      <c r="K42" s="6">
        <v>4103</v>
      </c>
      <c r="L42" s="6">
        <v>3400</v>
      </c>
      <c r="M42" s="6">
        <v>3460</v>
      </c>
      <c r="N42" s="13">
        <f t="shared" si="6"/>
        <v>40842</v>
      </c>
    </row>
    <row r="43" spans="1:14" x14ac:dyDescent="0.2">
      <c r="A43" s="14" t="s">
        <v>269</v>
      </c>
      <c r="B43" s="6">
        <v>6469</v>
      </c>
      <c r="C43" s="6">
        <v>7310</v>
      </c>
      <c r="D43" s="6">
        <v>5677</v>
      </c>
      <c r="E43" s="6">
        <v>6063</v>
      </c>
      <c r="F43" s="6">
        <v>4856</v>
      </c>
      <c r="G43" s="6">
        <v>4534</v>
      </c>
      <c r="H43" s="6">
        <v>7138</v>
      </c>
      <c r="I43" s="12">
        <v>1673</v>
      </c>
      <c r="J43" s="6">
        <v>0</v>
      </c>
      <c r="K43" s="6">
        <v>0</v>
      </c>
      <c r="L43" s="6">
        <v>0</v>
      </c>
      <c r="M43" s="6">
        <v>0</v>
      </c>
      <c r="N43" s="13">
        <f t="shared" si="6"/>
        <v>43720</v>
      </c>
    </row>
    <row r="44" spans="1:14" x14ac:dyDescent="0.2">
      <c r="A44" s="14" t="s">
        <v>270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12">
        <v>827</v>
      </c>
      <c r="J44" s="6">
        <v>1611</v>
      </c>
      <c r="K44" s="6">
        <v>2336</v>
      </c>
      <c r="L44" s="6">
        <v>2087</v>
      </c>
      <c r="M44" s="6">
        <v>1065</v>
      </c>
      <c r="N44" s="13">
        <f t="shared" si="6"/>
        <v>7926</v>
      </c>
    </row>
    <row r="45" spans="1:14" ht="12" thickBot="1" x14ac:dyDescent="0.25">
      <c r="A45" s="14" t="s">
        <v>271</v>
      </c>
      <c r="B45" s="6">
        <v>5082</v>
      </c>
      <c r="C45" s="6">
        <v>4975</v>
      </c>
      <c r="D45" s="6">
        <v>2167</v>
      </c>
      <c r="E45" s="6">
        <v>3872</v>
      </c>
      <c r="F45" s="6">
        <v>3210</v>
      </c>
      <c r="G45" s="6">
        <v>3117</v>
      </c>
      <c r="H45" s="6">
        <v>4793</v>
      </c>
      <c r="I45" s="12">
        <v>2153</v>
      </c>
      <c r="J45" s="6">
        <v>3414</v>
      </c>
      <c r="K45" s="6">
        <v>3660</v>
      </c>
      <c r="L45" s="6">
        <v>3598</v>
      </c>
      <c r="M45" s="12">
        <v>5084</v>
      </c>
      <c r="N45" s="13">
        <f t="shared" si="6"/>
        <v>45125</v>
      </c>
    </row>
    <row r="46" spans="1:14" s="11" customFormat="1" ht="12" thickBot="1" x14ac:dyDescent="0.25">
      <c r="A46" s="9" t="s">
        <v>272</v>
      </c>
      <c r="B46" s="188">
        <f t="shared" ref="B46:M46" si="7">SUM(B38:B45)</f>
        <v>44578</v>
      </c>
      <c r="C46" s="188">
        <f t="shared" si="7"/>
        <v>41946</v>
      </c>
      <c r="D46" s="188">
        <f t="shared" si="7"/>
        <v>32222</v>
      </c>
      <c r="E46" s="188">
        <f t="shared" si="7"/>
        <v>30461</v>
      </c>
      <c r="F46" s="188">
        <f t="shared" si="7"/>
        <v>26229</v>
      </c>
      <c r="G46" s="188">
        <f t="shared" si="7"/>
        <v>22668</v>
      </c>
      <c r="H46" s="188">
        <f t="shared" si="7"/>
        <v>34639</v>
      </c>
      <c r="I46" s="190">
        <f t="shared" si="7"/>
        <v>20298</v>
      </c>
      <c r="J46" s="188">
        <f t="shared" si="7"/>
        <v>19701</v>
      </c>
      <c r="K46" s="188">
        <f t="shared" si="7"/>
        <v>22166</v>
      </c>
      <c r="L46" s="188">
        <f t="shared" si="7"/>
        <v>21623</v>
      </c>
      <c r="M46" s="188">
        <f t="shared" si="7"/>
        <v>25646</v>
      </c>
      <c r="N46" s="189">
        <f t="shared" si="6"/>
        <v>342177</v>
      </c>
    </row>
    <row r="47" spans="1:14" s="11" customFormat="1" ht="12.75" customHeight="1" x14ac:dyDescent="0.2">
      <c r="A47" s="445" t="s">
        <v>273</v>
      </c>
      <c r="B47" s="446"/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7"/>
    </row>
    <row r="48" spans="1:14" s="11" customFormat="1" x14ac:dyDescent="0.2">
      <c r="A48" s="35" t="s">
        <v>274</v>
      </c>
      <c r="B48" s="37">
        <v>7939</v>
      </c>
      <c r="C48" s="37">
        <v>5404</v>
      </c>
      <c r="D48" s="37">
        <v>1369</v>
      </c>
      <c r="E48" s="37">
        <v>1271</v>
      </c>
      <c r="F48" s="37">
        <v>263</v>
      </c>
      <c r="G48" s="37">
        <v>189</v>
      </c>
      <c r="H48" s="37">
        <v>2561</v>
      </c>
      <c r="I48" s="37">
        <v>724</v>
      </c>
      <c r="J48" s="37">
        <v>1019</v>
      </c>
      <c r="K48" s="37">
        <v>1147</v>
      </c>
      <c r="L48" s="37">
        <v>1778</v>
      </c>
      <c r="M48" s="37">
        <v>799</v>
      </c>
      <c r="N48" s="38">
        <f t="shared" ref="N48:N54" si="8">SUM(B48:M48)</f>
        <v>24463</v>
      </c>
    </row>
    <row r="49" spans="1:17" s="11" customFormat="1" ht="12" thickBot="1" x14ac:dyDescent="0.25">
      <c r="A49" s="32" t="s">
        <v>364</v>
      </c>
      <c r="B49" s="34">
        <v>2697</v>
      </c>
      <c r="C49" s="34">
        <v>2961</v>
      </c>
      <c r="D49" s="34">
        <v>464</v>
      </c>
      <c r="E49" s="34">
        <v>355</v>
      </c>
      <c r="F49" s="34">
        <v>23</v>
      </c>
      <c r="G49" s="34">
        <v>32</v>
      </c>
      <c r="H49" s="34">
        <v>483</v>
      </c>
      <c r="I49" s="34">
        <v>6</v>
      </c>
      <c r="J49" s="34">
        <v>86</v>
      </c>
      <c r="K49" s="34">
        <v>325</v>
      </c>
      <c r="L49" s="34">
        <v>390</v>
      </c>
      <c r="M49" s="34">
        <v>89</v>
      </c>
      <c r="N49" s="33">
        <f t="shared" si="8"/>
        <v>7911</v>
      </c>
    </row>
    <row r="50" spans="1:17" s="18" customFormat="1" ht="12" thickBot="1" x14ac:dyDescent="0.25">
      <c r="A50" s="9" t="s">
        <v>276</v>
      </c>
      <c r="B50" s="190">
        <f t="shared" ref="B50:G50" si="9">SUM(B48:B49)</f>
        <v>10636</v>
      </c>
      <c r="C50" s="190">
        <f t="shared" si="9"/>
        <v>8365</v>
      </c>
      <c r="D50" s="190">
        <f t="shared" si="9"/>
        <v>1833</v>
      </c>
      <c r="E50" s="190">
        <f t="shared" si="9"/>
        <v>1626</v>
      </c>
      <c r="F50" s="190">
        <f t="shared" si="9"/>
        <v>286</v>
      </c>
      <c r="G50" s="190">
        <f t="shared" si="9"/>
        <v>221</v>
      </c>
      <c r="H50" s="190">
        <v>0</v>
      </c>
      <c r="I50" s="190">
        <f>SUM(I48:I49)</f>
        <v>730</v>
      </c>
      <c r="J50" s="190">
        <f>SUM(J48:J49)</f>
        <v>1105</v>
      </c>
      <c r="K50" s="190">
        <f>SUM(K48:K49)</f>
        <v>1472</v>
      </c>
      <c r="L50" s="190">
        <f>SUM(L48:L49)</f>
        <v>2168</v>
      </c>
      <c r="M50" s="190">
        <f>SUM(M48:M49)</f>
        <v>888</v>
      </c>
      <c r="N50" s="189">
        <f t="shared" si="8"/>
        <v>29330</v>
      </c>
    </row>
    <row r="51" spans="1:17" s="21" customFormat="1" ht="12" thickBot="1" x14ac:dyDescent="0.25">
      <c r="A51" s="15" t="s">
        <v>277</v>
      </c>
      <c r="B51" s="188">
        <v>5272</v>
      </c>
      <c r="C51" s="188">
        <v>4874</v>
      </c>
      <c r="D51" s="188">
        <v>4443</v>
      </c>
      <c r="E51" s="188">
        <v>3846</v>
      </c>
      <c r="F51" s="188">
        <v>3728</v>
      </c>
      <c r="G51" s="188">
        <v>3926</v>
      </c>
      <c r="H51" s="188">
        <v>5866</v>
      </c>
      <c r="I51" s="190">
        <v>4506</v>
      </c>
      <c r="J51" s="188">
        <v>4576</v>
      </c>
      <c r="K51" s="188">
        <v>4576</v>
      </c>
      <c r="L51" s="188">
        <v>6214</v>
      </c>
      <c r="M51" s="188">
        <v>5459</v>
      </c>
      <c r="N51" s="191">
        <f t="shared" si="8"/>
        <v>57286</v>
      </c>
    </row>
    <row r="52" spans="1:17" s="16" customFormat="1" ht="12" thickBot="1" x14ac:dyDescent="0.25">
      <c r="A52" s="15" t="s">
        <v>278</v>
      </c>
      <c r="B52" s="188">
        <v>0</v>
      </c>
      <c r="C52" s="188">
        <v>0</v>
      </c>
      <c r="D52" s="188"/>
      <c r="E52" s="188"/>
      <c r="F52" s="188"/>
      <c r="G52" s="188"/>
      <c r="H52" s="188">
        <v>0</v>
      </c>
      <c r="I52" s="190">
        <v>0</v>
      </c>
      <c r="J52" s="188">
        <v>0</v>
      </c>
      <c r="K52" s="188">
        <v>0</v>
      </c>
      <c r="L52" s="188">
        <v>0</v>
      </c>
      <c r="M52" s="188">
        <v>0</v>
      </c>
      <c r="N52" s="191">
        <f t="shared" si="8"/>
        <v>0</v>
      </c>
    </row>
    <row r="53" spans="1:17" s="16" customFormat="1" ht="12" thickBot="1" x14ac:dyDescent="0.25">
      <c r="A53" s="15" t="s">
        <v>281</v>
      </c>
      <c r="B53" s="74" t="s">
        <v>280</v>
      </c>
      <c r="C53" s="74" t="s">
        <v>280</v>
      </c>
      <c r="D53" s="74" t="s">
        <v>280</v>
      </c>
      <c r="E53" s="74" t="s">
        <v>280</v>
      </c>
      <c r="F53" s="74" t="s">
        <v>280</v>
      </c>
      <c r="G53" s="74" t="s">
        <v>280</v>
      </c>
      <c r="H53" s="74" t="s">
        <v>280</v>
      </c>
      <c r="I53" s="74" t="s">
        <v>280</v>
      </c>
      <c r="J53" s="74" t="s">
        <v>280</v>
      </c>
      <c r="K53" s="74" t="s">
        <v>280</v>
      </c>
      <c r="L53" s="74" t="s">
        <v>280</v>
      </c>
      <c r="M53" s="74" t="s">
        <v>280</v>
      </c>
      <c r="N53" s="191">
        <f t="shared" si="8"/>
        <v>0</v>
      </c>
    </row>
    <row r="54" spans="1:17" s="21" customFormat="1" ht="12" thickBot="1" x14ac:dyDescent="0.25">
      <c r="A54" s="15" t="s">
        <v>282</v>
      </c>
      <c r="B54" s="74" t="s">
        <v>280</v>
      </c>
      <c r="C54" s="74" t="s">
        <v>280</v>
      </c>
      <c r="D54" s="74" t="s">
        <v>280</v>
      </c>
      <c r="E54" s="74" t="s">
        <v>280</v>
      </c>
      <c r="F54" s="74" t="s">
        <v>280</v>
      </c>
      <c r="G54" s="74" t="s">
        <v>280</v>
      </c>
      <c r="H54" s="74" t="s">
        <v>280</v>
      </c>
      <c r="I54" s="74" t="s">
        <v>280</v>
      </c>
      <c r="J54" s="74" t="s">
        <v>280</v>
      </c>
      <c r="K54" s="74" t="s">
        <v>280</v>
      </c>
      <c r="L54" s="74" t="s">
        <v>280</v>
      </c>
      <c r="M54" s="74" t="s">
        <v>280</v>
      </c>
      <c r="N54" s="191">
        <f t="shared" si="8"/>
        <v>0</v>
      </c>
    </row>
    <row r="55" spans="1:17" s="23" customFormat="1" ht="13.5" thickTop="1" thickBot="1" x14ac:dyDescent="0.25">
      <c r="A55" s="206" t="s">
        <v>26</v>
      </c>
      <c r="B55" s="207">
        <f>+B51+B50+B46+B36+B35+B34+B33+B32+B31+B30+B25+B24+B23+B18+B12</f>
        <v>221631</v>
      </c>
      <c r="C55" s="207">
        <f>+C51+C50+C46+C36+C35+C34+C33+C32+C31+C30+C25+C24+C23+C18+C12</f>
        <v>305886</v>
      </c>
      <c r="D55" s="207">
        <f t="shared" ref="D55:M55" si="10">+D51+D50+D46+D36+D35+D34+D33+D32+D31+D30+D25+D24+D23+D18+D12</f>
        <v>214709</v>
      </c>
      <c r="E55" s="207">
        <f t="shared" si="10"/>
        <v>225362</v>
      </c>
      <c r="F55" s="207">
        <f t="shared" si="10"/>
        <v>215696</v>
      </c>
      <c r="G55" s="207">
        <f t="shared" si="10"/>
        <v>207675</v>
      </c>
      <c r="H55" s="207">
        <f t="shared" si="10"/>
        <v>294495</v>
      </c>
      <c r="I55" s="207">
        <f t="shared" si="10"/>
        <v>220286</v>
      </c>
      <c r="J55" s="207">
        <f t="shared" si="10"/>
        <v>199961</v>
      </c>
      <c r="K55" s="207">
        <f t="shared" si="10"/>
        <v>231496</v>
      </c>
      <c r="L55" s="207">
        <f t="shared" si="10"/>
        <v>234690</v>
      </c>
      <c r="M55" s="207">
        <f t="shared" si="10"/>
        <v>278409</v>
      </c>
      <c r="N55" s="207">
        <f>+N51+N50+N46+N36+N35+N34+N33+N32+N31+N30+N25+N24+N23+N18+N12</f>
        <v>2850296</v>
      </c>
    </row>
    <row r="56" spans="1:17" ht="12" thickTop="1" x14ac:dyDescent="0.2">
      <c r="A56" s="208" t="s">
        <v>292</v>
      </c>
      <c r="L56" s="24"/>
      <c r="N56" s="40"/>
      <c r="O56" s="6"/>
      <c r="P56" s="6"/>
      <c r="Q56" s="6"/>
    </row>
    <row r="57" spans="1:17" x14ac:dyDescent="0.2">
      <c r="A57" s="208" t="s">
        <v>293</v>
      </c>
      <c r="L57" s="216"/>
      <c r="N57" s="1"/>
      <c r="O57" s="6"/>
      <c r="P57" s="6"/>
      <c r="Q57" s="6"/>
    </row>
    <row r="58" spans="1:17" x14ac:dyDescent="0.2">
      <c r="A58" s="208" t="s">
        <v>363</v>
      </c>
      <c r="L58" s="216"/>
      <c r="N58" s="40">
        <f>+N55-N51-N50</f>
        <v>2763680</v>
      </c>
      <c r="O58" s="6"/>
      <c r="P58" s="6"/>
      <c r="Q58" s="6"/>
    </row>
    <row r="59" spans="1:17" s="209" customFormat="1" ht="12" customHeight="1" x14ac:dyDescent="0.2">
      <c r="A59" s="208" t="s">
        <v>299</v>
      </c>
      <c r="I59" s="210"/>
      <c r="N59" s="215"/>
      <c r="O59" s="211"/>
    </row>
    <row r="60" spans="1:17" s="209" customFormat="1" ht="12" customHeight="1" x14ac:dyDescent="0.2">
      <c r="I60" s="210"/>
      <c r="N60" s="208"/>
      <c r="O60" s="211"/>
    </row>
    <row r="61" spans="1:17" s="209" customFormat="1" ht="12" customHeight="1" x14ac:dyDescent="0.2">
      <c r="A61" s="208"/>
      <c r="B61" s="208"/>
      <c r="C61" s="208"/>
      <c r="D61" s="208"/>
      <c r="E61" s="208"/>
      <c r="I61" s="210"/>
      <c r="N61" s="208"/>
    </row>
    <row r="62" spans="1:17" s="212" customFormat="1" ht="12" customHeight="1" x14ac:dyDescent="0.2">
      <c r="N62" s="213"/>
    </row>
    <row r="63" spans="1:17" s="212" customFormat="1" ht="12" customHeight="1" x14ac:dyDescent="0.2">
      <c r="A63" s="437"/>
      <c r="B63" s="437"/>
      <c r="C63" s="437"/>
      <c r="D63" s="437"/>
      <c r="E63" s="437"/>
      <c r="F63" s="437"/>
      <c r="G63" s="437"/>
      <c r="H63" s="437"/>
      <c r="I63" s="210"/>
      <c r="N63" s="213"/>
    </row>
    <row r="64" spans="1:17" s="143" customFormat="1" ht="12" customHeight="1" x14ac:dyDescent="0.2">
      <c r="A64" s="438"/>
      <c r="B64" s="438"/>
      <c r="C64" s="438"/>
      <c r="D64" s="438"/>
      <c r="E64" s="438"/>
      <c r="F64" s="438"/>
      <c r="G64" s="438"/>
      <c r="H64" s="438"/>
      <c r="I64" s="438"/>
      <c r="J64" s="438"/>
      <c r="K64" s="438"/>
      <c r="L64" s="438"/>
      <c r="M64" s="438"/>
      <c r="N64" s="438"/>
    </row>
    <row r="65" spans="1:15" s="143" customFormat="1" ht="12" customHeight="1" x14ac:dyDescent="0.2">
      <c r="A65" s="208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</row>
    <row r="66" spans="1:15" s="143" customFormat="1" ht="12" customHeight="1" x14ac:dyDescent="0.2">
      <c r="A66" s="208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</row>
    <row r="67" spans="1:15" s="143" customFormat="1" ht="12" customHeight="1" x14ac:dyDescent="0.2">
      <c r="A67" s="208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</row>
    <row r="68" spans="1:15" s="143" customFormat="1" ht="12" customHeight="1" x14ac:dyDescent="0.2">
      <c r="A68" s="436"/>
      <c r="B68" s="436"/>
      <c r="C68" s="436"/>
      <c r="D68" s="436"/>
      <c r="E68" s="436"/>
      <c r="F68" s="436"/>
      <c r="G68" s="436"/>
      <c r="H68" s="436"/>
      <c r="I68" s="436"/>
      <c r="J68" s="436"/>
      <c r="K68" s="436"/>
      <c r="L68" s="436"/>
      <c r="M68" s="436"/>
      <c r="N68" s="436"/>
      <c r="O68" s="214"/>
    </row>
    <row r="69" spans="1:15" s="143" customFormat="1" ht="12" customHeight="1" x14ac:dyDescent="0.2">
      <c r="A69" s="214"/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</row>
    <row r="70" spans="1:15" s="143" customFormat="1" ht="12" customHeight="1" x14ac:dyDescent="0.2">
      <c r="A70" s="208"/>
      <c r="I70" s="145"/>
      <c r="N70" s="142"/>
    </row>
    <row r="71" spans="1:15" s="143" customFormat="1" ht="12" customHeight="1" x14ac:dyDescent="0.2">
      <c r="A71" s="208"/>
      <c r="I71" s="145"/>
      <c r="N71" s="142"/>
    </row>
    <row r="72" spans="1:15" s="143" customFormat="1" ht="12" customHeight="1" x14ac:dyDescent="0.2">
      <c r="A72" s="208"/>
      <c r="I72" s="145"/>
      <c r="N72" s="142"/>
    </row>
    <row r="73" spans="1:15" s="143" customFormat="1" ht="12" customHeight="1" x14ac:dyDescent="0.2">
      <c r="A73" s="208"/>
      <c r="I73" s="145"/>
      <c r="N73" s="142"/>
    </row>
    <row r="74" spans="1:15" s="209" customFormat="1" ht="12" customHeight="1" x14ac:dyDescent="0.2">
      <c r="A74" s="208"/>
      <c r="I74" s="210"/>
      <c r="N74" s="208"/>
    </row>
    <row r="75" spans="1:15" s="143" customFormat="1" ht="12" customHeight="1" x14ac:dyDescent="0.2">
      <c r="A75" s="208"/>
      <c r="I75" s="145"/>
      <c r="N75" s="142"/>
    </row>
    <row r="76" spans="1:15" s="143" customFormat="1" ht="12" customHeight="1" x14ac:dyDescent="0.2">
      <c r="A76" s="208"/>
      <c r="I76" s="145"/>
      <c r="N76" s="142"/>
    </row>
    <row r="77" spans="1:15" s="143" customFormat="1" ht="12" customHeight="1" x14ac:dyDescent="0.2">
      <c r="A77" s="208"/>
      <c r="I77" s="145"/>
      <c r="N77" s="142"/>
    </row>
    <row r="78" spans="1:15" s="143" customFormat="1" ht="12" customHeight="1" x14ac:dyDescent="0.2">
      <c r="A78" s="208"/>
      <c r="I78" s="145"/>
      <c r="N78" s="142"/>
    </row>
    <row r="79" spans="1:15" s="143" customFormat="1" ht="12" customHeight="1" x14ac:dyDescent="0.2">
      <c r="A79" s="208"/>
      <c r="I79" s="145"/>
      <c r="N79" s="142"/>
    </row>
    <row r="80" spans="1:15" s="143" customFormat="1" ht="12" customHeight="1" x14ac:dyDescent="0.2">
      <c r="A80" s="208"/>
      <c r="I80" s="145"/>
      <c r="N80" s="142"/>
    </row>
    <row r="81" spans="1:14" s="143" customFormat="1" ht="12" customHeight="1" x14ac:dyDescent="0.2">
      <c r="A81" s="208"/>
      <c r="I81" s="145"/>
      <c r="N81" s="142"/>
    </row>
    <row r="82" spans="1:14" s="143" customFormat="1" ht="12" customHeight="1" x14ac:dyDescent="0.2">
      <c r="A82" s="208"/>
      <c r="I82" s="145"/>
      <c r="N82" s="142"/>
    </row>
  </sheetData>
  <mergeCells count="9">
    <mergeCell ref="A5:N5"/>
    <mergeCell ref="A68:N68"/>
    <mergeCell ref="A63:H63"/>
    <mergeCell ref="A64:N64"/>
    <mergeCell ref="A8:N8"/>
    <mergeCell ref="A37:N37"/>
    <mergeCell ref="A26:N26"/>
    <mergeCell ref="A47:N47"/>
    <mergeCell ref="A13:N13"/>
  </mergeCells>
  <phoneticPr fontId="0" type="noConversion"/>
  <pageMargins left="0.7" right="0.7" top="0.75" bottom="0.75" header="0.3" footer="0.3"/>
  <pageSetup paperSize="9" scale="68" fitToHeight="2" orientation="landscape" r:id="rId1"/>
  <headerFooter alignWithMargins="0">
    <oddHeader>&amp;L&amp;G</oddHeader>
  </headerFooter>
  <rowBreaks count="1" manualBreakCount="1">
    <brk id="53" max="13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2"/>
  <sheetViews>
    <sheetView showGridLines="0" showRowColHeaders="0" view="pageLayout" topLeftCell="D45" zoomScaleNormal="100" zoomScaleSheetLayoutView="120" workbookViewId="0">
      <selection activeCell="O59" sqref="O59"/>
    </sheetView>
  </sheetViews>
  <sheetFormatPr baseColWidth="10" defaultRowHeight="11.25" x14ac:dyDescent="0.2"/>
  <cols>
    <col min="1" max="1" width="60" style="4" customWidth="1"/>
    <col min="2" max="8" width="9.7109375" style="5" customWidth="1"/>
    <col min="9" max="9" width="9.7109375" style="7" customWidth="1"/>
    <col min="10" max="13" width="9.7109375" style="5" customWidth="1"/>
    <col min="14" max="14" width="18.5703125" style="4" customWidth="1"/>
    <col min="15" max="16384" width="11.42578125" style="5"/>
  </cols>
  <sheetData>
    <row r="2" spans="1:18" s="2" customFormat="1" x14ac:dyDescent="0.2">
      <c r="A2" s="1"/>
      <c r="I2" s="3"/>
      <c r="N2" s="1"/>
    </row>
    <row r="3" spans="1:18" x14ac:dyDescent="0.2">
      <c r="G3" s="6"/>
    </row>
    <row r="4" spans="1:18" s="2" customFormat="1" ht="12.75" x14ac:dyDescent="0.2">
      <c r="A4" s="434" t="s">
        <v>297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8" ht="12" thickBot="1" x14ac:dyDescent="0.25">
      <c r="G5" s="6"/>
    </row>
    <row r="6" spans="1:18" s="11" customFormat="1" ht="12" thickBot="1" x14ac:dyDescent="0.25">
      <c r="A6" s="9" t="s">
        <v>0</v>
      </c>
      <c r="B6" s="186" t="s">
        <v>1</v>
      </c>
      <c r="C6" s="186" t="s">
        <v>2</v>
      </c>
      <c r="D6" s="186" t="s">
        <v>3</v>
      </c>
      <c r="E6" s="186" t="s">
        <v>4</v>
      </c>
      <c r="F6" s="186" t="s">
        <v>5</v>
      </c>
      <c r="G6" s="186" t="s">
        <v>6</v>
      </c>
      <c r="H6" s="186" t="s">
        <v>7</v>
      </c>
      <c r="I6" s="186" t="s">
        <v>8</v>
      </c>
      <c r="J6" s="186" t="s">
        <v>9</v>
      </c>
      <c r="K6" s="186" t="s">
        <v>10</v>
      </c>
      <c r="L6" s="186" t="s">
        <v>11</v>
      </c>
      <c r="M6" s="186" t="s">
        <v>12</v>
      </c>
      <c r="N6" s="187" t="s">
        <v>13</v>
      </c>
      <c r="O6" s="10"/>
      <c r="P6" s="10"/>
      <c r="Q6" s="10"/>
      <c r="R6" s="10"/>
    </row>
    <row r="7" spans="1:18" x14ac:dyDescent="0.2">
      <c r="A7" s="439" t="s">
        <v>242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1"/>
    </row>
    <row r="8" spans="1:18" x14ac:dyDescent="0.2">
      <c r="A8" s="14" t="s">
        <v>15</v>
      </c>
      <c r="B8" s="12">
        <v>9348</v>
      </c>
      <c r="C8" s="6">
        <v>12090</v>
      </c>
      <c r="D8" s="6">
        <v>11786</v>
      </c>
      <c r="E8" s="6">
        <v>2470</v>
      </c>
      <c r="F8" s="6">
        <v>283</v>
      </c>
      <c r="G8" s="6">
        <v>0</v>
      </c>
      <c r="H8" s="12">
        <v>2493</v>
      </c>
      <c r="I8" s="12">
        <v>27922</v>
      </c>
      <c r="J8" s="6">
        <v>24822</v>
      </c>
      <c r="K8" s="6">
        <v>21596</v>
      </c>
      <c r="L8" s="6">
        <v>11070</v>
      </c>
      <c r="M8" s="6">
        <v>15945</v>
      </c>
      <c r="N8" s="13">
        <f>SUM(B8:M8)</f>
        <v>139825</v>
      </c>
    </row>
    <row r="9" spans="1:18" x14ac:dyDescent="0.2">
      <c r="A9" s="14" t="s">
        <v>16</v>
      </c>
      <c r="B9" s="12">
        <v>12169</v>
      </c>
      <c r="C9" s="6">
        <v>11462</v>
      </c>
      <c r="D9" s="6">
        <v>10572</v>
      </c>
      <c r="E9" s="6">
        <v>8253</v>
      </c>
      <c r="F9" s="6">
        <v>11435</v>
      </c>
      <c r="G9" s="6">
        <v>3765</v>
      </c>
      <c r="H9" s="12">
        <v>11674</v>
      </c>
      <c r="I9" s="12">
        <v>4809</v>
      </c>
      <c r="J9" s="6">
        <v>9188</v>
      </c>
      <c r="K9" s="6">
        <v>0</v>
      </c>
      <c r="L9" s="6">
        <v>7139</v>
      </c>
      <c r="M9" s="6">
        <v>9916</v>
      </c>
      <c r="N9" s="13">
        <f>SUM(B9:M9)</f>
        <v>100382</v>
      </c>
    </row>
    <row r="10" spans="1:18" ht="12" thickBot="1" x14ac:dyDescent="0.25">
      <c r="A10" s="14" t="s">
        <v>195</v>
      </c>
      <c r="B10" s="12">
        <v>5612</v>
      </c>
      <c r="C10" s="6">
        <v>5528</v>
      </c>
      <c r="D10" s="6">
        <v>6042</v>
      </c>
      <c r="E10" s="6">
        <v>7003</v>
      </c>
      <c r="F10" s="6">
        <v>3765</v>
      </c>
      <c r="G10" s="6">
        <v>6901</v>
      </c>
      <c r="H10" s="12">
        <v>5645</v>
      </c>
      <c r="I10" s="12">
        <v>10195</v>
      </c>
      <c r="J10" s="6">
        <v>4462</v>
      </c>
      <c r="K10" s="6">
        <v>6598</v>
      </c>
      <c r="L10" s="6">
        <v>5570</v>
      </c>
      <c r="M10" s="6">
        <v>6815</v>
      </c>
      <c r="N10" s="13">
        <f>SUM(B10:M10)</f>
        <v>74136</v>
      </c>
    </row>
    <row r="11" spans="1:18" s="11" customFormat="1" ht="12" thickBot="1" x14ac:dyDescent="0.25">
      <c r="A11" s="9" t="s">
        <v>243</v>
      </c>
      <c r="B11" s="188">
        <f t="shared" ref="B11:M11" si="0">SUM(B8:B10)</f>
        <v>27129</v>
      </c>
      <c r="C11" s="188">
        <f t="shared" si="0"/>
        <v>29080</v>
      </c>
      <c r="D11" s="188">
        <f t="shared" si="0"/>
        <v>28400</v>
      </c>
      <c r="E11" s="188">
        <f t="shared" si="0"/>
        <v>17726</v>
      </c>
      <c r="F11" s="188">
        <f t="shared" si="0"/>
        <v>15483</v>
      </c>
      <c r="G11" s="188">
        <f t="shared" si="0"/>
        <v>10666</v>
      </c>
      <c r="H11" s="188">
        <f t="shared" si="0"/>
        <v>19812</v>
      </c>
      <c r="I11" s="188">
        <f t="shared" si="0"/>
        <v>42926</v>
      </c>
      <c r="J11" s="188">
        <f t="shared" si="0"/>
        <v>38472</v>
      </c>
      <c r="K11" s="188">
        <f t="shared" si="0"/>
        <v>28194</v>
      </c>
      <c r="L11" s="188">
        <f t="shared" si="0"/>
        <v>23779</v>
      </c>
      <c r="M11" s="188">
        <f t="shared" si="0"/>
        <v>32676</v>
      </c>
      <c r="N11" s="189">
        <f>SUM(B11:M11)</f>
        <v>314343</v>
      </c>
    </row>
    <row r="12" spans="1:18" s="11" customFormat="1" x14ac:dyDescent="0.2">
      <c r="A12" s="448" t="s">
        <v>244</v>
      </c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50"/>
    </row>
    <row r="13" spans="1:18" s="11" customFormat="1" x14ac:dyDescent="0.2">
      <c r="A13" s="20" t="s">
        <v>245</v>
      </c>
      <c r="B13" s="6">
        <v>625</v>
      </c>
      <c r="C13" s="6">
        <v>481</v>
      </c>
      <c r="D13" s="6">
        <v>838</v>
      </c>
      <c r="E13" s="6">
        <v>35</v>
      </c>
      <c r="F13" s="6">
        <v>0</v>
      </c>
      <c r="G13" s="11">
        <v>0</v>
      </c>
      <c r="H13" s="6">
        <v>0</v>
      </c>
      <c r="I13" s="12">
        <v>0</v>
      </c>
      <c r="J13" s="6">
        <v>0</v>
      </c>
      <c r="K13" s="6">
        <v>0</v>
      </c>
      <c r="L13" s="223">
        <v>0</v>
      </c>
      <c r="M13" s="6">
        <v>0</v>
      </c>
      <c r="N13" s="222">
        <f>SUM(B13:M13)</f>
        <v>1979</v>
      </c>
    </row>
    <row r="14" spans="1:18" s="11" customFormat="1" x14ac:dyDescent="0.2">
      <c r="A14" s="20" t="s">
        <v>246</v>
      </c>
      <c r="B14" s="22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12">
        <v>0</v>
      </c>
      <c r="J14" s="6">
        <v>0</v>
      </c>
      <c r="K14" s="6">
        <v>0</v>
      </c>
      <c r="L14" s="6">
        <v>0</v>
      </c>
      <c r="M14" s="6">
        <v>0</v>
      </c>
      <c r="N14" s="222">
        <f>SUM(B14:M14)</f>
        <v>0</v>
      </c>
    </row>
    <row r="15" spans="1:18" s="11" customFormat="1" x14ac:dyDescent="0.2">
      <c r="A15" s="20" t="s">
        <v>247</v>
      </c>
      <c r="B15" s="6">
        <v>8919</v>
      </c>
      <c r="C15" s="6">
        <v>6886</v>
      </c>
      <c r="D15" s="6">
        <v>7310</v>
      </c>
      <c r="E15" s="6">
        <v>7239</v>
      </c>
      <c r="F15" s="6">
        <v>10650</v>
      </c>
      <c r="G15" s="6">
        <v>10561</v>
      </c>
      <c r="H15" s="6">
        <v>13608</v>
      </c>
      <c r="I15" s="12">
        <v>11825</v>
      </c>
      <c r="J15" s="6">
        <v>11987</v>
      </c>
      <c r="K15" s="6">
        <v>8126</v>
      </c>
      <c r="L15" s="6">
        <v>8556</v>
      </c>
      <c r="M15" s="6">
        <v>8216</v>
      </c>
      <c r="N15" s="222">
        <f>SUM(B15:M15)</f>
        <v>113883</v>
      </c>
    </row>
    <row r="16" spans="1:18" s="11" customFormat="1" ht="12" thickBot="1" x14ac:dyDescent="0.25">
      <c r="A16" s="20" t="s">
        <v>248</v>
      </c>
      <c r="B16" s="6">
        <v>329</v>
      </c>
      <c r="C16" s="6">
        <v>538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12">
        <v>0</v>
      </c>
      <c r="J16" s="6">
        <v>0</v>
      </c>
      <c r="K16" s="6">
        <v>0</v>
      </c>
      <c r="L16" s="6">
        <v>0</v>
      </c>
      <c r="M16" s="6">
        <v>0</v>
      </c>
      <c r="N16" s="222">
        <f>SUM(B16:M16)</f>
        <v>867</v>
      </c>
    </row>
    <row r="17" spans="1:15" s="11" customFormat="1" ht="12" thickBot="1" x14ac:dyDescent="0.25">
      <c r="A17" s="15" t="s">
        <v>249</v>
      </c>
      <c r="B17" s="188">
        <f>SUM(B13:B16)</f>
        <v>9873</v>
      </c>
      <c r="C17" s="188">
        <f>SUM(C13:C16)</f>
        <v>7905</v>
      </c>
      <c r="D17" s="188">
        <f>SUM(D13:D16)</f>
        <v>8148</v>
      </c>
      <c r="E17" s="188">
        <f>SUM(E13:E16)</f>
        <v>7274</v>
      </c>
      <c r="F17" s="188">
        <f>SUM(F13:F16)</f>
        <v>10650</v>
      </c>
      <c r="G17" s="188">
        <f>SUM(G14:G16)</f>
        <v>10561</v>
      </c>
      <c r="H17" s="188">
        <f>SUM(H13:H16)</f>
        <v>13608</v>
      </c>
      <c r="I17" s="190">
        <f>SUM(I13:I16)</f>
        <v>11825</v>
      </c>
      <c r="J17" s="188">
        <f>SUM(J13:J16)</f>
        <v>11987</v>
      </c>
      <c r="K17" s="188">
        <f>SUM(K13:K16)</f>
        <v>8126</v>
      </c>
      <c r="L17" s="188">
        <f>SUM(L14:L16)</f>
        <v>8556</v>
      </c>
      <c r="M17" s="188">
        <f>SUM(M13:M16)</f>
        <v>8216</v>
      </c>
      <c r="N17" s="217">
        <f>SUM(B17:M17)</f>
        <v>116729</v>
      </c>
    </row>
    <row r="18" spans="1:15" s="11" customFormat="1" x14ac:dyDescent="0.2">
      <c r="A18" s="192" t="s">
        <v>250</v>
      </c>
      <c r="B18" s="193"/>
      <c r="C18" s="193"/>
      <c r="D18" s="193"/>
      <c r="E18" s="193"/>
      <c r="F18" s="193"/>
      <c r="G18" s="193"/>
      <c r="H18" s="193"/>
      <c r="I18" s="47"/>
      <c r="J18" s="193"/>
      <c r="K18" s="193"/>
      <c r="L18" s="193"/>
      <c r="M18" s="193"/>
      <c r="N18" s="221"/>
    </row>
    <row r="19" spans="1:15" s="16" customFormat="1" x14ac:dyDescent="0.2">
      <c r="A19" s="50" t="s">
        <v>284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37">
        <v>0</v>
      </c>
      <c r="J19" s="41">
        <v>0</v>
      </c>
      <c r="K19" s="41">
        <v>0</v>
      </c>
      <c r="L19" s="41">
        <v>0</v>
      </c>
      <c r="M19" s="41">
        <v>0</v>
      </c>
      <c r="N19" s="220">
        <f t="shared" ref="N19:N24" si="1">SUM(B19:M19)</f>
        <v>0</v>
      </c>
    </row>
    <row r="20" spans="1:15" s="16" customFormat="1" x14ac:dyDescent="0.2">
      <c r="A20" s="50" t="s">
        <v>285</v>
      </c>
      <c r="B20" s="41">
        <v>808</v>
      </c>
      <c r="C20" s="41">
        <v>1038</v>
      </c>
      <c r="D20" s="41">
        <v>857</v>
      </c>
      <c r="E20" s="41">
        <v>1074</v>
      </c>
      <c r="F20" s="41">
        <v>1114</v>
      </c>
      <c r="G20" s="41">
        <v>877</v>
      </c>
      <c r="H20" s="41">
        <v>1097</v>
      </c>
      <c r="I20" s="37">
        <v>975</v>
      </c>
      <c r="J20" s="41">
        <v>978</v>
      </c>
      <c r="K20" s="41">
        <v>1031</v>
      </c>
      <c r="L20" s="41">
        <v>994</v>
      </c>
      <c r="M20" s="41">
        <v>1068</v>
      </c>
      <c r="N20" s="220">
        <f t="shared" si="1"/>
        <v>11911</v>
      </c>
      <c r="O20" s="16">
        <f>+N11+N17+N22+N23+N30+N31+N32+N33+N34+N35+N36+N46+N50+N51</f>
        <v>3119315</v>
      </c>
    </row>
    <row r="21" spans="1:15" s="16" customFormat="1" ht="12" thickBot="1" x14ac:dyDescent="0.25">
      <c r="A21" s="196" t="s">
        <v>253</v>
      </c>
      <c r="B21" s="219">
        <v>111</v>
      </c>
      <c r="C21" s="219">
        <v>0</v>
      </c>
      <c r="D21" s="219">
        <v>0</v>
      </c>
      <c r="E21" s="219">
        <v>0</v>
      </c>
      <c r="F21" s="219">
        <v>0</v>
      </c>
      <c r="G21" s="219">
        <v>0</v>
      </c>
      <c r="H21" s="219">
        <v>0</v>
      </c>
      <c r="I21" s="34">
        <v>0</v>
      </c>
      <c r="J21" s="219">
        <v>0</v>
      </c>
      <c r="K21" s="219">
        <v>0</v>
      </c>
      <c r="L21" s="219">
        <v>0</v>
      </c>
      <c r="M21" s="219">
        <v>0</v>
      </c>
      <c r="N21" s="218">
        <f t="shared" si="1"/>
        <v>111</v>
      </c>
      <c r="O21" s="16">
        <f>+O20-N50</f>
        <v>3095167</v>
      </c>
    </row>
    <row r="22" spans="1:15" s="16" customFormat="1" ht="12" thickBot="1" x14ac:dyDescent="0.25">
      <c r="A22" s="15" t="s">
        <v>254</v>
      </c>
      <c r="B22" s="188">
        <f t="shared" ref="B22:M22" si="2">SUM(B19:B21)</f>
        <v>919</v>
      </c>
      <c r="C22" s="188">
        <f t="shared" si="2"/>
        <v>1038</v>
      </c>
      <c r="D22" s="188">
        <f t="shared" si="2"/>
        <v>857</v>
      </c>
      <c r="E22" s="188">
        <f t="shared" si="2"/>
        <v>1074</v>
      </c>
      <c r="F22" s="188">
        <f t="shared" si="2"/>
        <v>1114</v>
      </c>
      <c r="G22" s="188">
        <f t="shared" si="2"/>
        <v>877</v>
      </c>
      <c r="H22" s="188">
        <f t="shared" si="2"/>
        <v>1097</v>
      </c>
      <c r="I22" s="188">
        <f t="shared" si="2"/>
        <v>975</v>
      </c>
      <c r="J22" s="188">
        <f t="shared" si="2"/>
        <v>978</v>
      </c>
      <c r="K22" s="188">
        <f t="shared" si="2"/>
        <v>1031</v>
      </c>
      <c r="L22" s="188">
        <f t="shared" si="2"/>
        <v>994</v>
      </c>
      <c r="M22" s="188">
        <f t="shared" si="2"/>
        <v>1068</v>
      </c>
      <c r="N22" s="217">
        <f t="shared" si="1"/>
        <v>12022</v>
      </c>
      <c r="O22" s="16">
        <f>+O21-N51</f>
        <v>3037096</v>
      </c>
    </row>
    <row r="23" spans="1:15" s="16" customFormat="1" ht="12" thickBot="1" x14ac:dyDescent="0.25">
      <c r="A23" s="15" t="s">
        <v>255</v>
      </c>
      <c r="B23" s="188">
        <v>8624</v>
      </c>
      <c r="C23" s="188">
        <v>2435</v>
      </c>
      <c r="D23" s="188">
        <v>0</v>
      </c>
      <c r="E23" s="188">
        <v>4179</v>
      </c>
      <c r="F23" s="188">
        <v>9181</v>
      </c>
      <c r="G23" s="188">
        <v>8857</v>
      </c>
      <c r="H23" s="188">
        <v>10721</v>
      </c>
      <c r="I23" s="190">
        <v>10296</v>
      </c>
      <c r="J23" s="188">
        <v>9955</v>
      </c>
      <c r="K23" s="188">
        <v>9057</v>
      </c>
      <c r="L23" s="188">
        <v>9251</v>
      </c>
      <c r="M23" s="188">
        <v>7807</v>
      </c>
      <c r="N23" s="217">
        <f t="shared" si="1"/>
        <v>90363</v>
      </c>
    </row>
    <row r="24" spans="1:15" s="16" customFormat="1" ht="12" thickBot="1" x14ac:dyDescent="0.25">
      <c r="A24" s="15" t="s">
        <v>256</v>
      </c>
      <c r="B24" s="188">
        <v>0</v>
      </c>
      <c r="C24" s="188">
        <v>0</v>
      </c>
      <c r="D24" s="188">
        <v>0</v>
      </c>
      <c r="E24" s="188">
        <v>0</v>
      </c>
      <c r="F24" s="188">
        <v>0</v>
      </c>
      <c r="G24" s="188">
        <v>0</v>
      </c>
      <c r="H24" s="188">
        <v>0</v>
      </c>
      <c r="I24" s="190">
        <v>0</v>
      </c>
      <c r="J24" s="188">
        <v>0</v>
      </c>
      <c r="K24" s="188">
        <v>0</v>
      </c>
      <c r="L24" s="188">
        <v>0</v>
      </c>
      <c r="M24" s="188"/>
      <c r="N24" s="217">
        <f t="shared" si="1"/>
        <v>0</v>
      </c>
    </row>
    <row r="25" spans="1:15" s="16" customFormat="1" x14ac:dyDescent="0.2">
      <c r="A25" s="442"/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4"/>
    </row>
    <row r="26" spans="1:15" s="16" customFormat="1" x14ac:dyDescent="0.2">
      <c r="A26" s="14" t="s">
        <v>258</v>
      </c>
      <c r="B26" s="6">
        <v>6650</v>
      </c>
      <c r="C26" s="6">
        <v>6642</v>
      </c>
      <c r="D26" s="6">
        <v>4083</v>
      </c>
      <c r="E26" s="6">
        <v>3888</v>
      </c>
      <c r="F26" s="6">
        <v>4586</v>
      </c>
      <c r="G26" s="6">
        <v>3635</v>
      </c>
      <c r="H26" s="6">
        <v>6707</v>
      </c>
      <c r="I26" s="12">
        <v>4297</v>
      </c>
      <c r="J26" s="6">
        <v>4389</v>
      </c>
      <c r="K26" s="6">
        <v>6034</v>
      </c>
      <c r="L26" s="6">
        <v>5329</v>
      </c>
      <c r="M26" s="6">
        <v>5547</v>
      </c>
      <c r="N26" s="13">
        <f t="shared" ref="N26:N36" si="3">SUM(B26:M26)</f>
        <v>61787</v>
      </c>
    </row>
    <row r="27" spans="1:15" s="16" customFormat="1" x14ac:dyDescent="0.2">
      <c r="A27" s="14" t="s">
        <v>259</v>
      </c>
      <c r="B27" s="6">
        <v>6440</v>
      </c>
      <c r="C27" s="6">
        <v>6191</v>
      </c>
      <c r="D27" s="6">
        <v>5847</v>
      </c>
      <c r="E27" s="6">
        <v>6516</v>
      </c>
      <c r="F27" s="6">
        <v>5550</v>
      </c>
      <c r="G27" s="6">
        <v>4136</v>
      </c>
      <c r="H27" s="6">
        <v>7409</v>
      </c>
      <c r="I27" s="12">
        <v>6022</v>
      </c>
      <c r="J27" s="6">
        <v>5347</v>
      </c>
      <c r="K27" s="6">
        <v>6744</v>
      </c>
      <c r="L27" s="6">
        <v>5953</v>
      </c>
      <c r="M27" s="6">
        <v>6945</v>
      </c>
      <c r="N27" s="13">
        <f t="shared" si="3"/>
        <v>73100</v>
      </c>
    </row>
    <row r="28" spans="1:15" s="16" customFormat="1" x14ac:dyDescent="0.2">
      <c r="A28" s="14" t="s">
        <v>260</v>
      </c>
      <c r="B28" s="12">
        <v>35478</v>
      </c>
      <c r="C28" s="6">
        <v>26235</v>
      </c>
      <c r="D28" s="6">
        <v>20261</v>
      </c>
      <c r="E28" s="6">
        <v>13729</v>
      </c>
      <c r="F28" s="6">
        <v>16068</v>
      </c>
      <c r="G28" s="6">
        <v>14911</v>
      </c>
      <c r="H28" s="6">
        <v>33851</v>
      </c>
      <c r="I28" s="12">
        <v>19372</v>
      </c>
      <c r="J28" s="6">
        <v>21531</v>
      </c>
      <c r="K28" s="6">
        <v>24610</v>
      </c>
      <c r="L28" s="6">
        <v>23056</v>
      </c>
      <c r="M28" s="6">
        <v>19116</v>
      </c>
      <c r="N28" s="13">
        <f t="shared" si="3"/>
        <v>268218</v>
      </c>
    </row>
    <row r="29" spans="1:15" s="16" customFormat="1" ht="12" thickBot="1" x14ac:dyDescent="0.25">
      <c r="A29" s="14" t="s">
        <v>261</v>
      </c>
      <c r="B29" s="12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12">
        <v>0</v>
      </c>
      <c r="J29" s="6">
        <v>0</v>
      </c>
      <c r="K29" s="6">
        <v>0</v>
      </c>
      <c r="L29" s="6"/>
      <c r="M29" s="6"/>
      <c r="N29" s="13">
        <f t="shared" si="3"/>
        <v>0</v>
      </c>
    </row>
    <row r="30" spans="1:15" s="16" customFormat="1" ht="12" thickBot="1" x14ac:dyDescent="0.25">
      <c r="A30" s="9" t="s">
        <v>262</v>
      </c>
      <c r="B30" s="190">
        <f t="shared" ref="B30:M30" si="4">SUM(B26:B29)</f>
        <v>48568</v>
      </c>
      <c r="C30" s="190">
        <f t="shared" si="4"/>
        <v>39068</v>
      </c>
      <c r="D30" s="190">
        <f t="shared" si="4"/>
        <v>30191</v>
      </c>
      <c r="E30" s="190">
        <f t="shared" si="4"/>
        <v>24133</v>
      </c>
      <c r="F30" s="190">
        <f t="shared" si="4"/>
        <v>26204</v>
      </c>
      <c r="G30" s="190">
        <f t="shared" si="4"/>
        <v>22682</v>
      </c>
      <c r="H30" s="190">
        <f t="shared" si="4"/>
        <v>47967</v>
      </c>
      <c r="I30" s="190">
        <f t="shared" si="4"/>
        <v>29691</v>
      </c>
      <c r="J30" s="190">
        <f t="shared" si="4"/>
        <v>31267</v>
      </c>
      <c r="K30" s="190">
        <f t="shared" si="4"/>
        <v>37388</v>
      </c>
      <c r="L30" s="190">
        <f t="shared" si="4"/>
        <v>34338</v>
      </c>
      <c r="M30" s="190">
        <f t="shared" si="4"/>
        <v>31608</v>
      </c>
      <c r="N30" s="189">
        <f t="shared" si="3"/>
        <v>403105</v>
      </c>
    </row>
    <row r="31" spans="1:15" s="16" customFormat="1" ht="12" thickBot="1" x14ac:dyDescent="0.25">
      <c r="A31" s="200" t="s">
        <v>263</v>
      </c>
      <c r="B31" s="201">
        <v>9176</v>
      </c>
      <c r="C31" s="201">
        <v>7938</v>
      </c>
      <c r="D31" s="201">
        <v>7083</v>
      </c>
      <c r="E31" s="201">
        <v>9728</v>
      </c>
      <c r="F31" s="201">
        <v>9338</v>
      </c>
      <c r="G31" s="201">
        <v>9112</v>
      </c>
      <c r="H31" s="201">
        <v>12566</v>
      </c>
      <c r="I31" s="202">
        <v>12539</v>
      </c>
      <c r="J31" s="201">
        <v>9651</v>
      </c>
      <c r="K31" s="201">
        <v>10755</v>
      </c>
      <c r="L31" s="201">
        <v>9803</v>
      </c>
      <c r="M31" s="201">
        <v>9860</v>
      </c>
      <c r="N31" s="203">
        <f t="shared" si="3"/>
        <v>117549</v>
      </c>
    </row>
    <row r="32" spans="1:15" s="16" customFormat="1" ht="12" thickBot="1" x14ac:dyDescent="0.25">
      <c r="A32" s="39" t="s">
        <v>286</v>
      </c>
      <c r="B32" s="204">
        <v>2918</v>
      </c>
      <c r="C32" s="204">
        <v>2343</v>
      </c>
      <c r="D32" s="204">
        <v>2139</v>
      </c>
      <c r="E32" s="204">
        <v>2134</v>
      </c>
      <c r="F32" s="204">
        <v>1947</v>
      </c>
      <c r="G32" s="204">
        <v>1454</v>
      </c>
      <c r="H32" s="204">
        <v>2500</v>
      </c>
      <c r="I32" s="205">
        <v>1440</v>
      </c>
      <c r="J32" s="204">
        <v>2070</v>
      </c>
      <c r="K32" s="204">
        <v>1853</v>
      </c>
      <c r="L32" s="204">
        <v>1355</v>
      </c>
      <c r="M32" s="204">
        <v>2057</v>
      </c>
      <c r="N32" s="217">
        <f t="shared" si="3"/>
        <v>24210</v>
      </c>
    </row>
    <row r="33" spans="1:15" s="16" customFormat="1" ht="12" thickBot="1" x14ac:dyDescent="0.25">
      <c r="A33" s="39" t="s">
        <v>296</v>
      </c>
      <c r="B33" s="204">
        <v>124171</v>
      </c>
      <c r="C33" s="204">
        <v>110430</v>
      </c>
      <c r="D33" s="204">
        <v>82145</v>
      </c>
      <c r="E33" s="204">
        <v>79948</v>
      </c>
      <c r="F33" s="204">
        <v>109561</v>
      </c>
      <c r="G33" s="204">
        <v>134101</v>
      </c>
      <c r="H33" s="204">
        <v>144446</v>
      </c>
      <c r="I33" s="205">
        <v>114862</v>
      </c>
      <c r="J33" s="204">
        <v>109725</v>
      </c>
      <c r="K33" s="204">
        <v>114734</v>
      </c>
      <c r="L33" s="204">
        <v>126929</v>
      </c>
      <c r="M33" s="204">
        <v>156493</v>
      </c>
      <c r="N33" s="217">
        <f t="shared" si="3"/>
        <v>1407545</v>
      </c>
    </row>
    <row r="34" spans="1:15" s="16" customFormat="1" ht="12" thickBot="1" x14ac:dyDescent="0.25">
      <c r="A34" s="39" t="s">
        <v>288</v>
      </c>
      <c r="B34" s="204">
        <v>8740</v>
      </c>
      <c r="C34" s="204">
        <v>8336</v>
      </c>
      <c r="D34" s="204">
        <v>6480</v>
      </c>
      <c r="E34" s="204">
        <v>4393</v>
      </c>
      <c r="F34" s="204">
        <v>4095</v>
      </c>
      <c r="G34" s="204">
        <v>4301</v>
      </c>
      <c r="H34" s="204">
        <v>8619</v>
      </c>
      <c r="I34" s="205">
        <v>6279</v>
      </c>
      <c r="J34" s="204">
        <v>5783</v>
      </c>
      <c r="K34" s="204">
        <v>7023</v>
      </c>
      <c r="L34" s="204">
        <v>6322</v>
      </c>
      <c r="M34" s="204">
        <v>8069</v>
      </c>
      <c r="N34" s="217">
        <f t="shared" si="3"/>
        <v>78440</v>
      </c>
    </row>
    <row r="35" spans="1:15" s="16" customFormat="1" ht="12" thickBot="1" x14ac:dyDescent="0.25">
      <c r="A35" s="39" t="s">
        <v>289</v>
      </c>
      <c r="B35" s="204">
        <v>21302</v>
      </c>
      <c r="C35" s="204">
        <v>20243</v>
      </c>
      <c r="D35" s="204">
        <v>14129</v>
      </c>
      <c r="E35" s="204">
        <v>22547</v>
      </c>
      <c r="F35" s="204">
        <v>21631</v>
      </c>
      <c r="G35" s="204">
        <v>22797</v>
      </c>
      <c r="H35" s="204">
        <v>31035</v>
      </c>
      <c r="I35" s="205">
        <v>32663</v>
      </c>
      <c r="J35" s="204">
        <v>32717</v>
      </c>
      <c r="K35" s="204">
        <v>31325</v>
      </c>
      <c r="L35" s="204">
        <v>31795</v>
      </c>
      <c r="M35" s="204">
        <v>18598</v>
      </c>
      <c r="N35" s="217">
        <f t="shared" si="3"/>
        <v>300782</v>
      </c>
    </row>
    <row r="36" spans="1:15" s="16" customFormat="1" ht="12" thickBot="1" x14ac:dyDescent="0.25">
      <c r="A36" s="39" t="s">
        <v>290</v>
      </c>
      <c r="B36" s="204">
        <v>5361</v>
      </c>
      <c r="C36" s="204">
        <v>4356</v>
      </c>
      <c r="D36" s="204">
        <v>3976</v>
      </c>
      <c r="E36" s="204">
        <v>3286</v>
      </c>
      <c r="F36" s="204">
        <v>2545</v>
      </c>
      <c r="G36" s="204">
        <v>2423</v>
      </c>
      <c r="H36" s="204">
        <v>4873</v>
      </c>
      <c r="I36" s="205">
        <v>3417</v>
      </c>
      <c r="J36" s="204">
        <v>3491</v>
      </c>
      <c r="K36" s="204">
        <v>4278</v>
      </c>
      <c r="L36" s="204">
        <v>3629</v>
      </c>
      <c r="M36" s="204">
        <v>4652</v>
      </c>
      <c r="N36" s="217">
        <f t="shared" si="3"/>
        <v>46287</v>
      </c>
    </row>
    <row r="37" spans="1:15" x14ac:dyDescent="0.2">
      <c r="A37" s="442"/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4"/>
    </row>
    <row r="38" spans="1:15" x14ac:dyDescent="0.2">
      <c r="A38" s="14" t="s">
        <v>294</v>
      </c>
      <c r="B38" s="6">
        <v>4426</v>
      </c>
      <c r="C38" s="6">
        <v>4219</v>
      </c>
      <c r="D38" s="6">
        <v>1658</v>
      </c>
      <c r="E38" s="6">
        <v>0</v>
      </c>
      <c r="F38" s="6">
        <v>0</v>
      </c>
      <c r="G38" s="6">
        <v>0</v>
      </c>
      <c r="H38" s="6">
        <v>0</v>
      </c>
      <c r="I38" s="17">
        <v>0</v>
      </c>
      <c r="J38" s="6">
        <v>0</v>
      </c>
      <c r="K38" s="6">
        <v>0</v>
      </c>
      <c r="L38" s="6">
        <v>0</v>
      </c>
      <c r="M38" s="6">
        <v>0</v>
      </c>
      <c r="N38" s="13">
        <f t="shared" ref="N38:N46" si="5">SUM(B38:M38)</f>
        <v>10303</v>
      </c>
    </row>
    <row r="39" spans="1:15" x14ac:dyDescent="0.2">
      <c r="A39" s="14" t="s">
        <v>291</v>
      </c>
      <c r="B39" s="6">
        <v>250</v>
      </c>
      <c r="C39" s="6">
        <v>275</v>
      </c>
      <c r="D39" s="6">
        <v>31</v>
      </c>
      <c r="E39" s="6">
        <v>0</v>
      </c>
      <c r="F39" s="6">
        <v>0</v>
      </c>
      <c r="G39" s="6">
        <v>0</v>
      </c>
      <c r="H39" s="6">
        <v>0</v>
      </c>
      <c r="I39" s="12">
        <v>0</v>
      </c>
      <c r="J39" s="6">
        <v>0</v>
      </c>
      <c r="K39" s="6">
        <v>0</v>
      </c>
      <c r="L39" s="6">
        <v>0</v>
      </c>
      <c r="M39" s="6">
        <v>0</v>
      </c>
      <c r="N39" s="13">
        <f t="shared" si="5"/>
        <v>556</v>
      </c>
    </row>
    <row r="40" spans="1:15" x14ac:dyDescent="0.2">
      <c r="A40" s="14" t="s">
        <v>266</v>
      </c>
      <c r="B40" s="6">
        <v>12542</v>
      </c>
      <c r="C40" s="6">
        <v>12939</v>
      </c>
      <c r="D40" s="6">
        <v>11098</v>
      </c>
      <c r="E40" s="6">
        <v>6714</v>
      </c>
      <c r="F40" s="6">
        <v>5637</v>
      </c>
      <c r="G40" s="6">
        <v>6136</v>
      </c>
      <c r="H40" s="6">
        <v>0</v>
      </c>
      <c r="I40" s="12">
        <v>0</v>
      </c>
      <c r="J40" s="6">
        <v>0</v>
      </c>
      <c r="K40" s="6">
        <v>0</v>
      </c>
      <c r="L40" s="6">
        <v>0</v>
      </c>
      <c r="M40" s="6">
        <v>0</v>
      </c>
      <c r="N40" s="13">
        <f t="shared" si="5"/>
        <v>55066</v>
      </c>
    </row>
    <row r="41" spans="1:15" x14ac:dyDescent="0.2">
      <c r="A41" s="14" t="s">
        <v>267</v>
      </c>
      <c r="B41" s="6">
        <v>901</v>
      </c>
      <c r="C41" s="6">
        <v>927</v>
      </c>
      <c r="D41" s="6">
        <v>512</v>
      </c>
      <c r="E41" s="6">
        <v>431</v>
      </c>
      <c r="F41" s="6">
        <v>423</v>
      </c>
      <c r="G41" s="6">
        <v>419</v>
      </c>
      <c r="H41" s="6">
        <v>0</v>
      </c>
      <c r="I41" s="12">
        <v>0</v>
      </c>
      <c r="J41" s="6">
        <v>0</v>
      </c>
      <c r="K41" s="6">
        <v>0</v>
      </c>
      <c r="L41" s="6">
        <v>0</v>
      </c>
      <c r="M41" s="6">
        <v>0</v>
      </c>
      <c r="N41" s="13">
        <f t="shared" si="5"/>
        <v>3613</v>
      </c>
    </row>
    <row r="42" spans="1:15" x14ac:dyDescent="0.2">
      <c r="A42" s="14" t="s">
        <v>268</v>
      </c>
      <c r="B42" s="6">
        <v>5204</v>
      </c>
      <c r="C42" s="6">
        <v>4498</v>
      </c>
      <c r="D42" s="6">
        <v>3810</v>
      </c>
      <c r="E42" s="6">
        <v>2667</v>
      </c>
      <c r="F42" s="6">
        <v>3270</v>
      </c>
      <c r="G42" s="6">
        <v>2282</v>
      </c>
      <c r="H42" s="6">
        <v>0</v>
      </c>
      <c r="I42" s="12">
        <v>0</v>
      </c>
      <c r="J42" s="6">
        <v>0</v>
      </c>
      <c r="K42" s="6">
        <v>0</v>
      </c>
      <c r="L42" s="6">
        <v>0</v>
      </c>
      <c r="M42" s="6">
        <v>0</v>
      </c>
      <c r="N42" s="13">
        <f t="shared" si="5"/>
        <v>21731</v>
      </c>
    </row>
    <row r="43" spans="1:15" x14ac:dyDescent="0.2">
      <c r="A43" s="14" t="s">
        <v>269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12">
        <v>0</v>
      </c>
      <c r="J43" s="6">
        <v>0</v>
      </c>
      <c r="K43" s="6">
        <v>0</v>
      </c>
      <c r="L43" s="6">
        <v>0</v>
      </c>
      <c r="M43" s="6">
        <v>0</v>
      </c>
      <c r="N43" s="13">
        <f t="shared" si="5"/>
        <v>0</v>
      </c>
    </row>
    <row r="44" spans="1:15" x14ac:dyDescent="0.2">
      <c r="A44" s="14" t="s">
        <v>270</v>
      </c>
      <c r="B44" s="6">
        <v>1187</v>
      </c>
      <c r="C44" s="6">
        <v>1130</v>
      </c>
      <c r="D44" s="6">
        <v>1435</v>
      </c>
      <c r="E44" s="6">
        <v>1584</v>
      </c>
      <c r="F44" s="6">
        <v>1525</v>
      </c>
      <c r="G44" s="6">
        <v>1564</v>
      </c>
      <c r="H44" s="6">
        <v>0</v>
      </c>
      <c r="I44" s="12">
        <v>0</v>
      </c>
      <c r="J44" s="6">
        <v>0</v>
      </c>
      <c r="K44" s="6">
        <v>0</v>
      </c>
      <c r="L44" s="6">
        <v>0</v>
      </c>
      <c r="M44" s="6">
        <v>0</v>
      </c>
      <c r="N44" s="13">
        <f t="shared" si="5"/>
        <v>8425</v>
      </c>
    </row>
    <row r="45" spans="1:15" ht="12" thickBot="1" x14ac:dyDescent="0.25">
      <c r="A45" s="14" t="s">
        <v>271</v>
      </c>
      <c r="B45" s="6">
        <v>6100</v>
      </c>
      <c r="C45" s="6">
        <v>5388</v>
      </c>
      <c r="D45" s="6">
        <v>4428</v>
      </c>
      <c r="E45" s="6">
        <v>3306</v>
      </c>
      <c r="F45" s="6">
        <v>3536</v>
      </c>
      <c r="G45" s="6">
        <v>3269</v>
      </c>
      <c r="H45" s="6">
        <v>0</v>
      </c>
      <c r="I45" s="12">
        <v>0</v>
      </c>
      <c r="J45" s="6">
        <v>0</v>
      </c>
      <c r="K45" s="6">
        <v>0</v>
      </c>
      <c r="L45" s="6">
        <v>0</v>
      </c>
      <c r="M45" s="12">
        <v>0</v>
      </c>
      <c r="N45" s="13">
        <f t="shared" si="5"/>
        <v>26027</v>
      </c>
    </row>
    <row r="46" spans="1:15" s="11" customFormat="1" ht="12" thickBot="1" x14ac:dyDescent="0.25">
      <c r="A46" s="9" t="s">
        <v>272</v>
      </c>
      <c r="B46" s="188">
        <f t="shared" ref="B46:M46" si="6">SUM(B38:B45)</f>
        <v>30610</v>
      </c>
      <c r="C46" s="188">
        <f t="shared" si="6"/>
        <v>29376</v>
      </c>
      <c r="D46" s="188">
        <f t="shared" si="6"/>
        <v>22972</v>
      </c>
      <c r="E46" s="188">
        <f t="shared" si="6"/>
        <v>14702</v>
      </c>
      <c r="F46" s="188">
        <f t="shared" si="6"/>
        <v>14391</v>
      </c>
      <c r="G46" s="188">
        <f t="shared" si="6"/>
        <v>13670</v>
      </c>
      <c r="H46" s="188">
        <f t="shared" si="6"/>
        <v>0</v>
      </c>
      <c r="I46" s="190">
        <f t="shared" si="6"/>
        <v>0</v>
      </c>
      <c r="J46" s="188">
        <f t="shared" si="6"/>
        <v>0</v>
      </c>
      <c r="K46" s="188">
        <f t="shared" si="6"/>
        <v>0</v>
      </c>
      <c r="L46" s="188">
        <f t="shared" si="6"/>
        <v>0</v>
      </c>
      <c r="M46" s="188">
        <f t="shared" si="6"/>
        <v>0</v>
      </c>
      <c r="N46" s="189">
        <f t="shared" si="5"/>
        <v>125721</v>
      </c>
    </row>
    <row r="47" spans="1:15" s="11" customFormat="1" ht="12.75" customHeight="1" x14ac:dyDescent="0.2">
      <c r="A47" s="445" t="s">
        <v>273</v>
      </c>
      <c r="B47" s="446"/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7"/>
      <c r="O47" s="21"/>
    </row>
    <row r="48" spans="1:15" s="11" customFormat="1" x14ac:dyDescent="0.2">
      <c r="A48" s="35" t="s">
        <v>274</v>
      </c>
      <c r="B48" s="37">
        <v>6567</v>
      </c>
      <c r="C48" s="37">
        <v>4174</v>
      </c>
      <c r="D48" s="37">
        <v>1860</v>
      </c>
      <c r="E48" s="37">
        <v>738</v>
      </c>
      <c r="F48" s="37">
        <v>387</v>
      </c>
      <c r="G48" s="37">
        <v>309</v>
      </c>
      <c r="H48" s="37">
        <v>2473</v>
      </c>
      <c r="I48" s="37">
        <v>0</v>
      </c>
      <c r="J48" s="37">
        <v>362</v>
      </c>
      <c r="K48" s="37">
        <v>1291</v>
      </c>
      <c r="L48" s="37">
        <v>1937</v>
      </c>
      <c r="M48" s="37">
        <v>447</v>
      </c>
      <c r="N48" s="38">
        <f t="shared" ref="N48:N54" si="7">SUM(B48:M48)</f>
        <v>20545</v>
      </c>
    </row>
    <row r="49" spans="1:17" s="11" customFormat="1" ht="12" thickBot="1" x14ac:dyDescent="0.25">
      <c r="A49" s="32" t="s">
        <v>275</v>
      </c>
      <c r="B49" s="34">
        <v>1736</v>
      </c>
      <c r="C49" s="34">
        <v>2715</v>
      </c>
      <c r="D49" s="34">
        <v>334</v>
      </c>
      <c r="E49" s="34">
        <v>0</v>
      </c>
      <c r="F49" s="34">
        <v>13</v>
      </c>
      <c r="G49" s="34">
        <v>0</v>
      </c>
      <c r="H49" s="34">
        <v>463</v>
      </c>
      <c r="I49" s="34">
        <v>0</v>
      </c>
      <c r="J49" s="34">
        <v>70</v>
      </c>
      <c r="K49" s="34">
        <v>259</v>
      </c>
      <c r="L49" s="34">
        <v>482</v>
      </c>
      <c r="M49" s="34">
        <v>467</v>
      </c>
      <c r="N49" s="33">
        <f t="shared" si="7"/>
        <v>6539</v>
      </c>
      <c r="O49" s="21"/>
    </row>
    <row r="50" spans="1:17" s="18" customFormat="1" ht="12" thickBot="1" x14ac:dyDescent="0.25">
      <c r="A50" s="9" t="s">
        <v>276</v>
      </c>
      <c r="B50" s="190">
        <f t="shared" ref="B50:G50" si="8">SUM(B48:B49)</f>
        <v>8303</v>
      </c>
      <c r="C50" s="190">
        <f t="shared" si="8"/>
        <v>6889</v>
      </c>
      <c r="D50" s="190">
        <f t="shared" si="8"/>
        <v>2194</v>
      </c>
      <c r="E50" s="190">
        <f t="shared" si="8"/>
        <v>738</v>
      </c>
      <c r="F50" s="190">
        <f t="shared" si="8"/>
        <v>400</v>
      </c>
      <c r="G50" s="190">
        <f t="shared" si="8"/>
        <v>309</v>
      </c>
      <c r="H50" s="190">
        <v>0</v>
      </c>
      <c r="I50" s="190">
        <f>SUM(I48:I49)</f>
        <v>0</v>
      </c>
      <c r="J50" s="190">
        <f>SUM(J48:J49)</f>
        <v>432</v>
      </c>
      <c r="K50" s="190">
        <f>SUM(K48:K49)</f>
        <v>1550</v>
      </c>
      <c r="L50" s="190">
        <f>SUM(L48:L49)</f>
        <v>2419</v>
      </c>
      <c r="M50" s="190">
        <f>SUM(M48:M49)</f>
        <v>914</v>
      </c>
      <c r="N50" s="189">
        <f t="shared" si="7"/>
        <v>24148</v>
      </c>
      <c r="O50" s="16"/>
    </row>
    <row r="51" spans="1:17" s="21" customFormat="1" ht="12" thickBot="1" x14ac:dyDescent="0.25">
      <c r="A51" s="15" t="s">
        <v>277</v>
      </c>
      <c r="B51" s="188">
        <v>9049</v>
      </c>
      <c r="C51" s="188">
        <v>5554</v>
      </c>
      <c r="D51" s="188">
        <v>8293</v>
      </c>
      <c r="E51" s="188">
        <v>4476</v>
      </c>
      <c r="F51" s="188">
        <v>4167</v>
      </c>
      <c r="G51" s="188">
        <v>5653</v>
      </c>
      <c r="H51" s="188">
        <v>4089</v>
      </c>
      <c r="I51" s="190">
        <v>3093</v>
      </c>
      <c r="J51" s="188">
        <v>3625</v>
      </c>
      <c r="K51" s="188">
        <v>3777</v>
      </c>
      <c r="L51" s="188">
        <v>3548</v>
      </c>
      <c r="M51" s="188">
        <v>2747</v>
      </c>
      <c r="N51" s="217">
        <f t="shared" si="7"/>
        <v>58071</v>
      </c>
    </row>
    <row r="52" spans="1:17" s="16" customFormat="1" ht="12" hidden="1" customHeight="1" thickBot="1" x14ac:dyDescent="0.25">
      <c r="A52" s="15" t="s">
        <v>278</v>
      </c>
      <c r="B52" s="188">
        <v>0</v>
      </c>
      <c r="C52" s="188">
        <v>0</v>
      </c>
      <c r="D52" s="188"/>
      <c r="E52" s="188"/>
      <c r="F52" s="188"/>
      <c r="G52" s="188"/>
      <c r="H52" s="188">
        <v>0</v>
      </c>
      <c r="I52" s="190">
        <v>0</v>
      </c>
      <c r="J52" s="188">
        <v>0</v>
      </c>
      <c r="K52" s="188">
        <v>0</v>
      </c>
      <c r="L52" s="188">
        <v>0</v>
      </c>
      <c r="M52" s="188">
        <v>0</v>
      </c>
      <c r="N52" s="217">
        <f t="shared" si="7"/>
        <v>0</v>
      </c>
    </row>
    <row r="53" spans="1:17" s="16" customFormat="1" ht="12" hidden="1" customHeight="1" thickBot="1" x14ac:dyDescent="0.25">
      <c r="A53" s="15" t="s">
        <v>281</v>
      </c>
      <c r="B53" s="74" t="s">
        <v>280</v>
      </c>
      <c r="C53" s="74" t="s">
        <v>280</v>
      </c>
      <c r="D53" s="74" t="s">
        <v>280</v>
      </c>
      <c r="E53" s="74" t="s">
        <v>280</v>
      </c>
      <c r="F53" s="74" t="s">
        <v>280</v>
      </c>
      <c r="G53" s="74" t="s">
        <v>280</v>
      </c>
      <c r="H53" s="74" t="s">
        <v>280</v>
      </c>
      <c r="I53" s="74" t="s">
        <v>280</v>
      </c>
      <c r="J53" s="74" t="s">
        <v>280</v>
      </c>
      <c r="K53" s="74" t="s">
        <v>280</v>
      </c>
      <c r="L53" s="74" t="s">
        <v>280</v>
      </c>
      <c r="M53" s="74" t="s">
        <v>280</v>
      </c>
      <c r="N53" s="217">
        <f t="shared" si="7"/>
        <v>0</v>
      </c>
    </row>
    <row r="54" spans="1:17" s="21" customFormat="1" ht="12" hidden="1" customHeight="1" thickBot="1" x14ac:dyDescent="0.25">
      <c r="A54" s="15" t="s">
        <v>282</v>
      </c>
      <c r="B54" s="74" t="s">
        <v>280</v>
      </c>
      <c r="C54" s="74" t="s">
        <v>280</v>
      </c>
      <c r="D54" s="74" t="s">
        <v>280</v>
      </c>
      <c r="E54" s="74" t="s">
        <v>280</v>
      </c>
      <c r="F54" s="74" t="s">
        <v>280</v>
      </c>
      <c r="G54" s="74" t="s">
        <v>280</v>
      </c>
      <c r="H54" s="74" t="s">
        <v>280</v>
      </c>
      <c r="I54" s="74" t="s">
        <v>280</v>
      </c>
      <c r="J54" s="74" t="s">
        <v>280</v>
      </c>
      <c r="K54" s="74" t="s">
        <v>280</v>
      </c>
      <c r="L54" s="74" t="s">
        <v>280</v>
      </c>
      <c r="M54" s="74" t="s">
        <v>280</v>
      </c>
      <c r="N54" s="217">
        <f t="shared" si="7"/>
        <v>0</v>
      </c>
    </row>
    <row r="55" spans="1:17" s="23" customFormat="1" ht="13.5" thickTop="1" thickBot="1" x14ac:dyDescent="0.25">
      <c r="A55" s="206" t="s">
        <v>26</v>
      </c>
      <c r="B55" s="207">
        <f>B11+B17+B22+B23+B24+B30+B31+B32+B33+B46+B50+B51+B34+B35+B36</f>
        <v>314743</v>
      </c>
      <c r="C55" s="207">
        <f t="shared" ref="C55:M55" si="9">C11+C17+C22+C23+C24+C30+C31+C32+C33+C46+C50+C51+C34+C35+C36</f>
        <v>274991</v>
      </c>
      <c r="D55" s="207">
        <f t="shared" si="9"/>
        <v>217007</v>
      </c>
      <c r="E55" s="207">
        <f t="shared" si="9"/>
        <v>196338</v>
      </c>
      <c r="F55" s="207">
        <f t="shared" si="9"/>
        <v>230707</v>
      </c>
      <c r="G55" s="207">
        <f t="shared" si="9"/>
        <v>247463</v>
      </c>
      <c r="H55" s="207">
        <f t="shared" si="9"/>
        <v>301333</v>
      </c>
      <c r="I55" s="207">
        <f t="shared" si="9"/>
        <v>270006</v>
      </c>
      <c r="J55" s="207">
        <f t="shared" si="9"/>
        <v>260153</v>
      </c>
      <c r="K55" s="207">
        <f t="shared" si="9"/>
        <v>259091</v>
      </c>
      <c r="L55" s="207">
        <f t="shared" si="9"/>
        <v>262718</v>
      </c>
      <c r="M55" s="207">
        <f t="shared" si="9"/>
        <v>284765</v>
      </c>
      <c r="N55" s="207">
        <f>N11+N17+N22+N23+N24+N30+N31+N32+N33+N34+N35+N36+N46+N50+N51+N52+N53+N54</f>
        <v>3119315</v>
      </c>
    </row>
    <row r="56" spans="1:17" ht="12" thickTop="1" x14ac:dyDescent="0.2">
      <c r="A56" s="208" t="s">
        <v>292</v>
      </c>
      <c r="L56" s="24"/>
      <c r="N56" s="1"/>
      <c r="O56" s="6">
        <f>SUM(B55:M55)</f>
        <v>3119315</v>
      </c>
      <c r="P56" s="6"/>
      <c r="Q56" s="6"/>
    </row>
    <row r="57" spans="1:17" x14ac:dyDescent="0.2">
      <c r="A57" s="208" t="s">
        <v>295</v>
      </c>
      <c r="K57" s="6"/>
      <c r="L57" s="216"/>
      <c r="M57" s="6"/>
      <c r="N57" s="40"/>
      <c r="O57" s="6"/>
      <c r="P57" s="6"/>
      <c r="Q57" s="6"/>
    </row>
    <row r="58" spans="1:17" x14ac:dyDescent="0.2">
      <c r="A58" s="208" t="s">
        <v>363</v>
      </c>
      <c r="K58" s="6"/>
      <c r="L58" s="216"/>
      <c r="M58" s="6"/>
      <c r="N58" s="40"/>
      <c r="O58" s="6">
        <f>+O56-N50</f>
        <v>3095167</v>
      </c>
      <c r="P58" s="6"/>
      <c r="Q58" s="6"/>
    </row>
    <row r="59" spans="1:17" s="209" customFormat="1" ht="12" customHeight="1" x14ac:dyDescent="0.2">
      <c r="A59" s="208" t="s">
        <v>279</v>
      </c>
      <c r="I59" s="210"/>
      <c r="N59" s="215"/>
      <c r="O59" s="211"/>
    </row>
    <row r="60" spans="1:17" s="209" customFormat="1" ht="12" customHeight="1" x14ac:dyDescent="0.2">
      <c r="I60" s="210"/>
      <c r="N60" s="208"/>
      <c r="O60" s="211"/>
    </row>
    <row r="61" spans="1:17" s="209" customFormat="1" ht="12" customHeight="1" x14ac:dyDescent="0.2">
      <c r="A61" s="208"/>
      <c r="B61" s="208"/>
      <c r="C61" s="208"/>
      <c r="D61" s="208"/>
      <c r="E61" s="208"/>
      <c r="I61" s="210"/>
      <c r="N61" s="208"/>
    </row>
    <row r="62" spans="1:17" s="212" customFormat="1" ht="12" customHeight="1" x14ac:dyDescent="0.2">
      <c r="N62" s="213"/>
    </row>
    <row r="63" spans="1:17" s="212" customFormat="1" ht="12" customHeight="1" x14ac:dyDescent="0.2">
      <c r="A63" s="437"/>
      <c r="B63" s="437"/>
      <c r="C63" s="437"/>
      <c r="D63" s="437"/>
      <c r="E63" s="437"/>
      <c r="F63" s="437"/>
      <c r="G63" s="437"/>
      <c r="H63" s="437"/>
      <c r="I63" s="210"/>
      <c r="N63" s="213"/>
    </row>
    <row r="64" spans="1:17" s="143" customFormat="1" ht="12" customHeight="1" x14ac:dyDescent="0.2">
      <c r="A64" s="438"/>
      <c r="B64" s="438"/>
      <c r="C64" s="438"/>
      <c r="D64" s="438"/>
      <c r="E64" s="438"/>
      <c r="F64" s="438"/>
      <c r="G64" s="438"/>
      <c r="H64" s="438"/>
      <c r="I64" s="438"/>
      <c r="J64" s="438"/>
      <c r="K64" s="438"/>
      <c r="L64" s="438"/>
      <c r="M64" s="438"/>
      <c r="N64" s="438"/>
    </row>
    <row r="65" spans="1:15" s="143" customFormat="1" ht="12" customHeight="1" x14ac:dyDescent="0.2">
      <c r="A65" s="208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</row>
    <row r="66" spans="1:15" s="143" customFormat="1" ht="12" customHeight="1" x14ac:dyDescent="0.2">
      <c r="A66" s="208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</row>
    <row r="67" spans="1:15" s="143" customFormat="1" ht="12" customHeight="1" x14ac:dyDescent="0.2">
      <c r="A67" s="208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</row>
    <row r="68" spans="1:15" s="143" customFormat="1" ht="12" customHeight="1" x14ac:dyDescent="0.2">
      <c r="A68" s="436"/>
      <c r="B68" s="436"/>
      <c r="C68" s="436"/>
      <c r="D68" s="436"/>
      <c r="E68" s="436"/>
      <c r="F68" s="436"/>
      <c r="G68" s="436"/>
      <c r="H68" s="436"/>
      <c r="I68" s="436"/>
      <c r="J68" s="436"/>
      <c r="K68" s="436"/>
      <c r="L68" s="436"/>
      <c r="M68" s="436"/>
      <c r="N68" s="436"/>
      <c r="O68" s="214"/>
    </row>
    <row r="69" spans="1:15" s="143" customFormat="1" ht="12" customHeight="1" x14ac:dyDescent="0.2">
      <c r="A69" s="214"/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</row>
    <row r="70" spans="1:15" s="143" customFormat="1" ht="12" customHeight="1" x14ac:dyDescent="0.2">
      <c r="A70" s="208"/>
      <c r="I70" s="145"/>
      <c r="N70" s="142"/>
    </row>
    <row r="71" spans="1:15" s="143" customFormat="1" ht="12" customHeight="1" x14ac:dyDescent="0.2">
      <c r="A71" s="208"/>
      <c r="I71" s="145"/>
      <c r="N71" s="142"/>
    </row>
    <row r="72" spans="1:15" s="143" customFormat="1" ht="12" customHeight="1" x14ac:dyDescent="0.2">
      <c r="A72" s="208"/>
      <c r="I72" s="145"/>
      <c r="N72" s="142"/>
    </row>
    <row r="73" spans="1:15" s="143" customFormat="1" ht="12" customHeight="1" x14ac:dyDescent="0.2">
      <c r="A73" s="208"/>
      <c r="I73" s="145"/>
      <c r="N73" s="142"/>
    </row>
    <row r="74" spans="1:15" s="209" customFormat="1" ht="12" customHeight="1" x14ac:dyDescent="0.2">
      <c r="A74" s="208"/>
      <c r="I74" s="210"/>
      <c r="N74" s="208"/>
    </row>
    <row r="75" spans="1:15" s="143" customFormat="1" ht="12" customHeight="1" x14ac:dyDescent="0.2">
      <c r="A75" s="208"/>
      <c r="I75" s="145"/>
      <c r="N75" s="142"/>
    </row>
    <row r="76" spans="1:15" s="143" customFormat="1" ht="12" customHeight="1" x14ac:dyDescent="0.2">
      <c r="A76" s="208"/>
      <c r="I76" s="145"/>
      <c r="N76" s="142"/>
    </row>
    <row r="77" spans="1:15" s="143" customFormat="1" ht="12" customHeight="1" x14ac:dyDescent="0.2">
      <c r="A77" s="208"/>
      <c r="I77" s="145"/>
      <c r="N77" s="142"/>
    </row>
    <row r="78" spans="1:15" s="143" customFormat="1" ht="12" customHeight="1" x14ac:dyDescent="0.2">
      <c r="A78" s="208"/>
      <c r="I78" s="145"/>
      <c r="N78" s="142"/>
    </row>
    <row r="79" spans="1:15" s="143" customFormat="1" ht="12" customHeight="1" x14ac:dyDescent="0.2">
      <c r="A79" s="208"/>
      <c r="I79" s="145"/>
      <c r="N79" s="142"/>
    </row>
    <row r="80" spans="1:15" s="143" customFormat="1" ht="12" customHeight="1" x14ac:dyDescent="0.2">
      <c r="A80" s="208"/>
      <c r="I80" s="145"/>
      <c r="N80" s="142"/>
    </row>
    <row r="81" spans="1:14" s="143" customFormat="1" ht="12" customHeight="1" x14ac:dyDescent="0.2">
      <c r="A81" s="208"/>
      <c r="I81" s="145"/>
      <c r="N81" s="142"/>
    </row>
    <row r="82" spans="1:14" s="143" customFormat="1" ht="12" customHeight="1" x14ac:dyDescent="0.2">
      <c r="A82" s="208"/>
      <c r="I82" s="145"/>
      <c r="N82" s="142"/>
    </row>
  </sheetData>
  <mergeCells count="9">
    <mergeCell ref="A4:N4"/>
    <mergeCell ref="A68:N68"/>
    <mergeCell ref="A63:H63"/>
    <mergeCell ref="A64:N64"/>
    <mergeCell ref="A7:N7"/>
    <mergeCell ref="A37:N37"/>
    <mergeCell ref="A25:N25"/>
    <mergeCell ref="A47:N47"/>
    <mergeCell ref="A12:N12"/>
  </mergeCells>
  <pageMargins left="0.70866141732283472" right="0.70866141732283472" top="0.74803149606299213" bottom="0.74803149606299213" header="0.31496062992125984" footer="0.31496062992125984"/>
  <pageSetup paperSize="9" scale="64" fitToHeight="2" orientation="landscape" r:id="rId1"/>
  <headerFooter alignWithMargins="0">
    <oddHeader>&amp;L&amp;G</oddHeader>
  </headerFooter>
  <rowBreaks count="1" manualBreakCount="1">
    <brk id="53" max="13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showRowColHeaders="0" showRuler="0" view="pageLayout" topLeftCell="A19" zoomScaleNormal="100" workbookViewId="0">
      <selection activeCell="A43" sqref="A43"/>
    </sheetView>
  </sheetViews>
  <sheetFormatPr baseColWidth="10" defaultRowHeight="12.75" x14ac:dyDescent="0.2"/>
  <cols>
    <col min="1" max="1" width="61.140625" bestFit="1" customWidth="1"/>
  </cols>
  <sheetData>
    <row r="1" spans="1:14" x14ac:dyDescent="0.2">
      <c r="A1" s="4"/>
      <c r="B1" s="5"/>
      <c r="C1" s="5"/>
      <c r="D1" s="5"/>
      <c r="E1" s="5"/>
      <c r="F1" s="5"/>
      <c r="G1" s="5"/>
      <c r="H1" s="5"/>
      <c r="I1" s="7"/>
      <c r="J1" s="5"/>
      <c r="K1" s="5"/>
      <c r="L1" s="5"/>
      <c r="M1" s="5"/>
      <c r="N1" s="4"/>
    </row>
    <row r="2" spans="1:14" x14ac:dyDescent="0.2">
      <c r="A2" s="4"/>
      <c r="B2" s="5"/>
      <c r="C2" s="5"/>
      <c r="D2" s="5"/>
      <c r="E2" s="5"/>
      <c r="F2" s="5"/>
      <c r="G2" s="6"/>
      <c r="H2" s="5"/>
      <c r="I2" s="7"/>
      <c r="J2" s="5"/>
      <c r="K2" s="5"/>
      <c r="L2" s="5"/>
      <c r="M2" s="5"/>
      <c r="N2" s="4"/>
    </row>
    <row r="3" spans="1:14" x14ac:dyDescent="0.2">
      <c r="A3" s="434" t="s">
        <v>300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</row>
    <row r="4" spans="1:14" ht="13.5" thickBot="1" x14ac:dyDescent="0.25">
      <c r="A4" s="4"/>
      <c r="B4" s="5"/>
      <c r="C4" s="5"/>
      <c r="D4" s="5"/>
      <c r="E4" s="5"/>
      <c r="F4" s="5"/>
      <c r="G4" s="6"/>
      <c r="H4" s="5"/>
      <c r="I4" s="7"/>
      <c r="J4" s="5"/>
      <c r="K4" s="5"/>
      <c r="L4" s="5"/>
      <c r="M4" s="5"/>
      <c r="N4" s="4"/>
    </row>
    <row r="5" spans="1:14" ht="13.5" thickBot="1" x14ac:dyDescent="0.25">
      <c r="A5" s="9" t="s">
        <v>0</v>
      </c>
      <c r="B5" s="186" t="s">
        <v>1</v>
      </c>
      <c r="C5" s="186" t="s">
        <v>2</v>
      </c>
      <c r="D5" s="186" t="s">
        <v>3</v>
      </c>
      <c r="E5" s="186" t="s">
        <v>4</v>
      </c>
      <c r="F5" s="186" t="s">
        <v>5</v>
      </c>
      <c r="G5" s="186" t="s">
        <v>6</v>
      </c>
      <c r="H5" s="186" t="s">
        <v>7</v>
      </c>
      <c r="I5" s="186" t="s">
        <v>8</v>
      </c>
      <c r="J5" s="186" t="s">
        <v>9</v>
      </c>
      <c r="K5" s="186" t="s">
        <v>10</v>
      </c>
      <c r="L5" s="186" t="s">
        <v>11</v>
      </c>
      <c r="M5" s="186" t="s">
        <v>12</v>
      </c>
      <c r="N5" s="72" t="s">
        <v>13</v>
      </c>
    </row>
    <row r="6" spans="1:14" x14ac:dyDescent="0.2">
      <c r="A6" s="439" t="s">
        <v>242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51"/>
    </row>
    <row r="7" spans="1:14" x14ac:dyDescent="0.2">
      <c r="A7" s="14" t="s">
        <v>15</v>
      </c>
      <c r="B7" s="270">
        <v>20588</v>
      </c>
      <c r="C7" s="269">
        <v>12421</v>
      </c>
      <c r="D7" s="269">
        <v>3534</v>
      </c>
      <c r="E7" s="269">
        <v>0</v>
      </c>
      <c r="F7" s="269">
        <v>0</v>
      </c>
      <c r="G7" s="269">
        <v>0</v>
      </c>
      <c r="H7" s="270">
        <v>0</v>
      </c>
      <c r="I7" s="270">
        <v>0</v>
      </c>
      <c r="J7" s="269">
        <v>0</v>
      </c>
      <c r="K7" s="269">
        <v>0</v>
      </c>
      <c r="L7" s="269">
        <v>0</v>
      </c>
      <c r="M7" s="269">
        <v>0</v>
      </c>
      <c r="N7" s="272">
        <f>SUM(B7:M7)</f>
        <v>36543</v>
      </c>
    </row>
    <row r="8" spans="1:14" x14ac:dyDescent="0.2">
      <c r="A8" s="14" t="s">
        <v>16</v>
      </c>
      <c r="B8" s="270">
        <v>5896</v>
      </c>
      <c r="C8" s="269">
        <v>10036</v>
      </c>
      <c r="D8" s="269">
        <v>10630</v>
      </c>
      <c r="E8" s="269">
        <v>9572</v>
      </c>
      <c r="F8" s="269">
        <v>9127</v>
      </c>
      <c r="G8" s="269">
        <v>9165</v>
      </c>
      <c r="H8" s="270">
        <v>9085</v>
      </c>
      <c r="I8" s="270">
        <v>2895</v>
      </c>
      <c r="J8" s="269">
        <v>9913</v>
      </c>
      <c r="K8" s="269">
        <v>6538</v>
      </c>
      <c r="L8" s="269">
        <v>9411</v>
      </c>
      <c r="M8" s="269">
        <v>9446</v>
      </c>
      <c r="N8" s="272">
        <f>SUM(B8:M8)</f>
        <v>101714</v>
      </c>
    </row>
    <row r="9" spans="1:14" ht="13.5" thickBot="1" x14ac:dyDescent="0.25">
      <c r="A9" s="14" t="s">
        <v>195</v>
      </c>
      <c r="B9" s="270">
        <v>7608</v>
      </c>
      <c r="C9" s="269">
        <v>5514</v>
      </c>
      <c r="D9" s="269">
        <v>5921</v>
      </c>
      <c r="E9" s="269">
        <v>6646</v>
      </c>
      <c r="F9" s="269">
        <v>8085</v>
      </c>
      <c r="G9" s="269">
        <v>6529</v>
      </c>
      <c r="H9" s="270">
        <v>5477</v>
      </c>
      <c r="I9" s="270">
        <v>4834</v>
      </c>
      <c r="J9" s="269">
        <v>4464</v>
      </c>
      <c r="K9" s="269">
        <v>10923</v>
      </c>
      <c r="L9" s="269">
        <v>5002</v>
      </c>
      <c r="M9" s="269">
        <v>5594</v>
      </c>
      <c r="N9" s="272">
        <f>SUM(B9:M9)</f>
        <v>76597</v>
      </c>
    </row>
    <row r="10" spans="1:14" ht="13.5" thickBot="1" x14ac:dyDescent="0.25">
      <c r="A10" s="9" t="s">
        <v>243</v>
      </c>
      <c r="B10" s="188">
        <f t="shared" ref="B10:I10" si="0">SUM(B7:B9)</f>
        <v>34092</v>
      </c>
      <c r="C10" s="188">
        <f t="shared" si="0"/>
        <v>27971</v>
      </c>
      <c r="D10" s="188">
        <f t="shared" si="0"/>
        <v>20085</v>
      </c>
      <c r="E10" s="188">
        <f t="shared" si="0"/>
        <v>16218</v>
      </c>
      <c r="F10" s="188">
        <f t="shared" si="0"/>
        <v>17212</v>
      </c>
      <c r="G10" s="188">
        <f t="shared" si="0"/>
        <v>15694</v>
      </c>
      <c r="H10" s="188">
        <f t="shared" si="0"/>
        <v>14562</v>
      </c>
      <c r="I10" s="188">
        <f t="shared" si="0"/>
        <v>7729</v>
      </c>
      <c r="J10" s="188">
        <f>SUM(J7:J9)</f>
        <v>14377</v>
      </c>
      <c r="K10" s="188">
        <f>SUM(K7:K9)</f>
        <v>17461</v>
      </c>
      <c r="L10" s="188">
        <f>SUM(L7:L9)</f>
        <v>14413</v>
      </c>
      <c r="M10" s="188">
        <f>SUM(M7:M9)</f>
        <v>15040</v>
      </c>
      <c r="N10" s="280">
        <f>SUM(B10:M10)</f>
        <v>214854</v>
      </c>
    </row>
    <row r="11" spans="1:14" x14ac:dyDescent="0.2">
      <c r="A11" s="448" t="s">
        <v>244</v>
      </c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52"/>
    </row>
    <row r="12" spans="1:14" x14ac:dyDescent="0.2">
      <c r="A12" s="20" t="s">
        <v>245</v>
      </c>
      <c r="B12" s="270">
        <v>0</v>
      </c>
      <c r="C12" s="270">
        <v>0</v>
      </c>
      <c r="D12" s="269">
        <v>0</v>
      </c>
      <c r="E12" s="269">
        <v>0</v>
      </c>
      <c r="F12" s="269">
        <v>0</v>
      </c>
      <c r="G12" s="11">
        <v>0</v>
      </c>
      <c r="H12" s="269">
        <v>0</v>
      </c>
      <c r="I12" s="270">
        <v>0</v>
      </c>
      <c r="J12" s="269">
        <v>0</v>
      </c>
      <c r="K12" s="269">
        <v>0</v>
      </c>
      <c r="L12" s="223">
        <v>0</v>
      </c>
      <c r="M12" s="269">
        <v>0</v>
      </c>
      <c r="N12" s="281">
        <f>SUM(B12:M12)</f>
        <v>0</v>
      </c>
    </row>
    <row r="13" spans="1:14" x14ac:dyDescent="0.2">
      <c r="A13" s="20" t="s">
        <v>246</v>
      </c>
      <c r="B13" s="270">
        <v>0</v>
      </c>
      <c r="C13" s="270">
        <v>0</v>
      </c>
      <c r="D13" s="269">
        <v>0</v>
      </c>
      <c r="E13" s="269">
        <v>0</v>
      </c>
      <c r="F13" s="269">
        <v>0</v>
      </c>
      <c r="G13" s="269">
        <v>0</v>
      </c>
      <c r="H13" s="269">
        <v>0</v>
      </c>
      <c r="I13" s="270">
        <v>0</v>
      </c>
      <c r="J13" s="269">
        <v>0</v>
      </c>
      <c r="K13" s="269">
        <v>0</v>
      </c>
      <c r="L13" s="269">
        <v>0</v>
      </c>
      <c r="M13" s="269">
        <v>0</v>
      </c>
      <c r="N13" s="281">
        <f>SUM(B13:M13)</f>
        <v>0</v>
      </c>
    </row>
    <row r="14" spans="1:14" x14ac:dyDescent="0.2">
      <c r="A14" s="20" t="s">
        <v>247</v>
      </c>
      <c r="B14" s="270">
        <v>10185</v>
      </c>
      <c r="C14" s="270">
        <v>8925</v>
      </c>
      <c r="D14" s="269">
        <v>10224</v>
      </c>
      <c r="E14" s="269">
        <v>7600</v>
      </c>
      <c r="F14" s="269">
        <v>9823</v>
      </c>
      <c r="G14" s="269">
        <v>10321</v>
      </c>
      <c r="H14" s="269">
        <v>14862</v>
      </c>
      <c r="I14" s="270">
        <v>11448</v>
      </c>
      <c r="J14" s="269">
        <v>10735</v>
      </c>
      <c r="K14" s="269">
        <v>10541</v>
      </c>
      <c r="L14" s="269">
        <v>10052</v>
      </c>
      <c r="M14" s="269">
        <v>8182</v>
      </c>
      <c r="N14" s="281">
        <f>SUM(B14:M14)</f>
        <v>122898</v>
      </c>
    </row>
    <row r="15" spans="1:14" ht="13.5" thickBot="1" x14ac:dyDescent="0.25">
      <c r="A15" s="20" t="s">
        <v>248</v>
      </c>
      <c r="B15" s="270">
        <v>0</v>
      </c>
      <c r="C15" s="269">
        <v>0</v>
      </c>
      <c r="D15" s="269">
        <v>0</v>
      </c>
      <c r="E15" s="269">
        <v>0</v>
      </c>
      <c r="F15" s="269">
        <v>0</v>
      </c>
      <c r="G15" s="269">
        <v>0</v>
      </c>
      <c r="H15" s="269">
        <v>0</v>
      </c>
      <c r="I15" s="270">
        <v>0</v>
      </c>
      <c r="J15" s="269">
        <v>0</v>
      </c>
      <c r="K15" s="269">
        <v>0</v>
      </c>
      <c r="L15" s="269">
        <v>0</v>
      </c>
      <c r="M15" s="269">
        <v>0</v>
      </c>
      <c r="N15" s="281">
        <f>SUM(B15:M15)</f>
        <v>0</v>
      </c>
    </row>
    <row r="16" spans="1:14" ht="13.5" thickBot="1" x14ac:dyDescent="0.25">
      <c r="A16" s="15" t="s">
        <v>249</v>
      </c>
      <c r="B16" s="188">
        <f t="shared" ref="B16:I16" si="1">SUM(B12:B15)</f>
        <v>10185</v>
      </c>
      <c r="C16" s="188">
        <f t="shared" si="1"/>
        <v>8925</v>
      </c>
      <c r="D16" s="188">
        <f t="shared" si="1"/>
        <v>10224</v>
      </c>
      <c r="E16" s="188">
        <f t="shared" si="1"/>
        <v>7600</v>
      </c>
      <c r="F16" s="188">
        <f t="shared" si="1"/>
        <v>9823</v>
      </c>
      <c r="G16" s="188">
        <f t="shared" si="1"/>
        <v>10321</v>
      </c>
      <c r="H16" s="188">
        <f t="shared" si="1"/>
        <v>14862</v>
      </c>
      <c r="I16" s="190">
        <f t="shared" si="1"/>
        <v>11448</v>
      </c>
      <c r="J16" s="190">
        <f>SUM(J12:J15)</f>
        <v>10735</v>
      </c>
      <c r="K16" s="190">
        <f>SUM(K12:K15)</f>
        <v>10541</v>
      </c>
      <c r="L16" s="190">
        <f>SUM(L12:L15)</f>
        <v>10052</v>
      </c>
      <c r="M16" s="190">
        <f>SUM(M12:M15)</f>
        <v>8182</v>
      </c>
      <c r="N16" s="282">
        <f>SUM(B16:M16)</f>
        <v>122898</v>
      </c>
    </row>
    <row r="17" spans="1:14" x14ac:dyDescent="0.2">
      <c r="A17" s="192" t="s">
        <v>250</v>
      </c>
      <c r="B17" s="193"/>
      <c r="C17" s="193"/>
      <c r="D17" s="193"/>
      <c r="E17" s="193"/>
      <c r="F17" s="193"/>
      <c r="G17" s="193"/>
      <c r="H17" s="193"/>
      <c r="I17" s="47"/>
      <c r="J17" s="193"/>
      <c r="K17" s="193"/>
      <c r="L17" s="193"/>
      <c r="M17" s="193"/>
      <c r="N17" s="283"/>
    </row>
    <row r="18" spans="1:14" x14ac:dyDescent="0.2">
      <c r="A18" s="50" t="s">
        <v>284</v>
      </c>
      <c r="B18" s="37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37">
        <v>0</v>
      </c>
      <c r="J18" s="41">
        <v>0</v>
      </c>
      <c r="K18" s="41">
        <v>0</v>
      </c>
      <c r="L18" s="41">
        <v>0</v>
      </c>
      <c r="M18" s="41">
        <v>0</v>
      </c>
      <c r="N18" s="284">
        <f t="shared" ref="N18:N23" si="2">SUM(B18:M18)</f>
        <v>0</v>
      </c>
    </row>
    <row r="19" spans="1:14" x14ac:dyDescent="0.2">
      <c r="A19" s="50" t="s">
        <v>285</v>
      </c>
      <c r="B19" s="37">
        <v>930</v>
      </c>
      <c r="C19" s="41">
        <v>1185</v>
      </c>
      <c r="D19" s="41">
        <v>1288</v>
      </c>
      <c r="E19" s="41">
        <v>1180</v>
      </c>
      <c r="F19" s="41">
        <v>1117</v>
      </c>
      <c r="G19" s="41">
        <v>1244</v>
      </c>
      <c r="H19" s="41">
        <v>1495</v>
      </c>
      <c r="I19" s="37">
        <v>1189</v>
      </c>
      <c r="J19" s="41">
        <v>1378</v>
      </c>
      <c r="K19" s="41">
        <v>1224</v>
      </c>
      <c r="L19" s="41">
        <v>658</v>
      </c>
      <c r="M19" s="41">
        <v>1169</v>
      </c>
      <c r="N19" s="284">
        <f t="shared" si="2"/>
        <v>14057</v>
      </c>
    </row>
    <row r="20" spans="1:14" ht="13.5" thickBot="1" x14ac:dyDescent="0.25">
      <c r="A20" s="196" t="s">
        <v>253</v>
      </c>
      <c r="B20" s="34">
        <v>0</v>
      </c>
      <c r="C20" s="219">
        <v>0</v>
      </c>
      <c r="D20" s="219">
        <v>0</v>
      </c>
      <c r="E20" s="219">
        <v>0</v>
      </c>
      <c r="F20" s="219">
        <v>0</v>
      </c>
      <c r="G20" s="219">
        <v>0</v>
      </c>
      <c r="H20" s="219">
        <v>0</v>
      </c>
      <c r="I20" s="34">
        <v>0</v>
      </c>
      <c r="J20" s="219">
        <v>0</v>
      </c>
      <c r="K20" s="219">
        <v>0</v>
      </c>
      <c r="L20" s="219">
        <v>0</v>
      </c>
      <c r="M20" s="219">
        <v>0</v>
      </c>
      <c r="N20" s="285">
        <f t="shared" si="2"/>
        <v>0</v>
      </c>
    </row>
    <row r="21" spans="1:14" ht="13.5" thickBot="1" x14ac:dyDescent="0.25">
      <c r="A21" s="15" t="s">
        <v>254</v>
      </c>
      <c r="B21" s="188">
        <f t="shared" ref="B21:I21" si="3">SUM(B18:B20)</f>
        <v>930</v>
      </c>
      <c r="C21" s="188">
        <f t="shared" si="3"/>
        <v>1185</v>
      </c>
      <c r="D21" s="188">
        <f t="shared" si="3"/>
        <v>1288</v>
      </c>
      <c r="E21" s="188">
        <f t="shared" si="3"/>
        <v>1180</v>
      </c>
      <c r="F21" s="188">
        <f t="shared" si="3"/>
        <v>1117</v>
      </c>
      <c r="G21" s="188">
        <f t="shared" si="3"/>
        <v>1244</v>
      </c>
      <c r="H21" s="188">
        <f t="shared" si="3"/>
        <v>1495</v>
      </c>
      <c r="I21" s="188">
        <f t="shared" si="3"/>
        <v>1189</v>
      </c>
      <c r="J21" s="188">
        <f>SUM(J18:J20)</f>
        <v>1378</v>
      </c>
      <c r="K21" s="188">
        <f>SUM(K18:K20)</f>
        <v>1224</v>
      </c>
      <c r="L21" s="188">
        <f>SUM(L18:L20)</f>
        <v>658</v>
      </c>
      <c r="M21" s="188">
        <f>SUM(M18:M20)</f>
        <v>1169</v>
      </c>
      <c r="N21" s="282">
        <f t="shared" si="2"/>
        <v>14057</v>
      </c>
    </row>
    <row r="22" spans="1:14" ht="13.5" thickBot="1" x14ac:dyDescent="0.25">
      <c r="A22" s="15" t="s">
        <v>255</v>
      </c>
      <c r="B22" s="190">
        <v>11163</v>
      </c>
      <c r="C22" s="188">
        <v>8269</v>
      </c>
      <c r="D22" s="188">
        <v>10472</v>
      </c>
      <c r="E22" s="188">
        <v>8493</v>
      </c>
      <c r="F22" s="188">
        <v>9663</v>
      </c>
      <c r="G22" s="188">
        <v>9557</v>
      </c>
      <c r="H22" s="188">
        <v>11890</v>
      </c>
      <c r="I22" s="190">
        <v>9764</v>
      </c>
      <c r="J22" s="188">
        <v>9755</v>
      </c>
      <c r="K22" s="188">
        <v>12840</v>
      </c>
      <c r="L22" s="188">
        <v>13103</v>
      </c>
      <c r="M22" s="188">
        <v>13975</v>
      </c>
      <c r="N22" s="282">
        <f t="shared" si="2"/>
        <v>128944</v>
      </c>
    </row>
    <row r="23" spans="1:14" ht="13.5" thickBot="1" x14ac:dyDescent="0.25">
      <c r="A23" s="15" t="s">
        <v>256</v>
      </c>
      <c r="B23" s="190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28079</v>
      </c>
      <c r="I23" s="190">
        <v>18442</v>
      </c>
      <c r="J23" s="188">
        <v>15270</v>
      </c>
      <c r="K23" s="188">
        <v>18655</v>
      </c>
      <c r="L23" s="188">
        <v>20179</v>
      </c>
      <c r="M23" s="188">
        <v>31855</v>
      </c>
      <c r="N23" s="282">
        <f t="shared" si="2"/>
        <v>132480</v>
      </c>
    </row>
    <row r="24" spans="1:14" ht="13.5" thickBot="1" x14ac:dyDescent="0.25">
      <c r="A24" s="39" t="s">
        <v>301</v>
      </c>
      <c r="B24" s="205"/>
      <c r="C24" s="204">
        <v>0</v>
      </c>
      <c r="D24" s="204">
        <v>0</v>
      </c>
      <c r="E24" s="204">
        <v>0</v>
      </c>
      <c r="F24" s="204">
        <v>0</v>
      </c>
      <c r="G24" s="204">
        <v>0</v>
      </c>
      <c r="H24" s="204">
        <v>2795</v>
      </c>
      <c r="I24" s="205">
        <v>3068</v>
      </c>
      <c r="J24" s="204">
        <v>4787</v>
      </c>
      <c r="K24" s="204">
        <v>5414</v>
      </c>
      <c r="L24" s="204">
        <v>5531</v>
      </c>
      <c r="M24" s="204">
        <v>27</v>
      </c>
      <c r="N24" s="286">
        <f>SUM(B24:M24)</f>
        <v>21622</v>
      </c>
    </row>
    <row r="25" spans="1:14" x14ac:dyDescent="0.2">
      <c r="A25" s="442"/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53"/>
    </row>
    <row r="26" spans="1:14" x14ac:dyDescent="0.2">
      <c r="A26" s="14" t="s">
        <v>258</v>
      </c>
      <c r="B26" s="270">
        <v>7795</v>
      </c>
      <c r="C26" s="269">
        <v>8460</v>
      </c>
      <c r="D26" s="269">
        <v>6323</v>
      </c>
      <c r="E26" s="269">
        <v>6074</v>
      </c>
      <c r="F26" s="269">
        <v>6401</v>
      </c>
      <c r="G26" s="269">
        <v>5467</v>
      </c>
      <c r="H26" s="269">
        <v>9542</v>
      </c>
      <c r="I26" s="270">
        <v>5511</v>
      </c>
      <c r="J26" s="269">
        <v>6258</v>
      </c>
      <c r="K26" s="269">
        <v>6083</v>
      </c>
      <c r="L26" s="269">
        <v>3842</v>
      </c>
      <c r="M26" s="269">
        <v>2994</v>
      </c>
      <c r="N26" s="272">
        <f t="shared" ref="N26:N32" si="4">SUM(B26:M26)</f>
        <v>74750</v>
      </c>
    </row>
    <row r="27" spans="1:14" x14ac:dyDescent="0.2">
      <c r="A27" s="14" t="s">
        <v>259</v>
      </c>
      <c r="B27" s="270">
        <v>6882</v>
      </c>
      <c r="C27" s="269">
        <v>6244</v>
      </c>
      <c r="D27" s="269">
        <v>6918</v>
      </c>
      <c r="E27" s="269">
        <v>5589</v>
      </c>
      <c r="F27" s="269">
        <v>5077</v>
      </c>
      <c r="G27" s="269">
        <v>4637</v>
      </c>
      <c r="H27" s="269">
        <v>7617</v>
      </c>
      <c r="I27" s="270">
        <v>6133</v>
      </c>
      <c r="J27" s="269">
        <v>5502</v>
      </c>
      <c r="K27" s="269">
        <v>5796</v>
      </c>
      <c r="L27" s="269">
        <v>6110</v>
      </c>
      <c r="M27" s="269">
        <v>6028</v>
      </c>
      <c r="N27" s="272">
        <f t="shared" si="4"/>
        <v>72533</v>
      </c>
    </row>
    <row r="28" spans="1:14" ht="13.5" thickBot="1" x14ac:dyDescent="0.25">
      <c r="A28" s="14" t="s">
        <v>260</v>
      </c>
      <c r="B28" s="270">
        <v>37097</v>
      </c>
      <c r="C28" s="269">
        <v>24590</v>
      </c>
      <c r="D28" s="269">
        <v>16174</v>
      </c>
      <c r="E28" s="269">
        <v>14234</v>
      </c>
      <c r="F28" s="269">
        <v>14169</v>
      </c>
      <c r="G28" s="269">
        <v>13746</v>
      </c>
      <c r="H28" s="269">
        <v>31354</v>
      </c>
      <c r="I28" s="270">
        <v>18118</v>
      </c>
      <c r="J28" s="269">
        <v>15607</v>
      </c>
      <c r="K28" s="269">
        <v>19098</v>
      </c>
      <c r="L28" s="269">
        <v>18817</v>
      </c>
      <c r="M28" s="269">
        <v>15942</v>
      </c>
      <c r="N28" s="272">
        <f t="shared" si="4"/>
        <v>238946</v>
      </c>
    </row>
    <row r="29" spans="1:14" ht="13.5" thickBot="1" x14ac:dyDescent="0.25">
      <c r="A29" s="9" t="s">
        <v>262</v>
      </c>
      <c r="B29" s="190">
        <f t="shared" ref="B29:I29" si="5">SUM(B26:B28)</f>
        <v>51774</v>
      </c>
      <c r="C29" s="190">
        <f t="shared" si="5"/>
        <v>39294</v>
      </c>
      <c r="D29" s="190">
        <f t="shared" si="5"/>
        <v>29415</v>
      </c>
      <c r="E29" s="190">
        <f t="shared" si="5"/>
        <v>25897</v>
      </c>
      <c r="F29" s="190">
        <f t="shared" si="5"/>
        <v>25647</v>
      </c>
      <c r="G29" s="190">
        <f t="shared" si="5"/>
        <v>23850</v>
      </c>
      <c r="H29" s="190">
        <f t="shared" si="5"/>
        <v>48513</v>
      </c>
      <c r="I29" s="190">
        <f t="shared" si="5"/>
        <v>29762</v>
      </c>
      <c r="J29" s="190">
        <f>SUM(J26:J28)</f>
        <v>27367</v>
      </c>
      <c r="K29" s="190">
        <f>SUM(K26:K28)</f>
        <v>30977</v>
      </c>
      <c r="L29" s="190">
        <f>SUM(L26:L28)</f>
        <v>28769</v>
      </c>
      <c r="M29" s="190">
        <f>SUM(M26:M28)</f>
        <v>24964</v>
      </c>
      <c r="N29" s="280">
        <f t="shared" si="4"/>
        <v>386229</v>
      </c>
    </row>
    <row r="30" spans="1:14" ht="13.5" thickBot="1" x14ac:dyDescent="0.25">
      <c r="A30" s="200" t="s">
        <v>263</v>
      </c>
      <c r="B30" s="287">
        <v>7984</v>
      </c>
      <c r="C30" s="288">
        <v>8467</v>
      </c>
      <c r="D30" s="288">
        <v>9493</v>
      </c>
      <c r="E30" s="288">
        <v>8378</v>
      </c>
      <c r="F30" s="288">
        <v>10154</v>
      </c>
      <c r="G30" s="288">
        <v>9384</v>
      </c>
      <c r="H30" s="288">
        <v>12782</v>
      </c>
      <c r="I30" s="287">
        <v>9964</v>
      </c>
      <c r="J30" s="288">
        <v>9429</v>
      </c>
      <c r="K30" s="288">
        <v>9616</v>
      </c>
      <c r="L30" s="288">
        <v>9677</v>
      </c>
      <c r="M30" s="288">
        <v>12166</v>
      </c>
      <c r="N30" s="289">
        <f t="shared" si="4"/>
        <v>117494</v>
      </c>
    </row>
    <row r="31" spans="1:14" ht="13.5" thickBot="1" x14ac:dyDescent="0.25">
      <c r="A31" s="39" t="s">
        <v>302</v>
      </c>
      <c r="B31" s="205">
        <v>2166</v>
      </c>
      <c r="C31" s="204">
        <v>2045</v>
      </c>
      <c r="D31" s="204">
        <v>1383</v>
      </c>
      <c r="E31" s="204">
        <v>1469</v>
      </c>
      <c r="F31" s="204">
        <v>1148</v>
      </c>
      <c r="G31" s="204">
        <v>1387</v>
      </c>
      <c r="H31" s="204">
        <v>2262</v>
      </c>
      <c r="I31" s="205">
        <v>1540</v>
      </c>
      <c r="J31" s="204">
        <v>2887</v>
      </c>
      <c r="K31" s="204">
        <v>4106</v>
      </c>
      <c r="L31" s="204">
        <v>3489</v>
      </c>
      <c r="M31" s="204">
        <v>3492</v>
      </c>
      <c r="N31" s="282">
        <f t="shared" si="4"/>
        <v>27374</v>
      </c>
    </row>
    <row r="32" spans="1:14" ht="13.5" thickBot="1" x14ac:dyDescent="0.25">
      <c r="A32" s="39" t="s">
        <v>296</v>
      </c>
      <c r="B32" s="205">
        <v>148724</v>
      </c>
      <c r="C32" s="204">
        <v>116441</v>
      </c>
      <c r="D32" s="204">
        <v>106280</v>
      </c>
      <c r="E32" s="204">
        <v>89202</v>
      </c>
      <c r="F32" s="204">
        <v>98027</v>
      </c>
      <c r="G32" s="204">
        <v>141202</v>
      </c>
      <c r="H32" s="204">
        <v>142665</v>
      </c>
      <c r="I32" s="205">
        <v>120608</v>
      </c>
      <c r="J32" s="204">
        <v>117516</v>
      </c>
      <c r="K32" s="204">
        <v>125806</v>
      </c>
      <c r="L32" s="204">
        <v>147939</v>
      </c>
      <c r="M32" s="204">
        <v>154308</v>
      </c>
      <c r="N32" s="282">
        <f t="shared" si="4"/>
        <v>1508718</v>
      </c>
    </row>
    <row r="33" spans="1:14" ht="13.5" thickBot="1" x14ac:dyDescent="0.25">
      <c r="A33" s="39" t="s">
        <v>288</v>
      </c>
      <c r="B33" s="205">
        <v>6707</v>
      </c>
      <c r="C33" s="204">
        <v>6293</v>
      </c>
      <c r="D33" s="204">
        <v>6458</v>
      </c>
      <c r="E33" s="204">
        <v>6533</v>
      </c>
      <c r="F33" s="204">
        <v>5620</v>
      </c>
      <c r="G33" s="204">
        <v>5450</v>
      </c>
      <c r="H33" s="204">
        <v>10842</v>
      </c>
      <c r="I33" s="205">
        <v>7189</v>
      </c>
      <c r="J33" s="204">
        <v>7438</v>
      </c>
      <c r="K33" s="204">
        <v>8535</v>
      </c>
      <c r="L33" s="204">
        <v>8728</v>
      </c>
      <c r="M33" s="204">
        <v>11375</v>
      </c>
      <c r="N33" s="282">
        <f>SUM(B33:M33)</f>
        <v>91168</v>
      </c>
    </row>
    <row r="34" spans="1:14" ht="13.5" thickBot="1" x14ac:dyDescent="0.25">
      <c r="A34" s="39" t="s">
        <v>303</v>
      </c>
      <c r="B34" s="205">
        <v>16689</v>
      </c>
      <c r="C34" s="204">
        <v>17264</v>
      </c>
      <c r="D34" s="204">
        <v>30451</v>
      </c>
      <c r="E34" s="204">
        <v>23560</v>
      </c>
      <c r="F34" s="204">
        <v>31706</v>
      </c>
      <c r="G34" s="204">
        <v>25385</v>
      </c>
      <c r="H34" s="204">
        <v>31187</v>
      </c>
      <c r="I34" s="205">
        <v>23330</v>
      </c>
      <c r="J34" s="204">
        <v>26384</v>
      </c>
      <c r="K34" s="204">
        <v>25259</v>
      </c>
      <c r="L34" s="204">
        <v>26327</v>
      </c>
      <c r="M34" s="204">
        <v>20780</v>
      </c>
      <c r="N34" s="282">
        <f>SUM(B34:M34)</f>
        <v>298322</v>
      </c>
    </row>
    <row r="35" spans="1:14" ht="13.5" thickBot="1" x14ac:dyDescent="0.25">
      <c r="A35" s="39" t="s">
        <v>290</v>
      </c>
      <c r="B35" s="205">
        <v>4945</v>
      </c>
      <c r="C35" s="204">
        <v>4357</v>
      </c>
      <c r="D35" s="204">
        <v>4174</v>
      </c>
      <c r="E35" s="204">
        <v>3673</v>
      </c>
      <c r="F35" s="204">
        <v>3544</v>
      </c>
      <c r="G35" s="204">
        <v>3373</v>
      </c>
      <c r="H35" s="204">
        <v>9964</v>
      </c>
      <c r="I35" s="205">
        <v>7337</v>
      </c>
      <c r="J35" s="204">
        <v>8005</v>
      </c>
      <c r="K35" s="204">
        <v>9424</v>
      </c>
      <c r="L35" s="204">
        <v>8498</v>
      </c>
      <c r="M35" s="204">
        <v>9501</v>
      </c>
      <c r="N35" s="282">
        <f>SUM(B35:M35)</f>
        <v>76795</v>
      </c>
    </row>
    <row r="36" spans="1:14" ht="13.5" thickBot="1" x14ac:dyDescent="0.25">
      <c r="A36" s="15" t="s">
        <v>277</v>
      </c>
      <c r="B36" s="190">
        <v>2948</v>
      </c>
      <c r="C36" s="188">
        <v>3625</v>
      </c>
      <c r="D36" s="188">
        <v>2016</v>
      </c>
      <c r="E36" s="188">
        <v>2142</v>
      </c>
      <c r="F36" s="188">
        <v>1028</v>
      </c>
      <c r="G36" s="188">
        <v>1056</v>
      </c>
      <c r="H36" s="188">
        <v>2137</v>
      </c>
      <c r="I36" s="190">
        <v>1786</v>
      </c>
      <c r="J36" s="188">
        <v>1958</v>
      </c>
      <c r="K36" s="188">
        <v>2612</v>
      </c>
      <c r="L36" s="188">
        <v>3180</v>
      </c>
      <c r="M36" s="188">
        <v>2834</v>
      </c>
      <c r="N36" s="282">
        <f>SUM(B36:M36)</f>
        <v>27322</v>
      </c>
    </row>
    <row r="37" spans="1:14" x14ac:dyDescent="0.2">
      <c r="A37" s="445" t="s">
        <v>273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54"/>
    </row>
    <row r="38" spans="1:14" x14ac:dyDescent="0.2">
      <c r="A38" s="35" t="s">
        <v>274</v>
      </c>
      <c r="B38" s="37">
        <v>4918</v>
      </c>
      <c r="C38" s="37">
        <v>3150</v>
      </c>
      <c r="D38" s="37">
        <v>853</v>
      </c>
      <c r="E38" s="37">
        <v>1056</v>
      </c>
      <c r="F38" s="37">
        <v>349</v>
      </c>
      <c r="G38" s="37">
        <v>77</v>
      </c>
      <c r="H38" s="37">
        <v>2401</v>
      </c>
      <c r="I38" s="37">
        <v>820</v>
      </c>
      <c r="J38" s="37">
        <v>782</v>
      </c>
      <c r="K38" s="37">
        <v>1185</v>
      </c>
      <c r="L38" s="37">
        <v>1368</v>
      </c>
      <c r="M38" s="37">
        <v>667</v>
      </c>
      <c r="N38" s="274">
        <f t="shared" ref="N38:N40" si="6">SUM(B38:M38)</f>
        <v>17626</v>
      </c>
    </row>
    <row r="39" spans="1:14" ht="13.5" thickBot="1" x14ac:dyDescent="0.25">
      <c r="A39" s="32" t="s">
        <v>366</v>
      </c>
      <c r="B39" s="34">
        <v>1478</v>
      </c>
      <c r="C39" s="34">
        <v>2245</v>
      </c>
      <c r="D39" s="34">
        <v>213</v>
      </c>
      <c r="E39" s="34">
        <v>258</v>
      </c>
      <c r="F39" s="34">
        <v>77</v>
      </c>
      <c r="G39" s="34">
        <v>0</v>
      </c>
      <c r="H39" s="34">
        <v>321</v>
      </c>
      <c r="I39" s="34">
        <v>22</v>
      </c>
      <c r="J39" s="34">
        <v>56</v>
      </c>
      <c r="K39" s="34">
        <v>292</v>
      </c>
      <c r="L39" s="34">
        <v>455</v>
      </c>
      <c r="M39" s="34">
        <v>821</v>
      </c>
      <c r="N39" s="290">
        <f t="shared" si="6"/>
        <v>6238</v>
      </c>
    </row>
    <row r="40" spans="1:14" ht="13.5" thickBot="1" x14ac:dyDescent="0.25">
      <c r="A40" s="9" t="s">
        <v>276</v>
      </c>
      <c r="B40" s="190">
        <f>SUM(B38:B39)</f>
        <v>6396</v>
      </c>
      <c r="C40" s="190">
        <f t="shared" ref="C40:M40" si="7">SUM(C38:C39)</f>
        <v>5395</v>
      </c>
      <c r="D40" s="190">
        <f t="shared" si="7"/>
        <v>1066</v>
      </c>
      <c r="E40" s="190">
        <f t="shared" si="7"/>
        <v>1314</v>
      </c>
      <c r="F40" s="190">
        <f t="shared" si="7"/>
        <v>426</v>
      </c>
      <c r="G40" s="190">
        <f t="shared" si="7"/>
        <v>77</v>
      </c>
      <c r="H40" s="190">
        <f t="shared" si="7"/>
        <v>2722</v>
      </c>
      <c r="I40" s="190">
        <f t="shared" si="7"/>
        <v>842</v>
      </c>
      <c r="J40" s="190">
        <f t="shared" si="7"/>
        <v>838</v>
      </c>
      <c r="K40" s="190">
        <f t="shared" si="7"/>
        <v>1477</v>
      </c>
      <c r="L40" s="190">
        <f t="shared" si="7"/>
        <v>1823</v>
      </c>
      <c r="M40" s="190">
        <f t="shared" si="7"/>
        <v>1488</v>
      </c>
      <c r="N40" s="280">
        <f t="shared" si="6"/>
        <v>23864</v>
      </c>
    </row>
    <row r="41" spans="1:14" ht="14.25" thickTop="1" thickBot="1" x14ac:dyDescent="0.25">
      <c r="A41" s="206" t="s">
        <v>26</v>
      </c>
      <c r="B41" s="207">
        <f>B10+B16+B21+B22+B23+B29+B30+B31+B32+B33+B34+B35+B36+B24</f>
        <v>298307</v>
      </c>
      <c r="C41" s="207">
        <f>C10+C16+C21+C22+C23+C29+C30+C31+C32+C33+C34+C35+C36</f>
        <v>244136</v>
      </c>
      <c r="D41" s="207">
        <f>D10+D16+D21+D22+D23+D29+D30+D31+D32+D33+D34+D35+D36</f>
        <v>231739</v>
      </c>
      <c r="E41" s="207">
        <f t="shared" ref="E41:J41" si="8">E10+E16+E21+E22+E23+E29+E30+E31+E32+E33+E34+E35+E36+E24</f>
        <v>194345</v>
      </c>
      <c r="F41" s="207">
        <f t="shared" si="8"/>
        <v>214689</v>
      </c>
      <c r="G41" s="207">
        <f t="shared" si="8"/>
        <v>247903</v>
      </c>
      <c r="H41" s="207">
        <f t="shared" si="8"/>
        <v>334035</v>
      </c>
      <c r="I41" s="207">
        <f t="shared" si="8"/>
        <v>253156</v>
      </c>
      <c r="J41" s="207">
        <f t="shared" si="8"/>
        <v>257286</v>
      </c>
      <c r="K41" s="207">
        <f>K10+K16+K21+K22+K23+K29+K30+K31+K32+K33+K34+K35+K36+K24</f>
        <v>282470</v>
      </c>
      <c r="L41" s="207">
        <f>L10+L16+L21+L22+L23+L29+L30+L31+L32+L33+L34+L35+L36+L24</f>
        <v>300543</v>
      </c>
      <c r="M41" s="207">
        <f>M10+M16+M21+M22+M23+M29+M30+M31+M32+M33+M34+M35+M36+M24</f>
        <v>309668</v>
      </c>
      <c r="N41" s="291">
        <f>N10+N16+N21+N22+N23+N29+N30+N31+N32+N33+N34+N35+N36+N24</f>
        <v>3168277</v>
      </c>
    </row>
    <row r="42" spans="1:14" ht="18.75" thickTop="1" x14ac:dyDescent="0.2">
      <c r="A42" s="224" t="s">
        <v>292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x14ac:dyDescent="0.2">
      <c r="A43" s="208" t="s">
        <v>295</v>
      </c>
      <c r="B43" s="5"/>
      <c r="C43" s="5"/>
      <c r="D43" s="5"/>
      <c r="E43" s="5"/>
      <c r="F43" s="5"/>
      <c r="G43" s="5"/>
      <c r="H43" s="5"/>
      <c r="I43" s="7"/>
      <c r="J43" s="5"/>
      <c r="K43" s="5"/>
      <c r="L43" s="216"/>
      <c r="M43" s="5"/>
      <c r="N43" s="40"/>
    </row>
    <row r="44" spans="1:14" x14ac:dyDescent="0.2">
      <c r="A44" s="208" t="s">
        <v>304</v>
      </c>
      <c r="B44" s="209"/>
      <c r="C44" s="209"/>
      <c r="D44" s="209"/>
      <c r="E44" s="209"/>
      <c r="F44" s="209"/>
      <c r="G44" s="209"/>
      <c r="H44" s="209"/>
      <c r="I44" s="210"/>
      <c r="J44" s="209"/>
      <c r="K44" s="209"/>
      <c r="L44" s="211"/>
      <c r="M44" s="209"/>
      <c r="N44" s="215"/>
    </row>
    <row r="45" spans="1:14" x14ac:dyDescent="0.2">
      <c r="A45" s="212" t="s">
        <v>305</v>
      </c>
      <c r="B45" s="209"/>
      <c r="C45" s="209"/>
      <c r="D45" s="209"/>
      <c r="E45" s="209"/>
      <c r="F45" s="209"/>
      <c r="G45" s="209"/>
      <c r="H45" s="209"/>
      <c r="I45" s="210"/>
      <c r="J45" s="209"/>
      <c r="K45" s="209"/>
      <c r="L45" s="209"/>
      <c r="M45" s="209"/>
      <c r="N45" s="208"/>
    </row>
    <row r="46" spans="1:14" x14ac:dyDescent="0.2">
      <c r="A46" s="225" t="s">
        <v>306</v>
      </c>
      <c r="B46" s="208"/>
      <c r="C46" s="208"/>
      <c r="D46" s="208"/>
      <c r="E46" s="208"/>
      <c r="F46" s="209"/>
      <c r="G46" s="209"/>
      <c r="H46" s="209"/>
      <c r="I46" s="210"/>
      <c r="J46" s="209"/>
      <c r="K46" s="209"/>
      <c r="L46" s="209"/>
      <c r="M46" s="209"/>
      <c r="N46" s="208"/>
    </row>
    <row r="47" spans="1:14" x14ac:dyDescent="0.2">
      <c r="A47" s="212" t="s">
        <v>365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3"/>
    </row>
    <row r="48" spans="1:14" x14ac:dyDescent="0.2">
      <c r="A48" s="209"/>
      <c r="B48" s="209"/>
      <c r="C48" s="209"/>
      <c r="D48" s="209"/>
      <c r="E48" s="209"/>
      <c r="F48" s="209"/>
      <c r="G48" s="209"/>
      <c r="H48" s="209"/>
      <c r="I48" s="210"/>
      <c r="J48" s="212"/>
      <c r="K48" s="212"/>
      <c r="L48" s="212"/>
      <c r="M48" s="212"/>
      <c r="N48" s="213"/>
    </row>
    <row r="49" spans="1:14" ht="18" x14ac:dyDescent="0.2">
      <c r="A49" s="226" t="s">
        <v>279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</row>
  </sheetData>
  <mergeCells count="5">
    <mergeCell ref="A6:N6"/>
    <mergeCell ref="A11:N11"/>
    <mergeCell ref="A25:N25"/>
    <mergeCell ref="A37:N37"/>
    <mergeCell ref="A3:N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showGridLines="0" showRowColHeaders="0" showRuler="0" zoomScaleNormal="100" workbookViewId="0">
      <selection activeCell="F23" sqref="F23"/>
    </sheetView>
  </sheetViews>
  <sheetFormatPr baseColWidth="10" defaultRowHeight="12.75" x14ac:dyDescent="0.2"/>
  <cols>
    <col min="1" max="1" width="41" bestFit="1" customWidth="1"/>
    <col min="2" max="2" width="16.7109375" bestFit="1" customWidth="1"/>
    <col min="3" max="3" width="24" customWidth="1"/>
    <col min="16" max="16" width="12" bestFit="1" customWidth="1"/>
  </cols>
  <sheetData>
    <row r="2" spans="1:16" ht="21" x14ac:dyDescent="0.35">
      <c r="A2" s="455" t="s">
        <v>307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</row>
    <row r="3" spans="1:16" ht="13.5" thickBot="1" x14ac:dyDescent="0.25"/>
    <row r="4" spans="1:16" ht="15.75" thickBot="1" x14ac:dyDescent="0.3">
      <c r="A4" s="261" t="s">
        <v>308</v>
      </c>
      <c r="B4" s="262" t="s">
        <v>309</v>
      </c>
      <c r="C4" s="262" t="s">
        <v>310</v>
      </c>
      <c r="D4" s="263" t="s">
        <v>311</v>
      </c>
      <c r="E4" s="263" t="s">
        <v>312</v>
      </c>
      <c r="F4" s="263" t="s">
        <v>313</v>
      </c>
      <c r="G4" s="263" t="s">
        <v>314</v>
      </c>
      <c r="H4" s="263" t="s">
        <v>315</v>
      </c>
      <c r="I4" s="263" t="s">
        <v>316</v>
      </c>
      <c r="J4" s="263" t="s">
        <v>317</v>
      </c>
      <c r="K4" s="263" t="s">
        <v>318</v>
      </c>
      <c r="L4" s="263" t="s">
        <v>319</v>
      </c>
      <c r="M4" s="263" t="s">
        <v>320</v>
      </c>
      <c r="N4" s="263" t="s">
        <v>321</v>
      </c>
      <c r="O4" s="263" t="s">
        <v>322</v>
      </c>
      <c r="P4" s="260" t="s">
        <v>323</v>
      </c>
    </row>
    <row r="5" spans="1:16" x14ac:dyDescent="0.2">
      <c r="A5" s="227" t="s">
        <v>324</v>
      </c>
      <c r="B5" s="228" t="s">
        <v>325</v>
      </c>
      <c r="C5" s="228" t="s">
        <v>326</v>
      </c>
      <c r="D5" s="229">
        <v>1366</v>
      </c>
      <c r="E5" s="229">
        <v>1322</v>
      </c>
      <c r="F5" s="229">
        <v>1405</v>
      </c>
      <c r="G5" s="229">
        <v>1444</v>
      </c>
      <c r="H5" s="229">
        <v>1941</v>
      </c>
      <c r="I5" s="229">
        <v>2107</v>
      </c>
      <c r="J5" s="229">
        <v>2769</v>
      </c>
      <c r="K5" s="229">
        <v>2539</v>
      </c>
      <c r="L5" s="229">
        <v>2090</v>
      </c>
      <c r="M5" s="229">
        <v>2841</v>
      </c>
      <c r="N5" s="229">
        <v>2615</v>
      </c>
      <c r="O5" s="229">
        <v>2715</v>
      </c>
      <c r="P5" s="323">
        <f>+D5+E5+F5+G5+H5+I5+J5+K5+L5+M5+N5+O5</f>
        <v>25154</v>
      </c>
    </row>
    <row r="6" spans="1:16" x14ac:dyDescent="0.2">
      <c r="A6" s="230" t="s">
        <v>327</v>
      </c>
      <c r="B6" s="231" t="s">
        <v>325</v>
      </c>
      <c r="C6" s="231" t="s">
        <v>328</v>
      </c>
      <c r="D6" s="232">
        <v>12708</v>
      </c>
      <c r="E6" s="232">
        <v>9664</v>
      </c>
      <c r="F6" s="232">
        <v>7951</v>
      </c>
      <c r="G6" s="232">
        <v>7031</v>
      </c>
      <c r="H6" s="232">
        <v>5937</v>
      </c>
      <c r="I6" s="232">
        <v>5080</v>
      </c>
      <c r="J6" s="232">
        <v>10492</v>
      </c>
      <c r="K6" s="232">
        <v>7283</v>
      </c>
      <c r="L6" s="232">
        <v>6820</v>
      </c>
      <c r="M6" s="232">
        <v>8007</v>
      </c>
      <c r="N6" s="232">
        <v>7947</v>
      </c>
      <c r="O6" s="232">
        <v>9236</v>
      </c>
      <c r="P6" s="324">
        <f>+D6+E6+F6+G6+H6+I6+J6+K6+L6+M6+N6+O6</f>
        <v>98156</v>
      </c>
    </row>
    <row r="7" spans="1:16" x14ac:dyDescent="0.2">
      <c r="A7" s="230" t="s">
        <v>329</v>
      </c>
      <c r="B7" s="231" t="s">
        <v>325</v>
      </c>
      <c r="C7" s="231" t="s">
        <v>328</v>
      </c>
      <c r="D7" s="232">
        <v>61339</v>
      </c>
      <c r="E7" s="232">
        <v>61671</v>
      </c>
      <c r="F7" s="232">
        <v>30072</v>
      </c>
      <c r="G7" s="232">
        <v>18014</v>
      </c>
      <c r="H7" s="232">
        <v>14431</v>
      </c>
      <c r="I7" s="232">
        <v>10941</v>
      </c>
      <c r="J7" s="232">
        <v>20166</v>
      </c>
      <c r="K7" s="232">
        <v>14229</v>
      </c>
      <c r="L7" s="232">
        <v>14071</v>
      </c>
      <c r="M7" s="232">
        <v>16625</v>
      </c>
      <c r="N7" s="232">
        <v>18598</v>
      </c>
      <c r="O7" s="232">
        <v>34370</v>
      </c>
      <c r="P7" s="324">
        <f>+D7+E7+F7+G7+H7+I7+J7+K7+L7+M7+N7+O7</f>
        <v>314527</v>
      </c>
    </row>
    <row r="8" spans="1:16" x14ac:dyDescent="0.2">
      <c r="A8" s="230" t="s">
        <v>330</v>
      </c>
      <c r="B8" s="231" t="s">
        <v>325</v>
      </c>
      <c r="C8" s="231" t="s">
        <v>331</v>
      </c>
      <c r="D8" s="232">
        <v>6952</v>
      </c>
      <c r="E8" s="232">
        <v>6924</v>
      </c>
      <c r="F8" s="232">
        <v>6217</v>
      </c>
      <c r="G8" s="232">
        <v>4121</v>
      </c>
      <c r="H8" s="232">
        <v>2721</v>
      </c>
      <c r="I8" s="232">
        <v>2227</v>
      </c>
      <c r="J8" s="232">
        <v>6074</v>
      </c>
      <c r="K8" s="232">
        <v>3303</v>
      </c>
      <c r="L8" s="232">
        <v>3127</v>
      </c>
      <c r="M8" s="232">
        <v>3667</v>
      </c>
      <c r="N8" s="232">
        <v>3408</v>
      </c>
      <c r="O8" s="232">
        <v>4621</v>
      </c>
      <c r="P8" s="324">
        <f t="shared" ref="P8:P22" si="0">+D8+E8+F8+G8+H8+I8+J8+K8+L8+M8+N8+O8</f>
        <v>53362</v>
      </c>
    </row>
    <row r="9" spans="1:16" x14ac:dyDescent="0.2">
      <c r="A9" s="230" t="s">
        <v>332</v>
      </c>
      <c r="B9" s="231" t="s">
        <v>325</v>
      </c>
      <c r="C9" s="231" t="s">
        <v>333</v>
      </c>
      <c r="D9" s="232">
        <v>4700</v>
      </c>
      <c r="E9" s="232">
        <v>2288</v>
      </c>
      <c r="F9" s="232">
        <v>2582</v>
      </c>
      <c r="G9" s="232">
        <v>2293</v>
      </c>
      <c r="H9" s="232">
        <v>1921</v>
      </c>
      <c r="I9" s="232">
        <v>894</v>
      </c>
      <c r="J9" s="232">
        <v>1725</v>
      </c>
      <c r="K9" s="232">
        <v>906</v>
      </c>
      <c r="L9" s="232">
        <v>499</v>
      </c>
      <c r="M9" s="232">
        <v>702</v>
      </c>
      <c r="N9" s="232">
        <v>622</v>
      </c>
      <c r="O9" s="232">
        <v>919</v>
      </c>
      <c r="P9" s="324">
        <f t="shared" si="0"/>
        <v>20051</v>
      </c>
    </row>
    <row r="10" spans="1:16" x14ac:dyDescent="0.2">
      <c r="A10" s="230" t="s">
        <v>334</v>
      </c>
      <c r="B10" s="231" t="s">
        <v>325</v>
      </c>
      <c r="C10" s="231" t="s">
        <v>331</v>
      </c>
      <c r="D10" s="232">
        <v>12831</v>
      </c>
      <c r="E10" s="232">
        <v>11922</v>
      </c>
      <c r="F10" s="232">
        <v>9976</v>
      </c>
      <c r="G10" s="232">
        <v>9616</v>
      </c>
      <c r="H10" s="232">
        <v>8988</v>
      </c>
      <c r="I10" s="232">
        <v>7410</v>
      </c>
      <c r="J10" s="232">
        <v>14621</v>
      </c>
      <c r="K10" s="232">
        <v>10487</v>
      </c>
      <c r="L10" s="232">
        <v>10792</v>
      </c>
      <c r="M10" s="232">
        <v>11998</v>
      </c>
      <c r="N10" s="232">
        <v>11573</v>
      </c>
      <c r="O10" s="232">
        <v>14169</v>
      </c>
      <c r="P10" s="324">
        <f t="shared" si="0"/>
        <v>134383</v>
      </c>
    </row>
    <row r="11" spans="1:16" x14ac:dyDescent="0.2">
      <c r="A11" s="230" t="s">
        <v>335</v>
      </c>
      <c r="B11" s="231" t="s">
        <v>325</v>
      </c>
      <c r="C11" s="231" t="s">
        <v>331</v>
      </c>
      <c r="D11" s="232">
        <v>13292</v>
      </c>
      <c r="E11" s="232">
        <v>10398</v>
      </c>
      <c r="F11" s="232">
        <v>10211</v>
      </c>
      <c r="G11" s="232">
        <v>7923</v>
      </c>
      <c r="H11" s="232">
        <v>7208</v>
      </c>
      <c r="I11" s="232">
        <v>4512</v>
      </c>
      <c r="J11" s="232">
        <v>9813</v>
      </c>
      <c r="K11" s="232">
        <v>7097</v>
      </c>
      <c r="L11" s="232">
        <v>6029</v>
      </c>
      <c r="M11" s="232">
        <v>6808</v>
      </c>
      <c r="N11" s="232">
        <v>5229</v>
      </c>
      <c r="O11" s="232">
        <v>6785</v>
      </c>
      <c r="P11" s="324">
        <f t="shared" si="0"/>
        <v>95305</v>
      </c>
    </row>
    <row r="12" spans="1:16" x14ac:dyDescent="0.2">
      <c r="A12" s="230" t="s">
        <v>336</v>
      </c>
      <c r="B12" s="231" t="s">
        <v>325</v>
      </c>
      <c r="C12" s="231" t="s">
        <v>337</v>
      </c>
      <c r="D12" s="232">
        <v>7058</v>
      </c>
      <c r="E12" s="232">
        <v>10252</v>
      </c>
      <c r="F12" s="232">
        <v>10848</v>
      </c>
      <c r="G12" s="232">
        <v>4695</v>
      </c>
      <c r="H12" s="232">
        <v>10234</v>
      </c>
      <c r="I12" s="232">
        <v>10545</v>
      </c>
      <c r="J12" s="232">
        <v>13088</v>
      </c>
      <c r="K12" s="232">
        <v>12073</v>
      </c>
      <c r="L12" s="232">
        <v>11478</v>
      </c>
      <c r="M12" s="232">
        <v>11999</v>
      </c>
      <c r="N12" s="232">
        <v>10835</v>
      </c>
      <c r="O12" s="232">
        <v>11296</v>
      </c>
      <c r="P12" s="324">
        <f t="shared" si="0"/>
        <v>124401</v>
      </c>
    </row>
    <row r="13" spans="1:16" x14ac:dyDescent="0.2">
      <c r="A13" s="230" t="s">
        <v>347</v>
      </c>
      <c r="B13" s="231" t="s">
        <v>325</v>
      </c>
      <c r="C13" s="231" t="s">
        <v>337</v>
      </c>
      <c r="D13" s="232">
        <v>5471</v>
      </c>
      <c r="E13" s="232">
        <v>4557</v>
      </c>
      <c r="F13" s="232">
        <v>5588</v>
      </c>
      <c r="G13" s="232">
        <v>9116</v>
      </c>
      <c r="H13" s="232">
        <v>6205</v>
      </c>
      <c r="I13" s="232">
        <v>4497</v>
      </c>
      <c r="J13" s="232">
        <v>5507</v>
      </c>
      <c r="K13" s="232">
        <v>4744</v>
      </c>
      <c r="L13" s="232">
        <v>5411</v>
      </c>
      <c r="M13" s="232">
        <v>5629</v>
      </c>
      <c r="N13" s="232">
        <v>5577</v>
      </c>
      <c r="O13" s="232">
        <v>6662</v>
      </c>
      <c r="P13" s="324">
        <f t="shared" si="0"/>
        <v>68964</v>
      </c>
    </row>
    <row r="14" spans="1:16" x14ac:dyDescent="0.2">
      <c r="A14" s="230" t="s">
        <v>352</v>
      </c>
      <c r="B14" s="231" t="s">
        <v>325</v>
      </c>
      <c r="C14" s="231" t="s">
        <v>353</v>
      </c>
      <c r="D14" s="232">
        <v>7458</v>
      </c>
      <c r="E14" s="232">
        <v>6901</v>
      </c>
      <c r="F14" s="232">
        <v>5230</v>
      </c>
      <c r="G14" s="232">
        <v>5330</v>
      </c>
      <c r="H14" s="232">
        <v>4704</v>
      </c>
      <c r="I14" s="232">
        <v>3107</v>
      </c>
      <c r="J14" s="232">
        <v>7280</v>
      </c>
      <c r="K14" s="232">
        <v>5877</v>
      </c>
      <c r="L14" s="232">
        <v>5501</v>
      </c>
      <c r="M14" s="232">
        <v>7420</v>
      </c>
      <c r="N14" s="232">
        <v>7224</v>
      </c>
      <c r="O14" s="232">
        <v>9022</v>
      </c>
      <c r="P14" s="324">
        <f t="shared" si="0"/>
        <v>75054</v>
      </c>
    </row>
    <row r="15" spans="1:16" x14ac:dyDescent="0.2">
      <c r="A15" s="230" t="s">
        <v>338</v>
      </c>
      <c r="B15" s="231" t="s">
        <v>339</v>
      </c>
      <c r="C15" s="231" t="s">
        <v>340</v>
      </c>
      <c r="D15" s="232">
        <v>10021</v>
      </c>
      <c r="E15" s="232">
        <v>9461</v>
      </c>
      <c r="F15" s="232">
        <v>9946</v>
      </c>
      <c r="G15" s="232">
        <v>9157</v>
      </c>
      <c r="H15" s="232">
        <v>9042</v>
      </c>
      <c r="I15" s="232">
        <v>9755</v>
      </c>
      <c r="J15" s="232">
        <v>13933</v>
      </c>
      <c r="K15" s="232">
        <v>12173</v>
      </c>
      <c r="L15" s="232">
        <v>11050</v>
      </c>
      <c r="M15" s="232">
        <v>12141</v>
      </c>
      <c r="N15" s="232">
        <v>10858</v>
      </c>
      <c r="O15" s="232">
        <v>9043</v>
      </c>
      <c r="P15" s="325">
        <f t="shared" si="0"/>
        <v>126580</v>
      </c>
    </row>
    <row r="16" spans="1:16" x14ac:dyDescent="0.2">
      <c r="A16" s="230" t="s">
        <v>341</v>
      </c>
      <c r="B16" s="231" t="s">
        <v>339</v>
      </c>
      <c r="C16" s="231" t="s">
        <v>342</v>
      </c>
      <c r="D16" s="232">
        <v>20707</v>
      </c>
      <c r="E16" s="232">
        <v>17423</v>
      </c>
      <c r="F16" s="232">
        <v>15440</v>
      </c>
      <c r="G16" s="232">
        <v>11664</v>
      </c>
      <c r="H16" s="232">
        <v>14120</v>
      </c>
      <c r="I16" s="232">
        <v>11847</v>
      </c>
      <c r="J16" s="232">
        <v>19853</v>
      </c>
      <c r="K16" s="232">
        <v>14122</v>
      </c>
      <c r="L16" s="232">
        <v>15008</v>
      </c>
      <c r="M16" s="232">
        <v>15781</v>
      </c>
      <c r="N16" s="232">
        <v>15094</v>
      </c>
      <c r="O16" s="232">
        <v>16136</v>
      </c>
      <c r="P16" s="325">
        <f t="shared" si="0"/>
        <v>187195</v>
      </c>
    </row>
    <row r="17" spans="1:16" x14ac:dyDescent="0.2">
      <c r="A17" s="230" t="s">
        <v>343</v>
      </c>
      <c r="B17" s="231" t="s">
        <v>339</v>
      </c>
      <c r="C17" s="231" t="s">
        <v>344</v>
      </c>
      <c r="D17" s="232">
        <v>21642</v>
      </c>
      <c r="E17" s="232">
        <v>19975</v>
      </c>
      <c r="F17" s="232">
        <v>24216</v>
      </c>
      <c r="G17" s="232">
        <v>26278</v>
      </c>
      <c r="H17" s="232">
        <v>26329</v>
      </c>
      <c r="I17" s="232">
        <v>16863</v>
      </c>
      <c r="J17" s="232">
        <v>23405</v>
      </c>
      <c r="K17" s="232">
        <v>23124</v>
      </c>
      <c r="L17" s="232">
        <v>28016</v>
      </c>
      <c r="M17" s="232">
        <v>30917</v>
      </c>
      <c r="N17" s="232">
        <v>30138</v>
      </c>
      <c r="O17" s="232">
        <v>21859</v>
      </c>
      <c r="P17" s="325">
        <f t="shared" si="0"/>
        <v>292762</v>
      </c>
    </row>
    <row r="18" spans="1:16" x14ac:dyDescent="0.2">
      <c r="A18" s="230" t="s">
        <v>345</v>
      </c>
      <c r="B18" s="231" t="s">
        <v>339</v>
      </c>
      <c r="C18" s="231" t="s">
        <v>346</v>
      </c>
      <c r="D18" s="232">
        <v>155033</v>
      </c>
      <c r="E18" s="232">
        <v>124991</v>
      </c>
      <c r="F18" s="232">
        <v>118258</v>
      </c>
      <c r="G18" s="232">
        <v>95871</v>
      </c>
      <c r="H18" s="232">
        <v>87560</v>
      </c>
      <c r="I18" s="232">
        <v>98304</v>
      </c>
      <c r="J18" s="232">
        <v>115983</v>
      </c>
      <c r="K18" s="232">
        <v>83026</v>
      </c>
      <c r="L18" s="232">
        <v>48915</v>
      </c>
      <c r="M18" s="232">
        <v>42945</v>
      </c>
      <c r="N18" s="232">
        <v>48085</v>
      </c>
      <c r="O18" s="232">
        <v>97382</v>
      </c>
      <c r="P18" s="325">
        <f t="shared" si="0"/>
        <v>1116353</v>
      </c>
    </row>
    <row r="19" spans="1:16" x14ac:dyDescent="0.2">
      <c r="A19" s="230" t="s">
        <v>348</v>
      </c>
      <c r="B19" s="231" t="s">
        <v>339</v>
      </c>
      <c r="C19" s="231" t="s">
        <v>349</v>
      </c>
      <c r="D19" s="232">
        <v>36682</v>
      </c>
      <c r="E19" s="232">
        <v>30315</v>
      </c>
      <c r="F19" s="232">
        <v>18952</v>
      </c>
      <c r="G19" s="232">
        <v>17779</v>
      </c>
      <c r="H19" s="232">
        <v>19598</v>
      </c>
      <c r="I19" s="232">
        <v>17907</v>
      </c>
      <c r="J19" s="232">
        <v>42776</v>
      </c>
      <c r="K19" s="232">
        <v>23902</v>
      </c>
      <c r="L19" s="232">
        <v>25836</v>
      </c>
      <c r="M19" s="232">
        <v>25607</v>
      </c>
      <c r="N19" s="232">
        <v>26564</v>
      </c>
      <c r="O19" s="232">
        <v>27984</v>
      </c>
      <c r="P19" s="325">
        <f t="shared" si="0"/>
        <v>313902</v>
      </c>
    </row>
    <row r="20" spans="1:16" x14ac:dyDescent="0.2">
      <c r="A20" s="230" t="s">
        <v>350</v>
      </c>
      <c r="B20" s="356" t="s">
        <v>407</v>
      </c>
      <c r="C20" s="231" t="s">
        <v>351</v>
      </c>
      <c r="D20" s="232">
        <v>2070</v>
      </c>
      <c r="E20" s="232">
        <v>1795</v>
      </c>
      <c r="F20" s="232">
        <v>1773</v>
      </c>
      <c r="G20" s="232">
        <v>1459</v>
      </c>
      <c r="H20" s="232">
        <v>1059</v>
      </c>
      <c r="I20" s="232">
        <v>1804</v>
      </c>
      <c r="J20" s="232">
        <v>2932</v>
      </c>
      <c r="K20" s="232">
        <v>2294</v>
      </c>
      <c r="L20" s="232">
        <v>2236</v>
      </c>
      <c r="M20" s="232">
        <v>2853</v>
      </c>
      <c r="N20" s="232">
        <v>4180</v>
      </c>
      <c r="O20" s="253">
        <v>3852</v>
      </c>
      <c r="P20" s="236">
        <f t="shared" si="0"/>
        <v>28307</v>
      </c>
    </row>
    <row r="21" spans="1:16" x14ac:dyDescent="0.2">
      <c r="A21" s="265" t="s">
        <v>367</v>
      </c>
      <c r="B21" s="357" t="s">
        <v>408</v>
      </c>
      <c r="C21" s="266" t="s">
        <v>360</v>
      </c>
      <c r="D21" s="232">
        <v>1418</v>
      </c>
      <c r="E21" s="232">
        <v>2346</v>
      </c>
      <c r="F21" s="232">
        <v>641</v>
      </c>
      <c r="G21" s="232">
        <v>0</v>
      </c>
      <c r="H21" s="232">
        <v>0</v>
      </c>
      <c r="I21" s="232">
        <v>0</v>
      </c>
      <c r="J21" s="232">
        <v>0</v>
      </c>
      <c r="K21" s="232">
        <v>0</v>
      </c>
      <c r="L21" s="232">
        <v>0</v>
      </c>
      <c r="M21" s="232">
        <v>0</v>
      </c>
      <c r="N21" s="232">
        <v>0</v>
      </c>
      <c r="O21" s="253">
        <v>0</v>
      </c>
      <c r="P21" s="236">
        <f t="shared" si="0"/>
        <v>4405</v>
      </c>
    </row>
    <row r="22" spans="1:16" ht="13.5" thickBot="1" x14ac:dyDescent="0.25">
      <c r="A22" s="264" t="s">
        <v>369</v>
      </c>
      <c r="B22" s="358" t="s">
        <v>408</v>
      </c>
      <c r="C22" s="267" t="s">
        <v>360</v>
      </c>
      <c r="D22" s="233">
        <v>4115</v>
      </c>
      <c r="E22" s="233">
        <v>2777</v>
      </c>
      <c r="F22" s="233">
        <v>1454</v>
      </c>
      <c r="G22" s="233">
        <v>681</v>
      </c>
      <c r="H22" s="233">
        <v>117</v>
      </c>
      <c r="I22" s="233">
        <v>74</v>
      </c>
      <c r="J22" s="233">
        <v>1843</v>
      </c>
      <c r="K22" s="233">
        <v>626</v>
      </c>
      <c r="L22" s="233">
        <v>728</v>
      </c>
      <c r="M22" s="233">
        <v>1216</v>
      </c>
      <c r="N22" s="233">
        <v>1847</v>
      </c>
      <c r="O22" s="233">
        <v>698</v>
      </c>
      <c r="P22" s="236">
        <f t="shared" si="0"/>
        <v>16176</v>
      </c>
    </row>
    <row r="23" spans="1:16" ht="15" x14ac:dyDescent="0.25">
      <c r="A23" s="254"/>
      <c r="B23" s="257" t="s">
        <v>373</v>
      </c>
      <c r="C23" s="240" t="s">
        <v>325</v>
      </c>
      <c r="D23" s="234">
        <f t="shared" ref="D23:O23" si="1">SUM(D5:D14)</f>
        <v>133175</v>
      </c>
      <c r="E23" s="234">
        <f t="shared" si="1"/>
        <v>125899</v>
      </c>
      <c r="F23" s="234">
        <f t="shared" si="1"/>
        <v>90080</v>
      </c>
      <c r="G23" s="234">
        <f t="shared" si="1"/>
        <v>69583</v>
      </c>
      <c r="H23" s="234">
        <f t="shared" si="1"/>
        <v>64290</v>
      </c>
      <c r="I23" s="234">
        <f t="shared" si="1"/>
        <v>51320</v>
      </c>
      <c r="J23" s="234">
        <f t="shared" si="1"/>
        <v>91535</v>
      </c>
      <c r="K23" s="234">
        <f t="shared" si="1"/>
        <v>68538</v>
      </c>
      <c r="L23" s="234">
        <f t="shared" si="1"/>
        <v>65818</v>
      </c>
      <c r="M23" s="234">
        <f t="shared" si="1"/>
        <v>75696</v>
      </c>
      <c r="N23" s="234">
        <f t="shared" si="1"/>
        <v>73628</v>
      </c>
      <c r="O23" s="234">
        <f t="shared" si="1"/>
        <v>99795</v>
      </c>
      <c r="P23" s="237">
        <f>SUM(P5:P14)</f>
        <v>1009357</v>
      </c>
    </row>
    <row r="24" spans="1:16" ht="15" x14ac:dyDescent="0.25">
      <c r="A24" s="255"/>
      <c r="B24" s="258" t="s">
        <v>373</v>
      </c>
      <c r="C24" s="241" t="s">
        <v>339</v>
      </c>
      <c r="D24" s="235">
        <f>SUM(D15:D19)</f>
        <v>244085</v>
      </c>
      <c r="E24" s="235">
        <f t="shared" ref="E24:N24" si="2">SUM(E15:E19)</f>
        <v>202165</v>
      </c>
      <c r="F24" s="235">
        <f t="shared" si="2"/>
        <v>186812</v>
      </c>
      <c r="G24" s="235">
        <f t="shared" si="2"/>
        <v>160749</v>
      </c>
      <c r="H24" s="235">
        <f t="shared" si="2"/>
        <v>156649</v>
      </c>
      <c r="I24" s="235">
        <f t="shared" si="2"/>
        <v>154676</v>
      </c>
      <c r="J24" s="235">
        <f t="shared" si="2"/>
        <v>215950</v>
      </c>
      <c r="K24" s="235">
        <f t="shared" si="2"/>
        <v>156347</v>
      </c>
      <c r="L24" s="235">
        <f t="shared" si="2"/>
        <v>128825</v>
      </c>
      <c r="M24" s="235">
        <f t="shared" si="2"/>
        <v>127391</v>
      </c>
      <c r="N24" s="235">
        <f t="shared" si="2"/>
        <v>130739</v>
      </c>
      <c r="O24" s="235">
        <f>SUM(O15:O19)</f>
        <v>172404</v>
      </c>
      <c r="P24" s="238">
        <f>SUM(P15:P19)</f>
        <v>2036792</v>
      </c>
    </row>
    <row r="25" spans="1:16" ht="15" x14ac:dyDescent="0.25">
      <c r="A25" s="255"/>
      <c r="B25" s="258" t="s">
        <v>373</v>
      </c>
      <c r="C25" s="241" t="s">
        <v>406</v>
      </c>
      <c r="D25" s="235">
        <f>D20</f>
        <v>2070</v>
      </c>
      <c r="E25" s="235">
        <f t="shared" ref="E25:O25" si="3">E20</f>
        <v>1795</v>
      </c>
      <c r="F25" s="235">
        <f t="shared" si="3"/>
        <v>1773</v>
      </c>
      <c r="G25" s="235">
        <f t="shared" si="3"/>
        <v>1459</v>
      </c>
      <c r="H25" s="235">
        <f t="shared" si="3"/>
        <v>1059</v>
      </c>
      <c r="I25" s="235">
        <f t="shared" si="3"/>
        <v>1804</v>
      </c>
      <c r="J25" s="235">
        <f t="shared" si="3"/>
        <v>2932</v>
      </c>
      <c r="K25" s="235">
        <f t="shared" si="3"/>
        <v>2294</v>
      </c>
      <c r="L25" s="235">
        <f t="shared" si="3"/>
        <v>2236</v>
      </c>
      <c r="M25" s="235">
        <f t="shared" si="3"/>
        <v>2853</v>
      </c>
      <c r="N25" s="235">
        <f t="shared" si="3"/>
        <v>4180</v>
      </c>
      <c r="O25" s="235">
        <f t="shared" si="3"/>
        <v>3852</v>
      </c>
      <c r="P25" s="238">
        <f>P20</f>
        <v>28307</v>
      </c>
    </row>
    <row r="26" spans="1:16" ht="15" x14ac:dyDescent="0.25">
      <c r="A26" s="255"/>
      <c r="B26" s="258" t="s">
        <v>373</v>
      </c>
      <c r="C26" s="241" t="s">
        <v>408</v>
      </c>
      <c r="D26" s="235">
        <f>D21+D22</f>
        <v>5533</v>
      </c>
      <c r="E26" s="235">
        <f t="shared" ref="E26:O26" si="4">E21+E22</f>
        <v>5123</v>
      </c>
      <c r="F26" s="235">
        <f t="shared" si="4"/>
        <v>2095</v>
      </c>
      <c r="G26" s="235">
        <f t="shared" si="4"/>
        <v>681</v>
      </c>
      <c r="H26" s="235">
        <f t="shared" si="4"/>
        <v>117</v>
      </c>
      <c r="I26" s="235">
        <f t="shared" si="4"/>
        <v>74</v>
      </c>
      <c r="J26" s="235">
        <f t="shared" si="4"/>
        <v>1843</v>
      </c>
      <c r="K26" s="235">
        <f t="shared" si="4"/>
        <v>626</v>
      </c>
      <c r="L26" s="235">
        <f t="shared" si="4"/>
        <v>728</v>
      </c>
      <c r="M26" s="235">
        <f t="shared" si="4"/>
        <v>1216</v>
      </c>
      <c r="N26" s="235">
        <f t="shared" si="4"/>
        <v>1847</v>
      </c>
      <c r="O26" s="235">
        <f t="shared" si="4"/>
        <v>698</v>
      </c>
      <c r="P26" s="238">
        <f>P21+P22</f>
        <v>20581</v>
      </c>
    </row>
    <row r="27" spans="1:16" ht="15.75" thickBot="1" x14ac:dyDescent="0.3">
      <c r="A27" s="256"/>
      <c r="B27" s="259" t="s">
        <v>323</v>
      </c>
      <c r="C27" s="242"/>
      <c r="D27" s="243">
        <f>SUM(D23:D26)</f>
        <v>384863</v>
      </c>
      <c r="E27" s="243">
        <f t="shared" ref="E27:O27" si="5">SUM(E23:E26)</f>
        <v>334982</v>
      </c>
      <c r="F27" s="243">
        <f t="shared" si="5"/>
        <v>280760</v>
      </c>
      <c r="G27" s="243">
        <f t="shared" si="5"/>
        <v>232472</v>
      </c>
      <c r="H27" s="243">
        <f t="shared" si="5"/>
        <v>222115</v>
      </c>
      <c r="I27" s="243">
        <f t="shared" si="5"/>
        <v>207874</v>
      </c>
      <c r="J27" s="243">
        <f t="shared" si="5"/>
        <v>312260</v>
      </c>
      <c r="K27" s="243">
        <f t="shared" si="5"/>
        <v>227805</v>
      </c>
      <c r="L27" s="243">
        <f t="shared" si="5"/>
        <v>197607</v>
      </c>
      <c r="M27" s="243">
        <f t="shared" si="5"/>
        <v>207156</v>
      </c>
      <c r="N27" s="243">
        <f t="shared" si="5"/>
        <v>210394</v>
      </c>
      <c r="O27" s="243">
        <f t="shared" si="5"/>
        <v>276749</v>
      </c>
      <c r="P27" s="239">
        <f>SUM(P23:P26)</f>
        <v>3095037</v>
      </c>
    </row>
    <row r="29" spans="1:16" x14ac:dyDescent="0.2">
      <c r="A29" s="5" t="s">
        <v>368</v>
      </c>
    </row>
  </sheetData>
  <sortState ref="A5:P20">
    <sortCondition ref="B5:B20"/>
  </sortState>
  <mergeCells count="1">
    <mergeCell ref="A2:P2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&amp;L&amp;G</oddHeader>
  </headerFooter>
  <ignoredErrors>
    <ignoredError sqref="D23:O23 D24:N24" formulaRange="1"/>
  </ignoredError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04"/>
  <sheetViews>
    <sheetView showGridLines="0" showRowColHeaders="0" showRuler="0" topLeftCell="D4" zoomScaleNormal="100" workbookViewId="0">
      <selection activeCell="P22" sqref="P22"/>
    </sheetView>
  </sheetViews>
  <sheetFormatPr baseColWidth="10" defaultRowHeight="15" x14ac:dyDescent="0.25"/>
  <cols>
    <col min="1" max="1" width="37.42578125" style="245" customWidth="1"/>
    <col min="2" max="2" width="17.140625" style="245" customWidth="1"/>
    <col min="3" max="3" width="21.140625" style="245" customWidth="1"/>
    <col min="4" max="11" width="11.42578125" style="245"/>
    <col min="12" max="12" width="13.5703125" style="245" customWidth="1"/>
    <col min="13" max="13" width="11.42578125" style="245"/>
    <col min="14" max="14" width="13.140625" style="245" customWidth="1"/>
    <col min="15" max="15" width="12.28515625" style="245" customWidth="1"/>
    <col min="16" max="16384" width="11.42578125" style="245"/>
  </cols>
  <sheetData>
    <row r="2" spans="1:16" ht="21" x14ac:dyDescent="0.35">
      <c r="A2" s="456" t="s">
        <v>354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</row>
    <row r="3" spans="1:16" x14ac:dyDescent="0.25">
      <c r="O3" s="246"/>
    </row>
    <row r="4" spans="1:16" ht="15.75" thickBot="1" x14ac:dyDescent="0.3">
      <c r="A4" s="247" t="s">
        <v>308</v>
      </c>
      <c r="B4" s="247" t="s">
        <v>309</v>
      </c>
      <c r="C4" s="247" t="s">
        <v>310</v>
      </c>
      <c r="D4" s="296" t="s">
        <v>311</v>
      </c>
      <c r="E4" s="296" t="s">
        <v>312</v>
      </c>
      <c r="F4" s="296" t="s">
        <v>313</v>
      </c>
      <c r="G4" s="296" t="s">
        <v>314</v>
      </c>
      <c r="H4" s="296" t="s">
        <v>315</v>
      </c>
      <c r="I4" s="296" t="s">
        <v>316</v>
      </c>
      <c r="J4" s="296" t="s">
        <v>317</v>
      </c>
      <c r="K4" s="296" t="s">
        <v>318</v>
      </c>
      <c r="L4" s="296" t="s">
        <v>319</v>
      </c>
      <c r="M4" s="296" t="s">
        <v>320</v>
      </c>
      <c r="N4" s="296" t="s">
        <v>321</v>
      </c>
      <c r="O4" s="296" t="s">
        <v>322</v>
      </c>
      <c r="P4" s="306" t="s">
        <v>323</v>
      </c>
    </row>
    <row r="5" spans="1:16" x14ac:dyDescent="0.25">
      <c r="A5" s="299" t="s">
        <v>355</v>
      </c>
      <c r="B5" s="299" t="s">
        <v>325</v>
      </c>
      <c r="C5" s="299" t="s">
        <v>326</v>
      </c>
      <c r="D5" s="300">
        <v>3109</v>
      </c>
      <c r="E5" s="300">
        <v>3338</v>
      </c>
      <c r="F5" s="300">
        <v>3246</v>
      </c>
      <c r="G5" s="300">
        <v>3593</v>
      </c>
      <c r="H5" s="300">
        <v>3476</v>
      </c>
      <c r="I5" s="300">
        <v>2930</v>
      </c>
      <c r="J5" s="300">
        <v>5494</v>
      </c>
      <c r="K5" s="300">
        <v>5535</v>
      </c>
      <c r="L5" s="300">
        <v>5727</v>
      </c>
      <c r="M5" s="300">
        <v>5157</v>
      </c>
      <c r="N5" s="300">
        <v>4837</v>
      </c>
      <c r="O5" s="300">
        <v>6486</v>
      </c>
      <c r="P5" s="301">
        <f>SUM(Tabla1[[#This Row],[Enero]:[Diciembre]])</f>
        <v>52928</v>
      </c>
    </row>
    <row r="6" spans="1:16" x14ac:dyDescent="0.25">
      <c r="A6" s="302" t="s">
        <v>327</v>
      </c>
      <c r="B6" s="302" t="s">
        <v>325</v>
      </c>
      <c r="C6" s="302" t="s">
        <v>328</v>
      </c>
      <c r="D6" s="301">
        <v>14340</v>
      </c>
      <c r="E6" s="301">
        <v>12456</v>
      </c>
      <c r="F6" s="301">
        <v>10348</v>
      </c>
      <c r="G6" s="301">
        <v>8908</v>
      </c>
      <c r="H6" s="301">
        <v>6707</v>
      </c>
      <c r="I6" s="301">
        <v>8550</v>
      </c>
      <c r="J6" s="301">
        <v>13399</v>
      </c>
      <c r="K6" s="301">
        <v>12076</v>
      </c>
      <c r="L6" s="301">
        <v>12203</v>
      </c>
      <c r="M6" s="301">
        <v>13938</v>
      </c>
      <c r="N6" s="301">
        <v>12824</v>
      </c>
      <c r="O6" s="301">
        <v>13631</v>
      </c>
      <c r="P6" s="301">
        <f>SUM(Tabla1[[#This Row],[Enero]:[Diciembre]])</f>
        <v>139380</v>
      </c>
    </row>
    <row r="7" spans="1:16" x14ac:dyDescent="0.25">
      <c r="A7" s="302" t="s">
        <v>329</v>
      </c>
      <c r="B7" s="302" t="s">
        <v>325</v>
      </c>
      <c r="C7" s="302" t="s">
        <v>328</v>
      </c>
      <c r="D7" s="301">
        <v>67967</v>
      </c>
      <c r="E7" s="301">
        <v>62481</v>
      </c>
      <c r="F7" s="301">
        <v>37666</v>
      </c>
      <c r="G7" s="301">
        <v>22515</v>
      </c>
      <c r="H7" s="301">
        <v>15838</v>
      </c>
      <c r="I7" s="301">
        <v>17426</v>
      </c>
      <c r="J7" s="301">
        <v>30165</v>
      </c>
      <c r="K7" s="301">
        <v>25170</v>
      </c>
      <c r="L7" s="301">
        <v>23964</v>
      </c>
      <c r="M7" s="301">
        <v>29850</v>
      </c>
      <c r="N7" s="301">
        <v>32684</v>
      </c>
      <c r="O7" s="301">
        <v>59341</v>
      </c>
      <c r="P7" s="301">
        <f>SUM(Tabla1[[#This Row],[Enero]:[Diciembre]])</f>
        <v>425067</v>
      </c>
    </row>
    <row r="8" spans="1:16" x14ac:dyDescent="0.25">
      <c r="A8" s="302" t="s">
        <v>330</v>
      </c>
      <c r="B8" s="302" t="s">
        <v>325</v>
      </c>
      <c r="C8" s="302" t="s">
        <v>331</v>
      </c>
      <c r="D8" s="301">
        <v>7066</v>
      </c>
      <c r="E8" s="301">
        <v>7013</v>
      </c>
      <c r="F8" s="301">
        <v>6100</v>
      </c>
      <c r="G8" s="301">
        <v>5206</v>
      </c>
      <c r="H8" s="301">
        <v>4118</v>
      </c>
      <c r="I8" s="301">
        <v>4569</v>
      </c>
      <c r="J8" s="301">
        <v>7953</v>
      </c>
      <c r="K8" s="301">
        <v>6729</v>
      </c>
      <c r="L8" s="301">
        <v>7414</v>
      </c>
      <c r="M8" s="301">
        <v>6592</v>
      </c>
      <c r="N8" s="301">
        <v>7038</v>
      </c>
      <c r="O8" s="301">
        <v>6401</v>
      </c>
      <c r="P8" s="301">
        <f>SUM(Tabla1[[#This Row],[Enero]:[Diciembre]])</f>
        <v>76199</v>
      </c>
    </row>
    <row r="9" spans="1:16" x14ac:dyDescent="0.25">
      <c r="A9" s="302" t="s">
        <v>332</v>
      </c>
      <c r="B9" s="302" t="s">
        <v>325</v>
      </c>
      <c r="C9" s="302" t="s">
        <v>333</v>
      </c>
      <c r="D9" s="301">
        <v>1432</v>
      </c>
      <c r="E9" s="301">
        <v>1605</v>
      </c>
      <c r="F9" s="301">
        <v>1054</v>
      </c>
      <c r="G9" s="301">
        <v>719</v>
      </c>
      <c r="H9" s="301">
        <v>778</v>
      </c>
      <c r="I9" s="301">
        <v>750</v>
      </c>
      <c r="J9" s="301">
        <v>1261</v>
      </c>
      <c r="K9" s="301">
        <v>1416</v>
      </c>
      <c r="L9" s="301">
        <v>1556</v>
      </c>
      <c r="M9" s="301">
        <v>2662</v>
      </c>
      <c r="N9" s="301">
        <v>2489</v>
      </c>
      <c r="O9" s="301">
        <v>3302</v>
      </c>
      <c r="P9" s="301">
        <f>SUM(Tabla1[[#This Row],[Enero]:[Diciembre]])</f>
        <v>19024</v>
      </c>
    </row>
    <row r="10" spans="1:16" x14ac:dyDescent="0.25">
      <c r="A10" s="302" t="s">
        <v>334</v>
      </c>
      <c r="B10" s="302" t="s">
        <v>325</v>
      </c>
      <c r="C10" s="302" t="s">
        <v>331</v>
      </c>
      <c r="D10" s="301">
        <v>19022</v>
      </c>
      <c r="E10" s="301">
        <v>17925</v>
      </c>
      <c r="F10" s="301">
        <v>18135</v>
      </c>
      <c r="G10" s="301">
        <v>16299</v>
      </c>
      <c r="H10" s="301">
        <v>15901</v>
      </c>
      <c r="I10" s="301">
        <v>15454</v>
      </c>
      <c r="J10" s="301">
        <v>21588</v>
      </c>
      <c r="K10" s="301">
        <v>18622</v>
      </c>
      <c r="L10" s="301">
        <v>15654</v>
      </c>
      <c r="M10" s="301">
        <v>16662</v>
      </c>
      <c r="N10" s="301">
        <v>15855</v>
      </c>
      <c r="O10" s="301">
        <v>13557</v>
      </c>
      <c r="P10" s="301">
        <f>SUM(Tabla1[[#This Row],[Enero]:[Diciembre]])</f>
        <v>204674</v>
      </c>
    </row>
    <row r="11" spans="1:16" x14ac:dyDescent="0.25">
      <c r="A11" s="302" t="s">
        <v>335</v>
      </c>
      <c r="B11" s="302" t="s">
        <v>325</v>
      </c>
      <c r="C11" s="302" t="s">
        <v>331</v>
      </c>
      <c r="D11" s="301">
        <v>9299</v>
      </c>
      <c r="E11" s="301">
        <v>9285</v>
      </c>
      <c r="F11" s="301">
        <v>7268</v>
      </c>
      <c r="G11" s="301">
        <v>8328</v>
      </c>
      <c r="H11" s="301">
        <v>5676</v>
      </c>
      <c r="I11" s="301">
        <v>6856</v>
      </c>
      <c r="J11" s="301">
        <v>11626</v>
      </c>
      <c r="K11" s="301">
        <v>8717</v>
      </c>
      <c r="L11" s="301">
        <v>8582</v>
      </c>
      <c r="M11" s="301">
        <v>8328</v>
      </c>
      <c r="N11" s="301">
        <v>6808</v>
      </c>
      <c r="O11" s="301">
        <v>4814</v>
      </c>
      <c r="P11" s="301">
        <f>SUM(Tabla1[[#This Row],[Enero]:[Diciembre]])</f>
        <v>95587</v>
      </c>
    </row>
    <row r="12" spans="1:16" x14ac:dyDescent="0.25">
      <c r="A12" s="302" t="s">
        <v>336</v>
      </c>
      <c r="B12" s="302" t="s">
        <v>325</v>
      </c>
      <c r="C12" s="302" t="s">
        <v>337</v>
      </c>
      <c r="D12" s="301">
        <v>10322</v>
      </c>
      <c r="E12" s="301">
        <v>12241</v>
      </c>
      <c r="F12" s="301">
        <v>14754</v>
      </c>
      <c r="G12" s="301">
        <v>12569</v>
      </c>
      <c r="H12" s="301">
        <v>10267</v>
      </c>
      <c r="I12" s="301">
        <v>12641</v>
      </c>
      <c r="J12" s="301">
        <v>12855</v>
      </c>
      <c r="K12" s="301">
        <v>12208</v>
      </c>
      <c r="L12" s="301">
        <v>13866</v>
      </c>
      <c r="M12" s="301">
        <v>12025</v>
      </c>
      <c r="N12" s="301">
        <v>11744</v>
      </c>
      <c r="O12" s="301">
        <v>14054</v>
      </c>
      <c r="P12" s="301">
        <f>SUM(Tabla1[[#This Row],[Enero]:[Diciembre]])</f>
        <v>149546</v>
      </c>
    </row>
    <row r="13" spans="1:16" x14ac:dyDescent="0.25">
      <c r="A13" s="302" t="s">
        <v>338</v>
      </c>
      <c r="B13" s="302" t="s">
        <v>339</v>
      </c>
      <c r="C13" s="302" t="s">
        <v>340</v>
      </c>
      <c r="D13" s="301">
        <v>11275</v>
      </c>
      <c r="E13" s="301">
        <v>13643</v>
      </c>
      <c r="F13" s="301">
        <v>13526</v>
      </c>
      <c r="G13" s="301">
        <v>12497</v>
      </c>
      <c r="H13" s="301">
        <v>15541</v>
      </c>
      <c r="I13" s="301">
        <v>12889</v>
      </c>
      <c r="J13" s="301">
        <v>22296</v>
      </c>
      <c r="K13" s="301">
        <v>30567</v>
      </c>
      <c r="L13" s="301">
        <v>15327</v>
      </c>
      <c r="M13" s="301">
        <v>16843</v>
      </c>
      <c r="N13" s="301">
        <v>15437</v>
      </c>
      <c r="O13" s="301">
        <v>14196</v>
      </c>
      <c r="P13" s="301">
        <f>SUM(Tabla1[[#This Row],[Enero]:[Diciembre]])</f>
        <v>194037</v>
      </c>
    </row>
    <row r="14" spans="1:16" x14ac:dyDescent="0.25">
      <c r="A14" s="302" t="s">
        <v>341</v>
      </c>
      <c r="B14" s="302" t="s">
        <v>339</v>
      </c>
      <c r="C14" s="302" t="s">
        <v>342</v>
      </c>
      <c r="D14" s="301">
        <v>21247</v>
      </c>
      <c r="E14" s="301">
        <v>22210</v>
      </c>
      <c r="F14" s="301">
        <v>15827</v>
      </c>
      <c r="G14" s="301">
        <v>13746</v>
      </c>
      <c r="H14" s="301">
        <v>14187</v>
      </c>
      <c r="I14" s="301">
        <v>12299</v>
      </c>
      <c r="J14" s="301">
        <v>21714</v>
      </c>
      <c r="K14" s="301">
        <v>13833</v>
      </c>
      <c r="L14" s="301">
        <v>18114</v>
      </c>
      <c r="M14" s="301">
        <v>18139</v>
      </c>
      <c r="N14" s="301">
        <v>16812</v>
      </c>
      <c r="O14" s="301">
        <v>19668</v>
      </c>
      <c r="P14" s="301">
        <f>SUM(Tabla1[[#This Row],[Enero]:[Diciembre]])</f>
        <v>207796</v>
      </c>
    </row>
    <row r="15" spans="1:16" x14ac:dyDescent="0.25">
      <c r="A15" s="302" t="s">
        <v>343</v>
      </c>
      <c r="B15" s="302" t="s">
        <v>339</v>
      </c>
      <c r="C15" s="302" t="s">
        <v>344</v>
      </c>
      <c r="D15" s="301">
        <v>22938</v>
      </c>
      <c r="E15" s="301">
        <v>23210</v>
      </c>
      <c r="F15" s="301">
        <v>30369</v>
      </c>
      <c r="G15" s="301">
        <v>28390</v>
      </c>
      <c r="H15" s="301">
        <v>29586</v>
      </c>
      <c r="I15" s="301">
        <v>25737</v>
      </c>
      <c r="J15" s="301">
        <v>35863</v>
      </c>
      <c r="K15" s="301">
        <v>31938</v>
      </c>
      <c r="L15" s="301">
        <v>34858</v>
      </c>
      <c r="M15" s="301">
        <v>37981</v>
      </c>
      <c r="N15" s="301">
        <v>34755</v>
      </c>
      <c r="O15" s="301">
        <v>25765</v>
      </c>
      <c r="P15" s="301">
        <f>SUM(Tabla1[[#This Row],[Enero]:[Diciembre]])</f>
        <v>361390</v>
      </c>
    </row>
    <row r="16" spans="1:16" x14ac:dyDescent="0.25">
      <c r="A16" s="302" t="s">
        <v>345</v>
      </c>
      <c r="B16" s="302" t="s">
        <v>339</v>
      </c>
      <c r="C16" s="302" t="s">
        <v>346</v>
      </c>
      <c r="D16" s="301">
        <v>95271</v>
      </c>
      <c r="E16" s="301">
        <v>78610</v>
      </c>
      <c r="F16" s="301">
        <v>44928</v>
      </c>
      <c r="G16" s="301">
        <v>47053</v>
      </c>
      <c r="H16" s="301">
        <v>51649</v>
      </c>
      <c r="I16" s="301">
        <v>58149</v>
      </c>
      <c r="J16" s="301">
        <v>57762</v>
      </c>
      <c r="K16" s="301">
        <v>27649</v>
      </c>
      <c r="L16" s="301">
        <v>23242</v>
      </c>
      <c r="M16" s="301">
        <v>27648</v>
      </c>
      <c r="N16" s="301">
        <v>23819</v>
      </c>
      <c r="O16" s="301">
        <v>22801</v>
      </c>
      <c r="P16" s="301">
        <f>SUM(Tabla1[[#This Row],[Enero]:[Diciembre]])</f>
        <v>558581</v>
      </c>
    </row>
    <row r="17" spans="1:17" x14ac:dyDescent="0.25">
      <c r="A17" s="302" t="s">
        <v>356</v>
      </c>
      <c r="B17" s="321" t="s">
        <v>325</v>
      </c>
      <c r="C17" s="302" t="s">
        <v>337</v>
      </c>
      <c r="D17" s="301">
        <v>8086</v>
      </c>
      <c r="E17" s="301">
        <v>6004</v>
      </c>
      <c r="F17" s="301">
        <v>6460</v>
      </c>
      <c r="G17" s="301">
        <v>5733</v>
      </c>
      <c r="H17" s="301">
        <v>7586</v>
      </c>
      <c r="I17" s="301">
        <v>5751</v>
      </c>
      <c r="J17" s="301">
        <v>5773</v>
      </c>
      <c r="K17" s="301">
        <v>5111</v>
      </c>
      <c r="L17" s="301">
        <v>4973</v>
      </c>
      <c r="M17" s="301">
        <v>6340</v>
      </c>
      <c r="N17" s="301">
        <v>6384</v>
      </c>
      <c r="O17" s="301">
        <v>7272</v>
      </c>
      <c r="P17" s="301">
        <f>SUM(Tabla1[[#This Row],[Enero]:[Diciembre]])</f>
        <v>75473</v>
      </c>
    </row>
    <row r="18" spans="1:17" x14ac:dyDescent="0.25">
      <c r="A18" s="302" t="s">
        <v>348</v>
      </c>
      <c r="B18" s="302" t="s">
        <v>339</v>
      </c>
      <c r="C18" s="302" t="s">
        <v>349</v>
      </c>
      <c r="D18" s="301">
        <v>39223</v>
      </c>
      <c r="E18" s="301">
        <v>35332</v>
      </c>
      <c r="F18" s="301">
        <v>27667</v>
      </c>
      <c r="G18" s="301">
        <v>26371</v>
      </c>
      <c r="H18" s="301">
        <v>24001</v>
      </c>
      <c r="I18" s="301">
        <v>26886</v>
      </c>
      <c r="J18" s="301">
        <v>37087</v>
      </c>
      <c r="K18" s="301">
        <v>27559</v>
      </c>
      <c r="L18" s="301">
        <v>31794</v>
      </c>
      <c r="M18" s="301">
        <v>31752</v>
      </c>
      <c r="N18" s="301">
        <v>26299</v>
      </c>
      <c r="O18" s="301">
        <v>30496</v>
      </c>
      <c r="P18" s="301">
        <f>SUM(Tabla1[[#This Row],[Enero]:[Diciembre]])</f>
        <v>364467</v>
      </c>
    </row>
    <row r="19" spans="1:17" x14ac:dyDescent="0.25">
      <c r="A19" s="302" t="s">
        <v>352</v>
      </c>
      <c r="B19" s="321" t="s">
        <v>325</v>
      </c>
      <c r="C19" s="302" t="s">
        <v>353</v>
      </c>
      <c r="D19" s="301">
        <v>11841</v>
      </c>
      <c r="E19" s="301">
        <v>12312</v>
      </c>
      <c r="F19" s="301">
        <v>9131</v>
      </c>
      <c r="G19" s="301">
        <v>9137</v>
      </c>
      <c r="H19" s="301">
        <v>8344</v>
      </c>
      <c r="I19" s="301">
        <v>8795</v>
      </c>
      <c r="J19" s="301">
        <v>12112</v>
      </c>
      <c r="K19" s="301">
        <v>8847</v>
      </c>
      <c r="L19" s="301">
        <v>9820</v>
      </c>
      <c r="M19" s="301">
        <v>8836</v>
      </c>
      <c r="N19" s="301">
        <v>10145</v>
      </c>
      <c r="O19" s="301">
        <v>11724</v>
      </c>
      <c r="P19" s="301">
        <f>SUM(Tabla1[[#This Row],[Enero]:[Diciembre]])</f>
        <v>121044</v>
      </c>
    </row>
    <row r="20" spans="1:17" x14ac:dyDescent="0.25">
      <c r="A20" s="316" t="s">
        <v>370</v>
      </c>
      <c r="B20" s="359" t="s">
        <v>408</v>
      </c>
      <c r="C20" s="317" t="s">
        <v>360</v>
      </c>
      <c r="D20" s="318">
        <v>875</v>
      </c>
      <c r="E20" s="318">
        <v>180</v>
      </c>
      <c r="F20" s="318">
        <v>72</v>
      </c>
      <c r="G20" s="318">
        <v>109</v>
      </c>
      <c r="H20" s="318">
        <v>45</v>
      </c>
      <c r="I20" s="318">
        <v>54</v>
      </c>
      <c r="J20" s="318">
        <v>463</v>
      </c>
      <c r="K20" s="318">
        <v>36</v>
      </c>
      <c r="L20" s="318">
        <v>167</v>
      </c>
      <c r="M20" s="318">
        <v>251</v>
      </c>
      <c r="N20" s="318">
        <v>248</v>
      </c>
      <c r="O20" s="318">
        <v>307</v>
      </c>
      <c r="P20" s="318">
        <f>SUM(Tabla1[[#This Row],[Enero]:[Diciembre]])</f>
        <v>2807</v>
      </c>
    </row>
    <row r="21" spans="1:17" x14ac:dyDescent="0.25">
      <c r="A21" s="303" t="s">
        <v>371</v>
      </c>
      <c r="B21" s="360" t="s">
        <v>408</v>
      </c>
      <c r="C21" s="304" t="s">
        <v>360</v>
      </c>
      <c r="D21" s="301">
        <v>3307</v>
      </c>
      <c r="E21" s="301">
        <v>1937</v>
      </c>
      <c r="F21" s="301">
        <v>1273</v>
      </c>
      <c r="G21" s="301">
        <v>918</v>
      </c>
      <c r="H21" s="301">
        <v>280</v>
      </c>
      <c r="I21" s="301">
        <v>451</v>
      </c>
      <c r="J21" s="301">
        <v>1767</v>
      </c>
      <c r="K21" s="301">
        <v>608</v>
      </c>
      <c r="L21" s="301">
        <v>668</v>
      </c>
      <c r="M21" s="301">
        <v>2418</v>
      </c>
      <c r="N21" s="301">
        <v>1735</v>
      </c>
      <c r="O21" s="301">
        <v>520</v>
      </c>
      <c r="P21" s="305">
        <f>SUM(Tabla1[[#This Row],[Enero]:[Diciembre]])</f>
        <v>15882</v>
      </c>
    </row>
    <row r="22" spans="1:17" x14ac:dyDescent="0.25">
      <c r="A22" s="414" t="s">
        <v>405</v>
      </c>
      <c r="B22" s="360" t="s">
        <v>408</v>
      </c>
      <c r="C22" s="414" t="s">
        <v>410</v>
      </c>
      <c r="D22" s="301">
        <v>3623</v>
      </c>
      <c r="E22" s="301">
        <v>2751</v>
      </c>
      <c r="F22" s="301">
        <v>3519</v>
      </c>
      <c r="G22" s="301">
        <v>4364</v>
      </c>
      <c r="H22" s="301">
        <v>3456</v>
      </c>
      <c r="I22" s="301">
        <v>3335</v>
      </c>
      <c r="J22" s="301">
        <v>11957</v>
      </c>
      <c r="K22" s="301">
        <v>5766</v>
      </c>
      <c r="L22" s="301">
        <v>4824</v>
      </c>
      <c r="M22" s="301">
        <v>4920</v>
      </c>
      <c r="N22" s="301">
        <v>3982</v>
      </c>
      <c r="O22" s="301">
        <v>1656</v>
      </c>
      <c r="P22" s="305">
        <f>SUM(Tabla1[[#This Row],[Enero]:[Diciembre]])</f>
        <v>54153</v>
      </c>
    </row>
    <row r="23" spans="1:17" ht="15.75" thickBot="1" x14ac:dyDescent="0.3">
      <c r="A23" s="319" t="s">
        <v>350</v>
      </c>
      <c r="B23" s="356" t="s">
        <v>407</v>
      </c>
      <c r="C23" s="319" t="s">
        <v>351</v>
      </c>
      <c r="D23" s="320">
        <v>4680</v>
      </c>
      <c r="E23" s="320">
        <v>4489</v>
      </c>
      <c r="F23" s="320">
        <v>3451</v>
      </c>
      <c r="G23" s="320">
        <v>2318</v>
      </c>
      <c r="H23" s="320">
        <v>2186</v>
      </c>
      <c r="I23" s="320">
        <v>2301</v>
      </c>
      <c r="J23" s="320">
        <v>3151</v>
      </c>
      <c r="K23" s="320">
        <v>2024</v>
      </c>
      <c r="L23" s="320">
        <v>2608</v>
      </c>
      <c r="M23" s="320">
        <v>2899</v>
      </c>
      <c r="N23" s="320">
        <v>2904</v>
      </c>
      <c r="O23" s="320">
        <v>3841</v>
      </c>
      <c r="P23" s="320">
        <f>SUM(Tabla1[[#This Row],[Enero]:[Diciembre]])</f>
        <v>36852</v>
      </c>
    </row>
    <row r="24" spans="1:17" x14ac:dyDescent="0.25">
      <c r="A24" s="297"/>
      <c r="B24" s="248" t="s">
        <v>373</v>
      </c>
      <c r="C24" s="248" t="s">
        <v>325</v>
      </c>
      <c r="D24" s="249">
        <f t="shared" ref="D24:P24" si="0">+D19+D17+D12+D11+D10+D9+D8+D7+D6+D5</f>
        <v>152484</v>
      </c>
      <c r="E24" s="249">
        <f t="shared" si="0"/>
        <v>144660</v>
      </c>
      <c r="F24" s="249">
        <f t="shared" si="0"/>
        <v>114162</v>
      </c>
      <c r="G24" s="249">
        <f t="shared" si="0"/>
        <v>93007</v>
      </c>
      <c r="H24" s="249">
        <f t="shared" si="0"/>
        <v>78691</v>
      </c>
      <c r="I24" s="249">
        <f t="shared" si="0"/>
        <v>83722</v>
      </c>
      <c r="J24" s="249">
        <f t="shared" si="0"/>
        <v>122226</v>
      </c>
      <c r="K24" s="249">
        <f t="shared" si="0"/>
        <v>104431</v>
      </c>
      <c r="L24" s="249">
        <f t="shared" si="0"/>
        <v>103759</v>
      </c>
      <c r="M24" s="249">
        <f t="shared" si="0"/>
        <v>110390</v>
      </c>
      <c r="N24" s="249">
        <f t="shared" si="0"/>
        <v>110808</v>
      </c>
      <c r="O24" s="249">
        <f t="shared" si="0"/>
        <v>140582</v>
      </c>
      <c r="P24" s="249">
        <f t="shared" si="0"/>
        <v>1358922</v>
      </c>
    </row>
    <row r="25" spans="1:17" x14ac:dyDescent="0.25">
      <c r="A25" s="298"/>
      <c r="B25" s="250" t="s">
        <v>373</v>
      </c>
      <c r="C25" s="250" t="s">
        <v>339</v>
      </c>
      <c r="D25" s="251">
        <f t="shared" ref="D25:P25" si="1">+D13+D14+D15+D16+D18</f>
        <v>189954</v>
      </c>
      <c r="E25" s="251">
        <f t="shared" si="1"/>
        <v>173005</v>
      </c>
      <c r="F25" s="251">
        <f t="shared" si="1"/>
        <v>132317</v>
      </c>
      <c r="G25" s="251">
        <f t="shared" si="1"/>
        <v>128057</v>
      </c>
      <c r="H25" s="251">
        <f t="shared" si="1"/>
        <v>134964</v>
      </c>
      <c r="I25" s="251">
        <f t="shared" si="1"/>
        <v>135960</v>
      </c>
      <c r="J25" s="251">
        <f t="shared" si="1"/>
        <v>174722</v>
      </c>
      <c r="K25" s="251">
        <f t="shared" si="1"/>
        <v>131546</v>
      </c>
      <c r="L25" s="251">
        <f t="shared" si="1"/>
        <v>123335</v>
      </c>
      <c r="M25" s="251">
        <f t="shared" si="1"/>
        <v>132363</v>
      </c>
      <c r="N25" s="251">
        <f t="shared" si="1"/>
        <v>117122</v>
      </c>
      <c r="O25" s="251">
        <f t="shared" si="1"/>
        <v>112926</v>
      </c>
      <c r="P25" s="251">
        <f t="shared" si="1"/>
        <v>1686271</v>
      </c>
    </row>
    <row r="26" spans="1:17" x14ac:dyDescent="0.25">
      <c r="A26" s="298"/>
      <c r="B26" s="250" t="s">
        <v>373</v>
      </c>
      <c r="C26" s="250" t="s">
        <v>406</v>
      </c>
      <c r="D26" s="251">
        <f>D23</f>
        <v>4680</v>
      </c>
      <c r="E26" s="251">
        <f t="shared" ref="E26:O26" si="2">E23</f>
        <v>4489</v>
      </c>
      <c r="F26" s="251">
        <f t="shared" si="2"/>
        <v>3451</v>
      </c>
      <c r="G26" s="251">
        <f t="shared" si="2"/>
        <v>2318</v>
      </c>
      <c r="H26" s="251">
        <f t="shared" si="2"/>
        <v>2186</v>
      </c>
      <c r="I26" s="251">
        <f t="shared" si="2"/>
        <v>2301</v>
      </c>
      <c r="J26" s="251">
        <f t="shared" si="2"/>
        <v>3151</v>
      </c>
      <c r="K26" s="251">
        <f t="shared" si="2"/>
        <v>2024</v>
      </c>
      <c r="L26" s="251">
        <f t="shared" si="2"/>
        <v>2608</v>
      </c>
      <c r="M26" s="251">
        <f t="shared" si="2"/>
        <v>2899</v>
      </c>
      <c r="N26" s="251">
        <f t="shared" si="2"/>
        <v>2904</v>
      </c>
      <c r="O26" s="251">
        <f t="shared" si="2"/>
        <v>3841</v>
      </c>
      <c r="P26" s="251">
        <f>P23</f>
        <v>36852</v>
      </c>
    </row>
    <row r="27" spans="1:17" x14ac:dyDescent="0.25">
      <c r="A27" s="298"/>
      <c r="B27" s="250" t="s">
        <v>373</v>
      </c>
      <c r="C27" s="250" t="s">
        <v>408</v>
      </c>
      <c r="D27" s="251">
        <f t="shared" ref="D27:P27" si="3">D20+D21+D22</f>
        <v>7805</v>
      </c>
      <c r="E27" s="251">
        <f t="shared" si="3"/>
        <v>4868</v>
      </c>
      <c r="F27" s="251">
        <f t="shared" si="3"/>
        <v>4864</v>
      </c>
      <c r="G27" s="251">
        <f t="shared" si="3"/>
        <v>5391</v>
      </c>
      <c r="H27" s="251">
        <f t="shared" si="3"/>
        <v>3781</v>
      </c>
      <c r="I27" s="251">
        <f t="shared" si="3"/>
        <v>3840</v>
      </c>
      <c r="J27" s="251">
        <f t="shared" si="3"/>
        <v>14187</v>
      </c>
      <c r="K27" s="251">
        <f t="shared" si="3"/>
        <v>6410</v>
      </c>
      <c r="L27" s="251">
        <f t="shared" si="3"/>
        <v>5659</v>
      </c>
      <c r="M27" s="251">
        <f t="shared" si="3"/>
        <v>7589</v>
      </c>
      <c r="N27" s="251">
        <f t="shared" si="3"/>
        <v>5965</v>
      </c>
      <c r="O27" s="251">
        <f t="shared" si="3"/>
        <v>2483</v>
      </c>
      <c r="P27" s="251">
        <f t="shared" si="3"/>
        <v>72842</v>
      </c>
      <c r="Q27" s="247"/>
    </row>
    <row r="28" spans="1:17" x14ac:dyDescent="0.25">
      <c r="A28" s="298"/>
      <c r="B28" s="250" t="s">
        <v>323</v>
      </c>
      <c r="C28" s="250"/>
      <c r="D28" s="251">
        <f>SUM(D24:D27)</f>
        <v>354923</v>
      </c>
      <c r="E28" s="251">
        <f t="shared" ref="E28:O28" si="4">SUM(E24:E27)</f>
        <v>327022</v>
      </c>
      <c r="F28" s="251">
        <f t="shared" si="4"/>
        <v>254794</v>
      </c>
      <c r="G28" s="251">
        <f t="shared" si="4"/>
        <v>228773</v>
      </c>
      <c r="H28" s="251">
        <f t="shared" si="4"/>
        <v>219622</v>
      </c>
      <c r="I28" s="251">
        <f t="shared" si="4"/>
        <v>225823</v>
      </c>
      <c r="J28" s="251">
        <f t="shared" si="4"/>
        <v>314286</v>
      </c>
      <c r="K28" s="251">
        <f t="shared" si="4"/>
        <v>244411</v>
      </c>
      <c r="L28" s="251">
        <f t="shared" si="4"/>
        <v>235361</v>
      </c>
      <c r="M28" s="251">
        <f t="shared" si="4"/>
        <v>253241</v>
      </c>
      <c r="N28" s="251">
        <f t="shared" si="4"/>
        <v>236799</v>
      </c>
      <c r="O28" s="251">
        <f t="shared" si="4"/>
        <v>259832</v>
      </c>
      <c r="P28" s="251">
        <f>SUM(P24:P27)</f>
        <v>3154887</v>
      </c>
      <c r="Q28" s="247"/>
    </row>
    <row r="29" spans="1:17" x14ac:dyDescent="0.25">
      <c r="A29" s="292" t="s">
        <v>357</v>
      </c>
      <c r="B29" s="247"/>
      <c r="C29" s="247"/>
      <c r="D29" s="293"/>
      <c r="E29" s="293"/>
      <c r="F29" s="293"/>
      <c r="G29" s="293"/>
      <c r="H29" s="293"/>
      <c r="I29" s="293"/>
      <c r="J29" s="293"/>
      <c r="K29" s="247"/>
      <c r="L29" s="293"/>
      <c r="M29" s="247"/>
      <c r="N29" s="247"/>
      <c r="O29" s="247"/>
      <c r="P29" s="294"/>
      <c r="Q29" s="247"/>
    </row>
    <row r="30" spans="1:17" x14ac:dyDescent="0.25">
      <c r="A30" s="292" t="s">
        <v>358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93"/>
      <c r="Q30" s="247"/>
    </row>
    <row r="31" spans="1:17" x14ac:dyDescent="0.25">
      <c r="A31" s="292" t="s">
        <v>359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</row>
    <row r="32" spans="1:17" x14ac:dyDescent="0.25">
      <c r="A32" s="295" t="s">
        <v>372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</row>
    <row r="33" spans="1:2" x14ac:dyDescent="0.25">
      <c r="A33" s="247"/>
      <c r="B33" s="247"/>
    </row>
    <row r="104" spans="12:12" x14ac:dyDescent="0.25">
      <c r="L104" s="252">
        <v>0.33333333333333331</v>
      </c>
    </row>
  </sheetData>
  <mergeCells count="1">
    <mergeCell ref="A2:P2"/>
  </mergeCells>
  <printOptions horizontalCentered="1"/>
  <pageMargins left="0.7" right="0.7" top="0.75" bottom="0.75" header="0.3" footer="0.3"/>
  <pageSetup paperSize="9" scale="58" orientation="landscape" r:id="rId1"/>
  <headerFooter>
    <oddHeader>&amp;L&amp;G</oddHeader>
  </headerFooter>
  <legacyDrawingHF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04"/>
  <sheetViews>
    <sheetView showGridLines="0" showRowColHeaders="0" showRuler="0" topLeftCell="A4" zoomScaleNormal="100" workbookViewId="0">
      <selection activeCell="K17" sqref="K17"/>
    </sheetView>
  </sheetViews>
  <sheetFormatPr baseColWidth="10" defaultRowHeight="15" x14ac:dyDescent="0.25"/>
  <cols>
    <col min="1" max="1" width="37.42578125" style="245" customWidth="1"/>
    <col min="2" max="2" width="17.140625" style="245" customWidth="1"/>
    <col min="3" max="3" width="21.140625" style="245" customWidth="1"/>
    <col min="4" max="11" width="11.42578125" style="245"/>
    <col min="12" max="12" width="13.5703125" style="245" customWidth="1"/>
    <col min="13" max="13" width="11.42578125" style="245"/>
    <col min="14" max="14" width="13.140625" style="245" customWidth="1"/>
    <col min="15" max="15" width="12.28515625" style="245" customWidth="1"/>
    <col min="16" max="16384" width="11.42578125" style="245"/>
  </cols>
  <sheetData>
    <row r="2" spans="1:16" ht="21" x14ac:dyDescent="0.35">
      <c r="A2" s="456" t="s">
        <v>381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</row>
    <row r="3" spans="1:16" ht="15.75" thickBot="1" x14ac:dyDescent="0.3">
      <c r="A3" t="s">
        <v>382</v>
      </c>
      <c r="B3"/>
      <c r="C3"/>
      <c r="D3"/>
      <c r="E3"/>
      <c r="F3"/>
      <c r="G3"/>
      <c r="H3"/>
      <c r="I3"/>
      <c r="J3"/>
      <c r="K3"/>
      <c r="L3"/>
      <c r="M3"/>
      <c r="N3"/>
      <c r="O3" s="64"/>
      <c r="P3"/>
    </row>
    <row r="4" spans="1:16" ht="15.75" thickBot="1" x14ac:dyDescent="0.3">
      <c r="A4" s="402" t="s">
        <v>308</v>
      </c>
      <c r="B4" s="403" t="s">
        <v>309</v>
      </c>
      <c r="C4" s="403" t="s">
        <v>310</v>
      </c>
      <c r="D4" s="404" t="s">
        <v>311</v>
      </c>
      <c r="E4" s="404" t="s">
        <v>312</v>
      </c>
      <c r="F4" s="404" t="s">
        <v>313</v>
      </c>
      <c r="G4" s="404" t="s">
        <v>314</v>
      </c>
      <c r="H4" s="404" t="s">
        <v>315</v>
      </c>
      <c r="I4" s="404" t="s">
        <v>316</v>
      </c>
      <c r="J4" s="404" t="s">
        <v>317</v>
      </c>
      <c r="K4" s="404" t="s">
        <v>318</v>
      </c>
      <c r="L4" s="404" t="s">
        <v>319</v>
      </c>
      <c r="M4" s="404" t="s">
        <v>320</v>
      </c>
      <c r="N4" s="404" t="s">
        <v>321</v>
      </c>
      <c r="O4" s="404" t="s">
        <v>322</v>
      </c>
      <c r="P4" s="260" t="s">
        <v>323</v>
      </c>
    </row>
    <row r="5" spans="1:16" x14ac:dyDescent="0.25">
      <c r="A5" s="378" t="s">
        <v>383</v>
      </c>
      <c r="B5" s="388" t="s">
        <v>325</v>
      </c>
      <c r="C5" s="388" t="s">
        <v>326</v>
      </c>
      <c r="D5" s="401">
        <v>6925</v>
      </c>
      <c r="E5" s="401">
        <v>5848</v>
      </c>
      <c r="F5" s="401">
        <v>3844</v>
      </c>
      <c r="G5" s="409">
        <v>0</v>
      </c>
      <c r="H5" s="409">
        <v>0</v>
      </c>
      <c r="I5" s="409">
        <v>0</v>
      </c>
      <c r="J5" s="409">
        <v>0</v>
      </c>
      <c r="K5" s="409">
        <v>0</v>
      </c>
      <c r="L5" s="409">
        <v>0</v>
      </c>
      <c r="M5" s="409">
        <v>0</v>
      </c>
      <c r="N5" s="401">
        <v>338</v>
      </c>
      <c r="O5" s="401">
        <v>3276</v>
      </c>
      <c r="P5" s="384">
        <f t="shared" ref="P5:P23" si="0">SUM(D5:O5)</f>
        <v>20231</v>
      </c>
    </row>
    <row r="6" spans="1:16" x14ac:dyDescent="0.25">
      <c r="A6" s="378" t="s">
        <v>327</v>
      </c>
      <c r="B6" s="379" t="s">
        <v>325</v>
      </c>
      <c r="C6" s="379" t="s">
        <v>328</v>
      </c>
      <c r="D6" s="380">
        <v>16442</v>
      </c>
      <c r="E6" s="380">
        <v>14602</v>
      </c>
      <c r="F6" s="380">
        <v>11742</v>
      </c>
      <c r="G6" s="410">
        <v>0</v>
      </c>
      <c r="H6" s="410">
        <v>0</v>
      </c>
      <c r="I6" s="410">
        <v>0</v>
      </c>
      <c r="J6" s="410">
        <v>0</v>
      </c>
      <c r="K6" s="410">
        <v>0</v>
      </c>
      <c r="L6" s="410">
        <v>0</v>
      </c>
      <c r="M6" s="410">
        <v>0</v>
      </c>
      <c r="N6" s="380">
        <v>439</v>
      </c>
      <c r="O6" s="380">
        <v>3133</v>
      </c>
      <c r="P6" s="384">
        <f t="shared" si="0"/>
        <v>46358</v>
      </c>
    </row>
    <row r="7" spans="1:16" x14ac:dyDescent="0.25">
      <c r="A7" s="378" t="s">
        <v>329</v>
      </c>
      <c r="B7" s="379" t="s">
        <v>325</v>
      </c>
      <c r="C7" s="379" t="s">
        <v>328</v>
      </c>
      <c r="D7" s="380">
        <v>71102</v>
      </c>
      <c r="E7" s="380">
        <v>70117</v>
      </c>
      <c r="F7" s="380">
        <v>57148</v>
      </c>
      <c r="G7" s="410">
        <v>0</v>
      </c>
      <c r="H7" s="410">
        <v>0</v>
      </c>
      <c r="I7" s="410">
        <v>0</v>
      </c>
      <c r="J7" s="410">
        <v>0</v>
      </c>
      <c r="K7" s="410">
        <v>0</v>
      </c>
      <c r="L7" s="410">
        <v>0</v>
      </c>
      <c r="M7" s="410">
        <v>0</v>
      </c>
      <c r="N7" s="380">
        <v>2737</v>
      </c>
      <c r="O7" s="380">
        <v>36669</v>
      </c>
      <c r="P7" s="384">
        <f t="shared" si="0"/>
        <v>237773</v>
      </c>
    </row>
    <row r="8" spans="1:16" x14ac:dyDescent="0.25">
      <c r="A8" s="378" t="s">
        <v>330</v>
      </c>
      <c r="B8" s="379" t="s">
        <v>325</v>
      </c>
      <c r="C8" s="379" t="s">
        <v>331</v>
      </c>
      <c r="D8" s="380">
        <v>8388</v>
      </c>
      <c r="E8" s="380">
        <v>7873</v>
      </c>
      <c r="F8" s="380">
        <v>5858</v>
      </c>
      <c r="G8" s="410">
        <v>0</v>
      </c>
      <c r="H8" s="410">
        <v>0</v>
      </c>
      <c r="I8" s="410">
        <v>0</v>
      </c>
      <c r="J8" s="410">
        <v>0</v>
      </c>
      <c r="K8" s="410">
        <v>0</v>
      </c>
      <c r="L8" s="410">
        <v>0</v>
      </c>
      <c r="M8" s="410">
        <v>0</v>
      </c>
      <c r="N8" s="380">
        <v>0</v>
      </c>
      <c r="O8" s="380">
        <v>4808</v>
      </c>
      <c r="P8" s="384">
        <f t="shared" si="0"/>
        <v>26927</v>
      </c>
    </row>
    <row r="9" spans="1:16" x14ac:dyDescent="0.25">
      <c r="A9" s="378" t="s">
        <v>332</v>
      </c>
      <c r="B9" s="379" t="s">
        <v>325</v>
      </c>
      <c r="C9" s="379" t="s">
        <v>333</v>
      </c>
      <c r="D9" s="380">
        <v>3537</v>
      </c>
      <c r="E9" s="380">
        <v>3144</v>
      </c>
      <c r="F9" s="380">
        <v>2231</v>
      </c>
      <c r="G9" s="410">
        <v>0</v>
      </c>
      <c r="H9" s="410">
        <v>0</v>
      </c>
      <c r="I9" s="410">
        <v>0</v>
      </c>
      <c r="J9" s="410">
        <v>0</v>
      </c>
      <c r="K9" s="410">
        <v>0</v>
      </c>
      <c r="L9" s="410">
        <v>0</v>
      </c>
      <c r="M9" s="410">
        <v>0</v>
      </c>
      <c r="N9" s="380">
        <v>301</v>
      </c>
      <c r="O9" s="380">
        <v>3250</v>
      </c>
      <c r="P9" s="384">
        <f t="shared" si="0"/>
        <v>12463</v>
      </c>
    </row>
    <row r="10" spans="1:16" x14ac:dyDescent="0.25">
      <c r="A10" s="378" t="s">
        <v>385</v>
      </c>
      <c r="B10" s="379" t="s">
        <v>325</v>
      </c>
      <c r="C10" s="379" t="s">
        <v>331</v>
      </c>
      <c r="D10" s="380">
        <v>19463</v>
      </c>
      <c r="E10" s="380">
        <v>21236</v>
      </c>
      <c r="F10" s="380">
        <v>11135</v>
      </c>
      <c r="G10" s="410">
        <v>0</v>
      </c>
      <c r="H10" s="410">
        <v>0</v>
      </c>
      <c r="I10" s="410">
        <v>0</v>
      </c>
      <c r="J10" s="410">
        <v>0</v>
      </c>
      <c r="K10" s="410">
        <v>0</v>
      </c>
      <c r="L10" s="410">
        <v>0</v>
      </c>
      <c r="M10" s="410">
        <v>0</v>
      </c>
      <c r="N10" s="380">
        <v>845</v>
      </c>
      <c r="O10" s="380">
        <f>15379+69</f>
        <v>15448</v>
      </c>
      <c r="P10" s="384">
        <f t="shared" si="0"/>
        <v>68127</v>
      </c>
    </row>
    <row r="11" spans="1:16" x14ac:dyDescent="0.25">
      <c r="A11" s="378" t="s">
        <v>335</v>
      </c>
      <c r="B11" s="379" t="s">
        <v>325</v>
      </c>
      <c r="C11" s="379" t="s">
        <v>331</v>
      </c>
      <c r="D11" s="380">
        <v>8278</v>
      </c>
      <c r="E11" s="380">
        <v>7402</v>
      </c>
      <c r="F11" s="380">
        <v>4580</v>
      </c>
      <c r="G11" s="410">
        <v>0</v>
      </c>
      <c r="H11" s="410">
        <v>0</v>
      </c>
      <c r="I11" s="410">
        <v>0</v>
      </c>
      <c r="J11" s="410">
        <v>0</v>
      </c>
      <c r="K11" s="410">
        <v>0</v>
      </c>
      <c r="L11" s="410">
        <v>0</v>
      </c>
      <c r="M11" s="410">
        <v>0</v>
      </c>
      <c r="N11" s="410">
        <v>0</v>
      </c>
      <c r="O11" s="380">
        <v>2305</v>
      </c>
      <c r="P11" s="384">
        <f t="shared" si="0"/>
        <v>22565</v>
      </c>
    </row>
    <row r="12" spans="1:16" x14ac:dyDescent="0.25">
      <c r="A12" s="378" t="s">
        <v>336</v>
      </c>
      <c r="B12" s="379" t="s">
        <v>325</v>
      </c>
      <c r="C12" s="379" t="s">
        <v>337</v>
      </c>
      <c r="D12" s="380">
        <v>14107</v>
      </c>
      <c r="E12" s="380">
        <v>15288</v>
      </c>
      <c r="F12" s="380">
        <v>7299</v>
      </c>
      <c r="G12" s="410">
        <v>0</v>
      </c>
      <c r="H12" s="410">
        <v>0</v>
      </c>
      <c r="I12" s="410">
        <v>0</v>
      </c>
      <c r="J12" s="410">
        <v>0</v>
      </c>
      <c r="K12" s="410">
        <v>0</v>
      </c>
      <c r="L12" s="410">
        <v>0</v>
      </c>
      <c r="M12" s="410">
        <v>0</v>
      </c>
      <c r="N12" s="410">
        <v>0</v>
      </c>
      <c r="O12" s="380">
        <f>564+1004</f>
        <v>1568</v>
      </c>
      <c r="P12" s="384">
        <f t="shared" si="0"/>
        <v>38262</v>
      </c>
    </row>
    <row r="13" spans="1:16" x14ac:dyDescent="0.25">
      <c r="A13" s="378" t="s">
        <v>352</v>
      </c>
      <c r="B13" s="379" t="s">
        <v>325</v>
      </c>
      <c r="C13" s="379" t="s">
        <v>353</v>
      </c>
      <c r="D13" s="380">
        <v>13441</v>
      </c>
      <c r="E13" s="380">
        <v>13631</v>
      </c>
      <c r="F13" s="380">
        <v>5059</v>
      </c>
      <c r="G13" s="410">
        <v>0</v>
      </c>
      <c r="H13" s="410">
        <v>0</v>
      </c>
      <c r="I13" s="410">
        <v>0</v>
      </c>
      <c r="J13" s="410">
        <v>0</v>
      </c>
      <c r="K13" s="410">
        <v>0</v>
      </c>
      <c r="L13" s="410">
        <v>0</v>
      </c>
      <c r="M13" s="410">
        <v>0</v>
      </c>
      <c r="N13" s="410">
        <v>0</v>
      </c>
      <c r="O13" s="410">
        <v>0</v>
      </c>
      <c r="P13" s="384">
        <f t="shared" si="0"/>
        <v>32131</v>
      </c>
    </row>
    <row r="14" spans="1:16" x14ac:dyDescent="0.25">
      <c r="A14" s="378" t="s">
        <v>386</v>
      </c>
      <c r="B14" s="379" t="s">
        <v>325</v>
      </c>
      <c r="C14" s="379" t="s">
        <v>337</v>
      </c>
      <c r="D14" s="380">
        <v>6791</v>
      </c>
      <c r="E14" s="380">
        <v>5955</v>
      </c>
      <c r="F14" s="380">
        <v>2516</v>
      </c>
      <c r="G14" s="410">
        <v>0</v>
      </c>
      <c r="H14" s="410">
        <v>0</v>
      </c>
      <c r="I14" s="380">
        <v>0</v>
      </c>
      <c r="J14" s="380">
        <v>0</v>
      </c>
      <c r="K14" s="380">
        <v>636</v>
      </c>
      <c r="L14" s="380">
        <v>645</v>
      </c>
      <c r="M14" s="380">
        <v>696</v>
      </c>
      <c r="N14" s="380">
        <v>696</v>
      </c>
      <c r="O14" s="380">
        <v>448</v>
      </c>
      <c r="P14" s="384">
        <f t="shared" si="0"/>
        <v>18383</v>
      </c>
    </row>
    <row r="15" spans="1:16" x14ac:dyDescent="0.25">
      <c r="A15" s="378" t="s">
        <v>338</v>
      </c>
      <c r="B15" s="379" t="s">
        <v>339</v>
      </c>
      <c r="C15" s="379" t="s">
        <v>340</v>
      </c>
      <c r="D15" s="380">
        <v>15748</v>
      </c>
      <c r="E15" s="380">
        <v>14531</v>
      </c>
      <c r="F15" s="380">
        <v>7945</v>
      </c>
      <c r="G15" s="410">
        <v>0</v>
      </c>
      <c r="H15" s="410">
        <v>0</v>
      </c>
      <c r="I15" s="380">
        <v>1897</v>
      </c>
      <c r="J15" s="380">
        <v>3499</v>
      </c>
      <c r="K15" s="380">
        <v>3119</v>
      </c>
      <c r="L15" s="380">
        <v>1672</v>
      </c>
      <c r="M15" s="380">
        <v>1999</v>
      </c>
      <c r="N15" s="380">
        <v>1603</v>
      </c>
      <c r="O15" s="380">
        <v>1275</v>
      </c>
      <c r="P15" s="384">
        <f t="shared" si="0"/>
        <v>53288</v>
      </c>
    </row>
    <row r="16" spans="1:16" x14ac:dyDescent="0.25">
      <c r="A16" s="378" t="s">
        <v>341</v>
      </c>
      <c r="B16" s="379" t="s">
        <v>339</v>
      </c>
      <c r="C16" s="379" t="s">
        <v>342</v>
      </c>
      <c r="D16" s="380">
        <v>23750</v>
      </c>
      <c r="E16" s="380">
        <v>23954</v>
      </c>
      <c r="F16" s="380">
        <v>12319</v>
      </c>
      <c r="G16" s="410">
        <v>0</v>
      </c>
      <c r="H16" s="410">
        <v>0</v>
      </c>
      <c r="I16" s="410">
        <v>0</v>
      </c>
      <c r="J16" s="410">
        <v>0</v>
      </c>
      <c r="K16" s="410">
        <v>0</v>
      </c>
      <c r="L16" s="410">
        <v>0</v>
      </c>
      <c r="M16" s="410">
        <v>0</v>
      </c>
      <c r="N16" s="380">
        <v>1606</v>
      </c>
      <c r="O16" s="380">
        <v>4408</v>
      </c>
      <c r="P16" s="384">
        <f t="shared" si="0"/>
        <v>66037</v>
      </c>
    </row>
    <row r="17" spans="1:17" x14ac:dyDescent="0.25">
      <c r="A17" s="378" t="s">
        <v>343</v>
      </c>
      <c r="B17" s="379" t="s">
        <v>339</v>
      </c>
      <c r="C17" s="379" t="s">
        <v>344</v>
      </c>
      <c r="D17" s="380">
        <v>26867</v>
      </c>
      <c r="E17" s="380">
        <v>28573</v>
      </c>
      <c r="F17" s="380">
        <v>16021</v>
      </c>
      <c r="G17" s="410">
        <v>0</v>
      </c>
      <c r="H17" s="410">
        <v>0</v>
      </c>
      <c r="I17" s="410">
        <v>0</v>
      </c>
      <c r="J17" s="410">
        <v>0</v>
      </c>
      <c r="K17" s="410">
        <v>0</v>
      </c>
      <c r="L17" s="410">
        <v>0</v>
      </c>
      <c r="M17" s="410">
        <v>0</v>
      </c>
      <c r="N17" s="410">
        <v>0</v>
      </c>
      <c r="O17" s="380">
        <v>1414</v>
      </c>
      <c r="P17" s="384">
        <f t="shared" si="0"/>
        <v>72875</v>
      </c>
    </row>
    <row r="18" spans="1:17" x14ac:dyDescent="0.25">
      <c r="A18" s="378" t="s">
        <v>345</v>
      </c>
      <c r="B18" s="379" t="s">
        <v>339</v>
      </c>
      <c r="C18" s="379" t="s">
        <v>346</v>
      </c>
      <c r="D18" s="380">
        <v>24136</v>
      </c>
      <c r="E18" s="380">
        <v>16334</v>
      </c>
      <c r="F18" s="380">
        <v>5864</v>
      </c>
      <c r="G18" s="410">
        <v>0</v>
      </c>
      <c r="H18" s="410">
        <v>0</v>
      </c>
      <c r="I18" s="410">
        <v>0</v>
      </c>
      <c r="J18" s="410">
        <v>0</v>
      </c>
      <c r="K18" s="410">
        <v>0</v>
      </c>
      <c r="L18" s="410">
        <v>0</v>
      </c>
      <c r="M18" s="410">
        <v>0</v>
      </c>
      <c r="N18" s="410">
        <v>0</v>
      </c>
      <c r="O18" s="410">
        <v>0</v>
      </c>
      <c r="P18" s="384">
        <f t="shared" si="0"/>
        <v>46334</v>
      </c>
    </row>
    <row r="19" spans="1:17" x14ac:dyDescent="0.25">
      <c r="A19" s="378" t="s">
        <v>348</v>
      </c>
      <c r="B19" s="379" t="s">
        <v>339</v>
      </c>
      <c r="C19" s="379" t="s">
        <v>349</v>
      </c>
      <c r="D19" s="380">
        <v>43034</v>
      </c>
      <c r="E19" s="380">
        <v>37144</v>
      </c>
      <c r="F19" s="380">
        <v>13195</v>
      </c>
      <c r="G19" s="410">
        <v>0</v>
      </c>
      <c r="H19" s="410">
        <v>0</v>
      </c>
      <c r="I19" s="410">
        <v>0</v>
      </c>
      <c r="J19" s="410">
        <v>0</v>
      </c>
      <c r="K19" s="410">
        <v>0</v>
      </c>
      <c r="L19" s="410">
        <v>0</v>
      </c>
      <c r="M19" s="410">
        <v>0</v>
      </c>
      <c r="N19" s="380">
        <v>653</v>
      </c>
      <c r="O19" s="380">
        <v>2937</v>
      </c>
      <c r="P19" s="384">
        <f t="shared" si="0"/>
        <v>96963</v>
      </c>
    </row>
    <row r="20" spans="1:17" x14ac:dyDescent="0.25">
      <c r="A20" s="382" t="s">
        <v>411</v>
      </c>
      <c r="B20" s="383" t="s">
        <v>408</v>
      </c>
      <c r="C20" s="383" t="s">
        <v>360</v>
      </c>
      <c r="D20" s="380">
        <v>1879</v>
      </c>
      <c r="E20" s="380">
        <v>844</v>
      </c>
      <c r="F20" s="380">
        <v>63</v>
      </c>
      <c r="G20" s="410">
        <v>0</v>
      </c>
      <c r="H20" s="410">
        <v>0</v>
      </c>
      <c r="I20" s="410">
        <v>0</v>
      </c>
      <c r="J20" s="410">
        <v>0</v>
      </c>
      <c r="K20" s="410">
        <v>0</v>
      </c>
      <c r="L20" s="410">
        <v>0</v>
      </c>
      <c r="M20" s="410">
        <v>0</v>
      </c>
      <c r="N20" s="410">
        <v>0</v>
      </c>
      <c r="O20" s="410">
        <v>0</v>
      </c>
      <c r="P20" s="384">
        <f t="shared" si="0"/>
        <v>2786</v>
      </c>
    </row>
    <row r="21" spans="1:17" x14ac:dyDescent="0.25">
      <c r="A21" s="382" t="s">
        <v>409</v>
      </c>
      <c r="B21" s="383" t="s">
        <v>408</v>
      </c>
      <c r="C21" s="383" t="s">
        <v>360</v>
      </c>
      <c r="D21" s="380">
        <v>5137</v>
      </c>
      <c r="E21" s="380">
        <v>2434</v>
      </c>
      <c r="F21" s="380">
        <v>755</v>
      </c>
      <c r="G21" s="410">
        <v>0</v>
      </c>
      <c r="H21" s="410">
        <v>0</v>
      </c>
      <c r="I21" s="410">
        <v>0</v>
      </c>
      <c r="J21" s="410">
        <v>0</v>
      </c>
      <c r="K21" s="410">
        <v>0</v>
      </c>
      <c r="L21" s="410">
        <v>0</v>
      </c>
      <c r="M21" s="410">
        <v>0</v>
      </c>
      <c r="N21" s="410">
        <v>0</v>
      </c>
      <c r="O21" s="410">
        <v>0</v>
      </c>
      <c r="P21" s="384">
        <f t="shared" si="0"/>
        <v>8326</v>
      </c>
    </row>
    <row r="22" spans="1:17" x14ac:dyDescent="0.25">
      <c r="A22" s="405" t="s">
        <v>405</v>
      </c>
      <c r="B22" s="383" t="s">
        <v>408</v>
      </c>
      <c r="C22" s="406" t="s">
        <v>410</v>
      </c>
      <c r="D22" s="407">
        <v>3734</v>
      </c>
      <c r="E22" s="407">
        <v>3611</v>
      </c>
      <c r="F22" s="407">
        <v>1482</v>
      </c>
      <c r="G22" s="410">
        <v>0</v>
      </c>
      <c r="H22" s="410">
        <v>0</v>
      </c>
      <c r="I22" s="410">
        <v>0</v>
      </c>
      <c r="J22" s="410">
        <v>0</v>
      </c>
      <c r="K22" s="410">
        <v>0</v>
      </c>
      <c r="L22" s="410">
        <v>0</v>
      </c>
      <c r="M22" s="410">
        <v>0</v>
      </c>
      <c r="N22" s="410">
        <v>0</v>
      </c>
      <c r="O22" s="410">
        <v>0</v>
      </c>
      <c r="P22" s="408">
        <f>SUM(D22:O22)</f>
        <v>8827</v>
      </c>
    </row>
    <row r="23" spans="1:17" ht="15.75" thickBot="1" x14ac:dyDescent="0.3">
      <c r="A23" s="378" t="s">
        <v>350</v>
      </c>
      <c r="B23" s="381" t="s">
        <v>407</v>
      </c>
      <c r="C23" s="379" t="s">
        <v>351</v>
      </c>
      <c r="D23" s="380">
        <v>3883</v>
      </c>
      <c r="E23" s="380">
        <v>3311</v>
      </c>
      <c r="F23" s="380">
        <f>476+773+153+153</f>
        <v>1555</v>
      </c>
      <c r="G23" s="410">
        <v>0</v>
      </c>
      <c r="H23" s="410">
        <v>0</v>
      </c>
      <c r="I23" s="410">
        <v>0</v>
      </c>
      <c r="J23" s="410">
        <v>0</v>
      </c>
      <c r="K23" s="410">
        <v>0</v>
      </c>
      <c r="L23" s="410">
        <v>0</v>
      </c>
      <c r="M23" s="410">
        <v>0</v>
      </c>
      <c r="N23" s="410">
        <v>0</v>
      </c>
      <c r="O23" s="410">
        <v>0</v>
      </c>
      <c r="P23" s="384">
        <f t="shared" si="0"/>
        <v>8749</v>
      </c>
    </row>
    <row r="24" spans="1:17" x14ac:dyDescent="0.25">
      <c r="A24" s="385"/>
      <c r="B24" s="389" t="s">
        <v>387</v>
      </c>
      <c r="C24" s="389" t="s">
        <v>325</v>
      </c>
      <c r="D24" s="390">
        <f t="shared" ref="D24:O24" si="1">+SUM(D5:D14)</f>
        <v>168474</v>
      </c>
      <c r="E24" s="390">
        <f t="shared" si="1"/>
        <v>165096</v>
      </c>
      <c r="F24" s="390">
        <f t="shared" si="1"/>
        <v>111412</v>
      </c>
      <c r="G24" s="399">
        <f t="shared" si="1"/>
        <v>0</v>
      </c>
      <c r="H24" s="399">
        <f t="shared" si="1"/>
        <v>0</v>
      </c>
      <c r="I24" s="399">
        <f t="shared" si="1"/>
        <v>0</v>
      </c>
      <c r="J24" s="399">
        <f t="shared" si="1"/>
        <v>0</v>
      </c>
      <c r="K24" s="390">
        <f t="shared" si="1"/>
        <v>636</v>
      </c>
      <c r="L24" s="390">
        <f t="shared" si="1"/>
        <v>645</v>
      </c>
      <c r="M24" s="390">
        <f t="shared" si="1"/>
        <v>696</v>
      </c>
      <c r="N24" s="390">
        <f t="shared" si="1"/>
        <v>5356</v>
      </c>
      <c r="O24" s="390">
        <f t="shared" si="1"/>
        <v>70905</v>
      </c>
      <c r="P24" s="411">
        <f>SUM(D24:O24)</f>
        <v>523220</v>
      </c>
    </row>
    <row r="25" spans="1:17" x14ac:dyDescent="0.25">
      <c r="A25" s="386"/>
      <c r="B25" s="391" t="s">
        <v>387</v>
      </c>
      <c r="C25" s="391" t="s">
        <v>339</v>
      </c>
      <c r="D25" s="392">
        <f t="shared" ref="D25:O25" si="2">+SUM(D15:D19)</f>
        <v>133535</v>
      </c>
      <c r="E25" s="392">
        <f t="shared" si="2"/>
        <v>120536</v>
      </c>
      <c r="F25" s="392">
        <f t="shared" si="2"/>
        <v>55344</v>
      </c>
      <c r="G25" s="400">
        <f t="shared" si="2"/>
        <v>0</v>
      </c>
      <c r="H25" s="400">
        <f t="shared" si="2"/>
        <v>0</v>
      </c>
      <c r="I25" s="392">
        <f t="shared" si="2"/>
        <v>1897</v>
      </c>
      <c r="J25" s="392">
        <f t="shared" si="2"/>
        <v>3499</v>
      </c>
      <c r="K25" s="392">
        <f t="shared" si="2"/>
        <v>3119</v>
      </c>
      <c r="L25" s="392">
        <f t="shared" si="2"/>
        <v>1672</v>
      </c>
      <c r="M25" s="392">
        <f t="shared" si="2"/>
        <v>1999</v>
      </c>
      <c r="N25" s="392">
        <f t="shared" si="2"/>
        <v>3862</v>
      </c>
      <c r="O25" s="392">
        <f t="shared" si="2"/>
        <v>10034</v>
      </c>
      <c r="P25" s="412">
        <f>SUM(D25:O25)</f>
        <v>335497</v>
      </c>
    </row>
    <row r="26" spans="1:17" x14ac:dyDescent="0.25">
      <c r="A26" s="386"/>
      <c r="B26" s="391" t="s">
        <v>387</v>
      </c>
      <c r="C26" s="391" t="s">
        <v>406</v>
      </c>
      <c r="D26" s="392">
        <f>D23</f>
        <v>3883</v>
      </c>
      <c r="E26" s="392">
        <f t="shared" ref="E26:O26" si="3">E23</f>
        <v>3311</v>
      </c>
      <c r="F26" s="392">
        <f t="shared" si="3"/>
        <v>1555</v>
      </c>
      <c r="G26" s="400">
        <f t="shared" si="3"/>
        <v>0</v>
      </c>
      <c r="H26" s="400">
        <f t="shared" si="3"/>
        <v>0</v>
      </c>
      <c r="I26" s="400">
        <f t="shared" si="3"/>
        <v>0</v>
      </c>
      <c r="J26" s="400">
        <f t="shared" si="3"/>
        <v>0</v>
      </c>
      <c r="K26" s="400">
        <f t="shared" si="3"/>
        <v>0</v>
      </c>
      <c r="L26" s="400">
        <f t="shared" si="3"/>
        <v>0</v>
      </c>
      <c r="M26" s="400">
        <f t="shared" si="3"/>
        <v>0</v>
      </c>
      <c r="N26" s="400">
        <f t="shared" si="3"/>
        <v>0</v>
      </c>
      <c r="O26" s="400">
        <f t="shared" si="3"/>
        <v>0</v>
      </c>
      <c r="P26" s="412">
        <f>SUM(D26:O26)</f>
        <v>8749</v>
      </c>
    </row>
    <row r="27" spans="1:17" x14ac:dyDescent="0.25">
      <c r="A27" s="386"/>
      <c r="B27" s="391" t="s">
        <v>387</v>
      </c>
      <c r="C27" s="250" t="s">
        <v>408</v>
      </c>
      <c r="D27" s="392">
        <f>D20+D21+D22</f>
        <v>10750</v>
      </c>
      <c r="E27" s="392">
        <f>E20+E21+E22</f>
        <v>6889</v>
      </c>
      <c r="F27" s="392">
        <f>F20+F21+F22</f>
        <v>2300</v>
      </c>
      <c r="G27" s="400">
        <f>G22+G21+G20</f>
        <v>0</v>
      </c>
      <c r="H27" s="400">
        <f t="shared" ref="H27:O27" si="4">H22+H21+H20</f>
        <v>0</v>
      </c>
      <c r="I27" s="400">
        <f t="shared" si="4"/>
        <v>0</v>
      </c>
      <c r="J27" s="400">
        <f t="shared" si="4"/>
        <v>0</v>
      </c>
      <c r="K27" s="400">
        <f t="shared" si="4"/>
        <v>0</v>
      </c>
      <c r="L27" s="400">
        <f t="shared" si="4"/>
        <v>0</v>
      </c>
      <c r="M27" s="400">
        <f t="shared" si="4"/>
        <v>0</v>
      </c>
      <c r="N27" s="400">
        <f t="shared" si="4"/>
        <v>0</v>
      </c>
      <c r="O27" s="400">
        <f t="shared" si="4"/>
        <v>0</v>
      </c>
      <c r="P27" s="412">
        <f>SUM(D27:O27)</f>
        <v>19939</v>
      </c>
      <c r="Q27" s="247"/>
    </row>
    <row r="28" spans="1:17" ht="15.75" thickBot="1" x14ac:dyDescent="0.3">
      <c r="A28" s="387"/>
      <c r="B28" s="393" t="s">
        <v>323</v>
      </c>
      <c r="C28" s="393"/>
      <c r="D28" s="394">
        <f>SUM(D24:D27)</f>
        <v>316642</v>
      </c>
      <c r="E28" s="394">
        <f>SUM(E24:E27)</f>
        <v>295832</v>
      </c>
      <c r="F28" s="394">
        <f>SUM(F24:F27)</f>
        <v>170611</v>
      </c>
      <c r="G28" s="413">
        <f t="shared" ref="G28:O28" si="5">SUM(G24:G27)</f>
        <v>0</v>
      </c>
      <c r="H28" s="413">
        <f t="shared" si="5"/>
        <v>0</v>
      </c>
      <c r="I28" s="394">
        <f t="shared" si="5"/>
        <v>1897</v>
      </c>
      <c r="J28" s="394">
        <f t="shared" si="5"/>
        <v>3499</v>
      </c>
      <c r="K28" s="394">
        <f t="shared" si="5"/>
        <v>3755</v>
      </c>
      <c r="L28" s="394">
        <f t="shared" si="5"/>
        <v>2317</v>
      </c>
      <c r="M28" s="394">
        <f t="shared" si="5"/>
        <v>2695</v>
      </c>
      <c r="N28" s="394">
        <f t="shared" si="5"/>
        <v>9218</v>
      </c>
      <c r="O28" s="394">
        <f t="shared" si="5"/>
        <v>80939</v>
      </c>
      <c r="P28" s="395">
        <f>SUM(D28:O28)</f>
        <v>887405</v>
      </c>
      <c r="Q28" s="247"/>
    </row>
    <row r="29" spans="1:17" x14ac:dyDescent="0.25">
      <c r="A29" s="388" t="s">
        <v>388</v>
      </c>
      <c r="B29" s="383"/>
      <c r="C29" s="383"/>
      <c r="D29" s="396"/>
      <c r="E29" s="396"/>
      <c r="F29" s="396"/>
      <c r="G29" s="396"/>
      <c r="H29" s="396"/>
      <c r="I29" s="396"/>
      <c r="J29" s="396"/>
      <c r="K29" s="383"/>
      <c r="L29" s="396"/>
      <c r="M29" s="383"/>
      <c r="N29" s="383"/>
      <c r="O29" s="383"/>
      <c r="P29" s="397"/>
      <c r="Q29" s="247"/>
    </row>
    <row r="30" spans="1:17" x14ac:dyDescent="0.25">
      <c r="A30" s="322" t="s">
        <v>389</v>
      </c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96">
        <f>SUM(P5:P23)</f>
        <v>887405</v>
      </c>
      <c r="Q30" s="247"/>
    </row>
    <row r="31" spans="1:17" x14ac:dyDescent="0.25">
      <c r="A31" s="383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</row>
    <row r="32" spans="1:17" x14ac:dyDescent="0.25">
      <c r="A32" s="398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</row>
    <row r="33" spans="1:2" x14ac:dyDescent="0.25">
      <c r="A33" s="247"/>
      <c r="B33" s="247"/>
    </row>
    <row r="104" spans="12:12" x14ac:dyDescent="0.25">
      <c r="L104" s="252">
        <v>0.33333333333333331</v>
      </c>
    </row>
  </sheetData>
  <mergeCells count="1">
    <mergeCell ref="A2:P2"/>
  </mergeCells>
  <printOptions horizontalCentered="1"/>
  <pageMargins left="0.7" right="0.7" top="0.75" bottom="0.75" header="0.3" footer="0.3"/>
  <pageSetup paperSize="9" scale="58" orientation="landscape" r:id="rId1"/>
  <headerFooter>
    <oddHeader xml:space="preserve">&amp;L&amp;G
</oddHeader>
  </headerFooter>
  <ignoredErrors>
    <ignoredError sqref="D24:F24" formulaRange="1"/>
  </ignoredErrors>
  <legacyDrawingHF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7"/>
  <sheetViews>
    <sheetView showGridLines="0" showRowColHeaders="0" showRuler="0" zoomScaleNormal="100" workbookViewId="0"/>
  </sheetViews>
  <sheetFormatPr baseColWidth="10" defaultRowHeight="15" x14ac:dyDescent="0.25"/>
  <cols>
    <col min="1" max="1" width="37.42578125" style="245" customWidth="1"/>
    <col min="2" max="2" width="17.140625" style="245" customWidth="1"/>
    <col min="3" max="3" width="21.140625" style="245" customWidth="1"/>
    <col min="4" max="11" width="11.5703125" style="245" bestFit="1" customWidth="1"/>
    <col min="12" max="12" width="13.5703125" style="245" customWidth="1"/>
    <col min="13" max="13" width="11.5703125" style="245" bestFit="1" customWidth="1"/>
    <col min="14" max="14" width="13.140625" style="245" customWidth="1"/>
    <col min="15" max="15" width="12.28515625" style="245" customWidth="1"/>
    <col min="16" max="16" width="12" style="245" bestFit="1" customWidth="1"/>
    <col min="17" max="17" width="11.42578125" style="245"/>
    <col min="18" max="18" width="11.85546875" style="245" bestFit="1" customWidth="1"/>
    <col min="19" max="16384" width="11.42578125" style="245"/>
  </cols>
  <sheetData>
    <row r="2" spans="1:18" ht="21" x14ac:dyDescent="0.35">
      <c r="A2" s="456" t="s">
        <v>390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</row>
    <row r="3" spans="1:18" ht="15.75" thickBot="1" x14ac:dyDescent="0.3"/>
    <row r="4" spans="1:18" ht="15.75" thickBot="1" x14ac:dyDescent="0.3">
      <c r="A4" s="330" t="s">
        <v>308</v>
      </c>
      <c r="B4" s="331" t="s">
        <v>309</v>
      </c>
      <c r="C4" s="331" t="s">
        <v>310</v>
      </c>
      <c r="D4" s="331" t="s">
        <v>311</v>
      </c>
      <c r="E4" s="331" t="s">
        <v>312</v>
      </c>
      <c r="F4" s="331" t="s">
        <v>313</v>
      </c>
      <c r="G4" s="331" t="s">
        <v>314</v>
      </c>
      <c r="H4" s="331" t="s">
        <v>315</v>
      </c>
      <c r="I4" s="331" t="s">
        <v>316</v>
      </c>
      <c r="J4" s="331" t="s">
        <v>317</v>
      </c>
      <c r="K4" s="331" t="s">
        <v>318</v>
      </c>
      <c r="L4" s="331" t="s">
        <v>319</v>
      </c>
      <c r="M4" s="331" t="s">
        <v>320</v>
      </c>
      <c r="N4" s="331" t="s">
        <v>321</v>
      </c>
      <c r="O4" s="331" t="s">
        <v>322</v>
      </c>
      <c r="P4" s="332" t="s">
        <v>323</v>
      </c>
    </row>
    <row r="5" spans="1:18" x14ac:dyDescent="0.25">
      <c r="A5" s="338" t="s">
        <v>391</v>
      </c>
      <c r="B5" s="328" t="s">
        <v>325</v>
      </c>
      <c r="C5" s="328" t="s">
        <v>328</v>
      </c>
      <c r="D5" s="329">
        <v>1247</v>
      </c>
      <c r="E5" s="329">
        <v>7686</v>
      </c>
      <c r="F5" s="329">
        <v>8228</v>
      </c>
      <c r="G5" s="329">
        <v>4601</v>
      </c>
      <c r="H5" s="329">
        <v>2286</v>
      </c>
      <c r="I5" s="329">
        <v>2919</v>
      </c>
      <c r="J5" s="329">
        <v>6245</v>
      </c>
      <c r="K5" s="329">
        <v>6773</v>
      </c>
      <c r="L5" s="329">
        <v>6632</v>
      </c>
      <c r="M5" s="329">
        <v>7100</v>
      </c>
      <c r="N5" s="329">
        <v>7249</v>
      </c>
      <c r="O5" s="329">
        <v>8765</v>
      </c>
      <c r="P5" s="339">
        <v>69731</v>
      </c>
      <c r="Q5" s="246"/>
      <c r="R5" s="246"/>
    </row>
    <row r="6" spans="1:18" x14ac:dyDescent="0.25">
      <c r="A6" s="340" t="s">
        <v>383</v>
      </c>
      <c r="B6" s="326" t="s">
        <v>325</v>
      </c>
      <c r="C6" s="326" t="s">
        <v>326</v>
      </c>
      <c r="D6" s="327">
        <v>4075</v>
      </c>
      <c r="E6" s="327">
        <v>4019</v>
      </c>
      <c r="F6" s="327">
        <v>5137</v>
      </c>
      <c r="G6" s="327">
        <v>3349</v>
      </c>
      <c r="H6" s="327">
        <v>2180</v>
      </c>
      <c r="I6" s="327">
        <v>2693</v>
      </c>
      <c r="J6" s="327">
        <v>5038</v>
      </c>
      <c r="K6" s="327">
        <v>5251</v>
      </c>
      <c r="L6" s="327">
        <v>5023</v>
      </c>
      <c r="M6" s="327">
        <v>5829</v>
      </c>
      <c r="N6" s="327">
        <v>6381</v>
      </c>
      <c r="O6" s="327">
        <v>7534</v>
      </c>
      <c r="P6" s="341">
        <v>56509</v>
      </c>
      <c r="Q6" s="246"/>
    </row>
    <row r="7" spans="1:18" x14ac:dyDescent="0.25">
      <c r="A7" s="340" t="s">
        <v>327</v>
      </c>
      <c r="B7" s="326" t="s">
        <v>325</v>
      </c>
      <c r="C7" s="326" t="s">
        <v>328</v>
      </c>
      <c r="D7" s="327">
        <v>9798</v>
      </c>
      <c r="E7" s="327">
        <v>11229</v>
      </c>
      <c r="F7" s="327">
        <v>12329</v>
      </c>
      <c r="G7" s="327">
        <v>9745</v>
      </c>
      <c r="H7" s="327">
        <v>6611</v>
      </c>
      <c r="I7" s="327">
        <v>8689</v>
      </c>
      <c r="J7" s="327">
        <v>13652</v>
      </c>
      <c r="K7" s="327">
        <v>13033</v>
      </c>
      <c r="L7" s="327">
        <v>13514</v>
      </c>
      <c r="M7" s="327">
        <v>16094</v>
      </c>
      <c r="N7" s="327">
        <v>16865</v>
      </c>
      <c r="O7" s="327">
        <v>16028</v>
      </c>
      <c r="P7" s="341">
        <v>147587</v>
      </c>
      <c r="Q7" s="246"/>
    </row>
    <row r="8" spans="1:18" x14ac:dyDescent="0.25">
      <c r="A8" s="340" t="s">
        <v>329</v>
      </c>
      <c r="B8" s="326" t="s">
        <v>325</v>
      </c>
      <c r="C8" s="326" t="s">
        <v>328</v>
      </c>
      <c r="D8" s="327">
        <v>66281</v>
      </c>
      <c r="E8" s="327">
        <v>86376</v>
      </c>
      <c r="F8" s="327">
        <v>89870</v>
      </c>
      <c r="G8" s="327">
        <v>47419</v>
      </c>
      <c r="H8" s="327">
        <v>21416</v>
      </c>
      <c r="I8" s="327">
        <v>25528</v>
      </c>
      <c r="J8" s="327">
        <v>49927</v>
      </c>
      <c r="K8" s="327">
        <v>62102</v>
      </c>
      <c r="L8" s="327">
        <v>60086</v>
      </c>
      <c r="M8" s="327">
        <v>65618</v>
      </c>
      <c r="N8" s="327">
        <v>76097</v>
      </c>
      <c r="O8" s="327">
        <v>87883</v>
      </c>
      <c r="P8" s="341">
        <v>738603</v>
      </c>
      <c r="Q8" s="246"/>
    </row>
    <row r="9" spans="1:18" x14ac:dyDescent="0.25">
      <c r="A9" s="340" t="s">
        <v>392</v>
      </c>
      <c r="B9" s="326" t="s">
        <v>325</v>
      </c>
      <c r="C9" s="326" t="s">
        <v>337</v>
      </c>
      <c r="D9" s="327">
        <v>1351</v>
      </c>
      <c r="E9" s="327">
        <v>1797</v>
      </c>
      <c r="F9" s="327">
        <v>3448</v>
      </c>
      <c r="G9" s="327">
        <v>2596</v>
      </c>
      <c r="H9" s="327">
        <v>2171</v>
      </c>
      <c r="I9" s="327">
        <v>2596</v>
      </c>
      <c r="J9" s="327">
        <v>2920</v>
      </c>
      <c r="K9" s="327">
        <v>3006</v>
      </c>
      <c r="L9" s="327">
        <v>3656</v>
      </c>
      <c r="M9" s="327">
        <v>3972</v>
      </c>
      <c r="N9" s="327">
        <v>4344</v>
      </c>
      <c r="O9" s="327">
        <v>4780</v>
      </c>
      <c r="P9" s="341">
        <v>36637</v>
      </c>
      <c r="Q9" s="246"/>
    </row>
    <row r="10" spans="1:18" x14ac:dyDescent="0.25">
      <c r="A10" s="340" t="s">
        <v>330</v>
      </c>
      <c r="B10" s="326" t="s">
        <v>325</v>
      </c>
      <c r="C10" s="326" t="s">
        <v>331</v>
      </c>
      <c r="D10" s="327">
        <v>7177</v>
      </c>
      <c r="E10" s="327">
        <v>6984</v>
      </c>
      <c r="F10" s="327">
        <v>7052</v>
      </c>
      <c r="G10" s="327">
        <v>5640</v>
      </c>
      <c r="H10" s="327">
        <v>4197</v>
      </c>
      <c r="I10" s="327">
        <v>3842</v>
      </c>
      <c r="J10" s="327">
        <v>6772</v>
      </c>
      <c r="K10" s="327">
        <v>7111</v>
      </c>
      <c r="L10" s="327">
        <v>6546</v>
      </c>
      <c r="M10" s="327">
        <v>8231</v>
      </c>
      <c r="N10" s="327">
        <v>8088</v>
      </c>
      <c r="O10" s="327">
        <v>6025</v>
      </c>
      <c r="P10" s="341">
        <v>77665</v>
      </c>
      <c r="Q10" s="246"/>
    </row>
    <row r="11" spans="1:18" x14ac:dyDescent="0.25">
      <c r="A11" s="340" t="s">
        <v>332</v>
      </c>
      <c r="B11" s="326" t="s">
        <v>325</v>
      </c>
      <c r="C11" s="326" t="s">
        <v>333</v>
      </c>
      <c r="D11" s="327">
        <v>4351</v>
      </c>
      <c r="E11" s="327">
        <v>5398</v>
      </c>
      <c r="F11" s="327">
        <v>9412</v>
      </c>
      <c r="G11" s="327">
        <v>6399</v>
      </c>
      <c r="H11" s="327">
        <v>4218</v>
      </c>
      <c r="I11" s="327">
        <v>6377</v>
      </c>
      <c r="J11" s="327">
        <v>12895</v>
      </c>
      <c r="K11" s="327">
        <v>13830</v>
      </c>
      <c r="L11" s="327">
        <v>14314</v>
      </c>
      <c r="M11" s="327">
        <v>17726</v>
      </c>
      <c r="N11" s="327">
        <v>18394</v>
      </c>
      <c r="O11" s="327">
        <v>20175</v>
      </c>
      <c r="P11" s="341">
        <v>133489</v>
      </c>
      <c r="Q11" s="246"/>
    </row>
    <row r="12" spans="1:18" x14ac:dyDescent="0.25">
      <c r="A12" s="340" t="s">
        <v>334</v>
      </c>
      <c r="B12" s="326" t="s">
        <v>325</v>
      </c>
      <c r="C12" s="326" t="s">
        <v>331</v>
      </c>
      <c r="D12" s="327">
        <v>18266</v>
      </c>
      <c r="E12" s="327">
        <v>17392</v>
      </c>
      <c r="F12" s="327">
        <v>19045</v>
      </c>
      <c r="G12" s="327">
        <v>13672</v>
      </c>
      <c r="H12" s="327">
        <v>9707</v>
      </c>
      <c r="I12" s="327">
        <v>11826</v>
      </c>
      <c r="J12" s="327">
        <v>19025</v>
      </c>
      <c r="K12" s="327">
        <v>19338</v>
      </c>
      <c r="L12" s="327">
        <v>18997</v>
      </c>
      <c r="M12" s="327">
        <v>22981</v>
      </c>
      <c r="N12" s="327">
        <v>23070</v>
      </c>
      <c r="O12" s="327">
        <v>22394</v>
      </c>
      <c r="P12" s="341">
        <v>215713</v>
      </c>
      <c r="Q12" s="246"/>
    </row>
    <row r="13" spans="1:18" x14ac:dyDescent="0.25">
      <c r="A13" s="340" t="s">
        <v>393</v>
      </c>
      <c r="B13" s="326" t="s">
        <v>325</v>
      </c>
      <c r="C13" s="326" t="s">
        <v>331</v>
      </c>
      <c r="D13" s="327">
        <v>6673</v>
      </c>
      <c r="E13" s="327">
        <v>6754</v>
      </c>
      <c r="F13" s="327">
        <v>7246</v>
      </c>
      <c r="G13" s="327">
        <v>5799</v>
      </c>
      <c r="H13" s="327">
        <v>4792</v>
      </c>
      <c r="I13" s="327">
        <v>4950</v>
      </c>
      <c r="J13" s="327">
        <v>6963</v>
      </c>
      <c r="K13" s="327">
        <v>6890</v>
      </c>
      <c r="L13" s="327">
        <v>6990</v>
      </c>
      <c r="M13" s="327">
        <v>8551</v>
      </c>
      <c r="N13" s="327">
        <v>8202</v>
      </c>
      <c r="O13" s="327">
        <v>6538</v>
      </c>
      <c r="P13" s="341">
        <v>80348</v>
      </c>
      <c r="Q13" s="246"/>
    </row>
    <row r="14" spans="1:18" x14ac:dyDescent="0.25">
      <c r="A14" s="340" t="s">
        <v>336</v>
      </c>
      <c r="B14" s="326" t="s">
        <v>325</v>
      </c>
      <c r="C14" s="326" t="s">
        <v>337</v>
      </c>
      <c r="D14" s="327">
        <v>3946</v>
      </c>
      <c r="E14" s="327">
        <v>4508</v>
      </c>
      <c r="F14" s="327">
        <v>6210</v>
      </c>
      <c r="G14" s="327">
        <v>4803</v>
      </c>
      <c r="H14" s="327">
        <v>4084</v>
      </c>
      <c r="I14" s="327">
        <v>4357</v>
      </c>
      <c r="J14" s="327">
        <v>5149</v>
      </c>
      <c r="K14" s="327">
        <v>5550</v>
      </c>
      <c r="L14" s="327">
        <v>5872</v>
      </c>
      <c r="M14" s="327">
        <v>5903</v>
      </c>
      <c r="N14" s="327">
        <v>6028</v>
      </c>
      <c r="O14" s="327">
        <v>7754</v>
      </c>
      <c r="P14" s="341">
        <v>64164</v>
      </c>
      <c r="Q14" s="246"/>
    </row>
    <row r="15" spans="1:18" x14ac:dyDescent="0.25">
      <c r="A15" s="340" t="s">
        <v>352</v>
      </c>
      <c r="B15" s="326" t="s">
        <v>325</v>
      </c>
      <c r="C15" s="326" t="s">
        <v>353</v>
      </c>
      <c r="D15" s="326">
        <v>122</v>
      </c>
      <c r="E15" s="327">
        <v>1583</v>
      </c>
      <c r="F15" s="327">
        <v>1920</v>
      </c>
      <c r="G15" s="327">
        <v>1626</v>
      </c>
      <c r="H15" s="327">
        <v>1144</v>
      </c>
      <c r="I15" s="326">
        <v>383</v>
      </c>
      <c r="J15" s="327">
        <v>2131</v>
      </c>
      <c r="K15" s="327">
        <v>2230</v>
      </c>
      <c r="L15" s="327">
        <v>2440</v>
      </c>
      <c r="M15" s="327">
        <v>3525</v>
      </c>
      <c r="N15" s="327">
        <v>2555</v>
      </c>
      <c r="O15" s="327">
        <v>1973</v>
      </c>
      <c r="P15" s="341">
        <v>21632</v>
      </c>
      <c r="Q15" s="246"/>
    </row>
    <row r="16" spans="1:18" x14ac:dyDescent="0.25">
      <c r="A16" s="340" t="s">
        <v>394</v>
      </c>
      <c r="B16" s="326" t="s">
        <v>325</v>
      </c>
      <c r="C16" s="326" t="s">
        <v>333</v>
      </c>
      <c r="D16" s="326" t="s">
        <v>384</v>
      </c>
      <c r="E16" s="326" t="s">
        <v>384</v>
      </c>
      <c r="F16" s="326" t="s">
        <v>384</v>
      </c>
      <c r="G16" s="326" t="s">
        <v>384</v>
      </c>
      <c r="H16" s="326" t="s">
        <v>384</v>
      </c>
      <c r="I16" s="326" t="s">
        <v>384</v>
      </c>
      <c r="J16" s="326" t="s">
        <v>384</v>
      </c>
      <c r="K16" s="326" t="s">
        <v>384</v>
      </c>
      <c r="L16" s="326" t="s">
        <v>384</v>
      </c>
      <c r="M16" s="326" t="s">
        <v>384</v>
      </c>
      <c r="N16" s="327">
        <v>2570</v>
      </c>
      <c r="O16" s="327">
        <v>2061</v>
      </c>
      <c r="P16" s="341">
        <v>4631</v>
      </c>
      <c r="Q16" s="246"/>
    </row>
    <row r="17" spans="1:17" x14ac:dyDescent="0.25">
      <c r="A17" s="340" t="s">
        <v>338</v>
      </c>
      <c r="B17" s="326" t="s">
        <v>339</v>
      </c>
      <c r="C17" s="326" t="s">
        <v>340</v>
      </c>
      <c r="D17" s="327">
        <v>1204</v>
      </c>
      <c r="E17" s="327">
        <v>1298</v>
      </c>
      <c r="F17" s="327">
        <v>1578</v>
      </c>
      <c r="G17" s="327">
        <v>1750</v>
      </c>
      <c r="H17" s="327">
        <v>1479</v>
      </c>
      <c r="I17" s="327">
        <v>1350</v>
      </c>
      <c r="J17" s="327">
        <v>2166</v>
      </c>
      <c r="K17" s="327">
        <v>1887</v>
      </c>
      <c r="L17" s="327">
        <v>1795</v>
      </c>
      <c r="M17" s="327">
        <v>2018</v>
      </c>
      <c r="N17" s="327">
        <v>2500</v>
      </c>
      <c r="O17" s="327">
        <v>2069</v>
      </c>
      <c r="P17" s="341">
        <v>21094</v>
      </c>
      <c r="Q17" s="246"/>
    </row>
    <row r="18" spans="1:17" x14ac:dyDescent="0.25">
      <c r="A18" s="340" t="s">
        <v>341</v>
      </c>
      <c r="B18" s="326" t="s">
        <v>339</v>
      </c>
      <c r="C18" s="326" t="s">
        <v>342</v>
      </c>
      <c r="D18" s="327">
        <v>4916</v>
      </c>
      <c r="E18" s="327">
        <v>4539</v>
      </c>
      <c r="F18" s="327">
        <v>7745</v>
      </c>
      <c r="G18" s="327">
        <v>6891</v>
      </c>
      <c r="H18" s="327">
        <v>5237</v>
      </c>
      <c r="I18" s="327">
        <v>5641</v>
      </c>
      <c r="J18" s="327">
        <v>9430</v>
      </c>
      <c r="K18" s="327">
        <v>11736</v>
      </c>
      <c r="L18" s="327">
        <v>11497</v>
      </c>
      <c r="M18" s="327">
        <v>10547</v>
      </c>
      <c r="N18" s="327">
        <v>9149</v>
      </c>
      <c r="O18" s="327">
        <v>10078</v>
      </c>
      <c r="P18" s="341">
        <v>97406</v>
      </c>
      <c r="Q18" s="246"/>
    </row>
    <row r="19" spans="1:17" x14ac:dyDescent="0.25">
      <c r="A19" s="340" t="s">
        <v>395</v>
      </c>
      <c r="B19" s="326" t="s">
        <v>339</v>
      </c>
      <c r="C19" s="326" t="s">
        <v>344</v>
      </c>
      <c r="D19" s="327">
        <v>2047</v>
      </c>
      <c r="E19" s="327">
        <v>1901</v>
      </c>
      <c r="F19" s="327">
        <v>5975</v>
      </c>
      <c r="G19" s="327">
        <v>6945</v>
      </c>
      <c r="H19" s="327">
        <v>5011</v>
      </c>
      <c r="I19" s="327">
        <v>2557</v>
      </c>
      <c r="J19" s="327">
        <v>6983</v>
      </c>
      <c r="K19" s="327">
        <v>9474</v>
      </c>
      <c r="L19" s="327">
        <v>12562</v>
      </c>
      <c r="M19" s="327">
        <v>14266</v>
      </c>
      <c r="N19" s="327">
        <v>16580</v>
      </c>
      <c r="O19" s="327">
        <v>15599</v>
      </c>
      <c r="P19" s="341">
        <v>99900</v>
      </c>
      <c r="Q19" s="246"/>
    </row>
    <row r="20" spans="1:17" x14ac:dyDescent="0.25">
      <c r="A20" s="340" t="s">
        <v>396</v>
      </c>
      <c r="B20" s="326" t="s">
        <v>339</v>
      </c>
      <c r="C20" s="326" t="s">
        <v>346</v>
      </c>
      <c r="D20" s="326" t="s">
        <v>384</v>
      </c>
      <c r="E20" s="326" t="s">
        <v>384</v>
      </c>
      <c r="F20" s="326" t="s">
        <v>384</v>
      </c>
      <c r="G20" s="326" t="s">
        <v>384</v>
      </c>
      <c r="H20" s="326" t="s">
        <v>384</v>
      </c>
      <c r="I20" s="326" t="s">
        <v>384</v>
      </c>
      <c r="J20" s="326" t="s">
        <v>384</v>
      </c>
      <c r="K20" s="326" t="s">
        <v>384</v>
      </c>
      <c r="L20" s="326" t="s">
        <v>384</v>
      </c>
      <c r="M20" s="326" t="s">
        <v>384</v>
      </c>
      <c r="N20" s="326" t="s">
        <v>384</v>
      </c>
      <c r="O20" s="326" t="s">
        <v>384</v>
      </c>
      <c r="P20" s="326" t="s">
        <v>384</v>
      </c>
      <c r="Q20" s="246"/>
    </row>
    <row r="21" spans="1:17" x14ac:dyDescent="0.25">
      <c r="A21" s="340" t="s">
        <v>348</v>
      </c>
      <c r="B21" s="326" t="s">
        <v>339</v>
      </c>
      <c r="C21" s="327" t="s">
        <v>349</v>
      </c>
      <c r="D21" s="327">
        <v>5164</v>
      </c>
      <c r="E21" s="327">
        <v>5258</v>
      </c>
      <c r="F21" s="327">
        <v>3920</v>
      </c>
      <c r="G21" s="327">
        <v>2660</v>
      </c>
      <c r="H21" s="327">
        <v>1875</v>
      </c>
      <c r="I21" s="327">
        <v>1415</v>
      </c>
      <c r="J21" s="327">
        <v>6543</v>
      </c>
      <c r="K21" s="327">
        <v>11427</v>
      </c>
      <c r="L21" s="327">
        <v>13550</v>
      </c>
      <c r="M21" s="327">
        <v>16330</v>
      </c>
      <c r="N21" s="327">
        <v>15550</v>
      </c>
      <c r="O21" s="341">
        <v>14407</v>
      </c>
      <c r="P21" s="341">
        <v>98099</v>
      </c>
      <c r="Q21" s="246"/>
    </row>
    <row r="22" spans="1:17" x14ac:dyDescent="0.25">
      <c r="A22" s="342" t="s">
        <v>398</v>
      </c>
      <c r="B22" s="356" t="s">
        <v>407</v>
      </c>
      <c r="C22" s="333" t="s">
        <v>397</v>
      </c>
      <c r="D22" s="333">
        <v>606</v>
      </c>
      <c r="E22" s="334">
        <v>1454</v>
      </c>
      <c r="F22" s="334">
        <v>1344</v>
      </c>
      <c r="G22" s="334">
        <v>1141</v>
      </c>
      <c r="H22" s="333">
        <v>464</v>
      </c>
      <c r="I22" s="333">
        <v>338</v>
      </c>
      <c r="J22" s="334">
        <v>1111</v>
      </c>
      <c r="K22" s="333">
        <v>1019</v>
      </c>
      <c r="L22" s="333">
        <v>884</v>
      </c>
      <c r="M22" s="334">
        <v>1514</v>
      </c>
      <c r="N22" s="334">
        <v>1906</v>
      </c>
      <c r="O22" s="334">
        <v>2917</v>
      </c>
      <c r="P22" s="343">
        <f>+SUM(D22:O22)</f>
        <v>14698</v>
      </c>
      <c r="Q22" s="246"/>
    </row>
    <row r="23" spans="1:17" x14ac:dyDescent="0.25">
      <c r="A23" s="346" t="s">
        <v>405</v>
      </c>
      <c r="B23" s="355" t="s">
        <v>408</v>
      </c>
      <c r="C23" s="362" t="s">
        <v>410</v>
      </c>
      <c r="D23" s="327">
        <v>2255</v>
      </c>
      <c r="E23" s="327">
        <v>2125</v>
      </c>
      <c r="F23" s="327">
        <v>1747</v>
      </c>
      <c r="G23" s="327">
        <v>2702</v>
      </c>
      <c r="H23" s="327">
        <v>776</v>
      </c>
      <c r="I23" s="327">
        <v>357</v>
      </c>
      <c r="J23" s="327">
        <v>6167</v>
      </c>
      <c r="K23" s="327">
        <v>4450</v>
      </c>
      <c r="L23" s="327">
        <v>5574</v>
      </c>
      <c r="M23" s="327">
        <v>7270</v>
      </c>
      <c r="N23" s="327">
        <v>6521</v>
      </c>
      <c r="O23" s="341">
        <v>1323</v>
      </c>
      <c r="P23" s="341">
        <f>+SUM(D23:O23)</f>
        <v>41267</v>
      </c>
    </row>
    <row r="24" spans="1:17" x14ac:dyDescent="0.25">
      <c r="A24" s="363" t="s">
        <v>370</v>
      </c>
      <c r="B24" s="355" t="s">
        <v>408</v>
      </c>
      <c r="C24" s="355" t="s">
        <v>360</v>
      </c>
      <c r="D24" s="333" t="s">
        <v>384</v>
      </c>
      <c r="E24" s="333" t="s">
        <v>384</v>
      </c>
      <c r="F24" s="333" t="s">
        <v>384</v>
      </c>
      <c r="G24" s="333" t="s">
        <v>384</v>
      </c>
      <c r="H24" s="333" t="s">
        <v>384</v>
      </c>
      <c r="I24" s="333" t="s">
        <v>384</v>
      </c>
      <c r="J24" s="333" t="s">
        <v>384</v>
      </c>
      <c r="K24" s="333" t="s">
        <v>384</v>
      </c>
      <c r="L24" s="333" t="s">
        <v>384</v>
      </c>
      <c r="M24" s="333" t="s">
        <v>384</v>
      </c>
      <c r="N24" s="333" t="s">
        <v>384</v>
      </c>
      <c r="O24" s="333" t="s">
        <v>384</v>
      </c>
      <c r="P24" s="326" t="s">
        <v>384</v>
      </c>
    </row>
    <row r="25" spans="1:17" ht="15.75" thickBot="1" x14ac:dyDescent="0.3">
      <c r="A25" s="361" t="s">
        <v>409</v>
      </c>
      <c r="B25" s="355" t="s">
        <v>408</v>
      </c>
      <c r="C25" s="355" t="s">
        <v>360</v>
      </c>
      <c r="D25" s="333" t="s">
        <v>384</v>
      </c>
      <c r="E25" s="333" t="s">
        <v>384</v>
      </c>
      <c r="F25" s="333" t="s">
        <v>384</v>
      </c>
      <c r="G25" s="333" t="s">
        <v>384</v>
      </c>
      <c r="H25" s="333" t="s">
        <v>384</v>
      </c>
      <c r="I25" s="333" t="s">
        <v>384</v>
      </c>
      <c r="J25" s="334">
        <v>1547</v>
      </c>
      <c r="K25" s="333">
        <v>575</v>
      </c>
      <c r="L25" s="333">
        <v>619</v>
      </c>
      <c r="M25" s="334">
        <v>3703</v>
      </c>
      <c r="N25" s="334">
        <v>1605</v>
      </c>
      <c r="O25" s="334">
        <v>545</v>
      </c>
      <c r="P25" s="343">
        <f>+SUM(D25:O25)</f>
        <v>8594</v>
      </c>
    </row>
    <row r="26" spans="1:17" x14ac:dyDescent="0.25">
      <c r="A26" s="367"/>
      <c r="B26" s="335" t="s">
        <v>387</v>
      </c>
      <c r="C26" s="348" t="s">
        <v>325</v>
      </c>
      <c r="D26" s="350">
        <f t="shared" ref="D26:P26" si="0">+SUM(D5:D16)</f>
        <v>123287</v>
      </c>
      <c r="E26" s="344">
        <f t="shared" si="0"/>
        <v>153726</v>
      </c>
      <c r="F26" s="344">
        <f t="shared" si="0"/>
        <v>169897</v>
      </c>
      <c r="G26" s="344">
        <f t="shared" si="0"/>
        <v>105649</v>
      </c>
      <c r="H26" s="344">
        <f t="shared" si="0"/>
        <v>62806</v>
      </c>
      <c r="I26" s="344">
        <f t="shared" si="0"/>
        <v>74160</v>
      </c>
      <c r="J26" s="344">
        <f t="shared" si="0"/>
        <v>130717</v>
      </c>
      <c r="K26" s="344">
        <f t="shared" si="0"/>
        <v>145114</v>
      </c>
      <c r="L26" s="344">
        <f t="shared" si="0"/>
        <v>144070</v>
      </c>
      <c r="M26" s="344">
        <f t="shared" si="0"/>
        <v>165530</v>
      </c>
      <c r="N26" s="344">
        <f t="shared" si="0"/>
        <v>179843</v>
      </c>
      <c r="O26" s="344">
        <f t="shared" si="0"/>
        <v>191910</v>
      </c>
      <c r="P26" s="345">
        <f t="shared" si="0"/>
        <v>1646709</v>
      </c>
    </row>
    <row r="27" spans="1:17" x14ac:dyDescent="0.25">
      <c r="A27" s="368"/>
      <c r="B27" s="336" t="s">
        <v>387</v>
      </c>
      <c r="C27" s="349" t="s">
        <v>339</v>
      </c>
      <c r="D27" s="351">
        <f t="shared" ref="D27:P27" si="1">+SUM(D17:D21)</f>
        <v>13331</v>
      </c>
      <c r="E27" s="347">
        <f t="shared" si="1"/>
        <v>12996</v>
      </c>
      <c r="F27" s="347">
        <f t="shared" si="1"/>
        <v>19218</v>
      </c>
      <c r="G27" s="347">
        <f t="shared" si="1"/>
        <v>18246</v>
      </c>
      <c r="H27" s="347">
        <f t="shared" si="1"/>
        <v>13602</v>
      </c>
      <c r="I27" s="347">
        <f t="shared" si="1"/>
        <v>10963</v>
      </c>
      <c r="J27" s="347">
        <f t="shared" si="1"/>
        <v>25122</v>
      </c>
      <c r="K27" s="347">
        <f t="shared" si="1"/>
        <v>34524</v>
      </c>
      <c r="L27" s="347">
        <f t="shared" si="1"/>
        <v>39404</v>
      </c>
      <c r="M27" s="347">
        <f t="shared" si="1"/>
        <v>43161</v>
      </c>
      <c r="N27" s="347">
        <f t="shared" si="1"/>
        <v>43779</v>
      </c>
      <c r="O27" s="347">
        <f t="shared" si="1"/>
        <v>42153</v>
      </c>
      <c r="P27" s="352">
        <f t="shared" si="1"/>
        <v>316499</v>
      </c>
    </row>
    <row r="28" spans="1:17" x14ac:dyDescent="0.25">
      <c r="A28" s="369"/>
      <c r="B28" s="376" t="s">
        <v>387</v>
      </c>
      <c r="C28" s="365" t="s">
        <v>406</v>
      </c>
      <c r="D28" s="364">
        <f>D22</f>
        <v>606</v>
      </c>
      <c r="E28" s="364">
        <f t="shared" ref="E28:O28" si="2">E22</f>
        <v>1454</v>
      </c>
      <c r="F28" s="364">
        <f t="shared" si="2"/>
        <v>1344</v>
      </c>
      <c r="G28" s="364">
        <f t="shared" si="2"/>
        <v>1141</v>
      </c>
      <c r="H28" s="364">
        <f t="shared" si="2"/>
        <v>464</v>
      </c>
      <c r="I28" s="364">
        <f t="shared" si="2"/>
        <v>338</v>
      </c>
      <c r="J28" s="364">
        <f t="shared" si="2"/>
        <v>1111</v>
      </c>
      <c r="K28" s="364">
        <f t="shared" si="2"/>
        <v>1019</v>
      </c>
      <c r="L28" s="364">
        <f t="shared" si="2"/>
        <v>884</v>
      </c>
      <c r="M28" s="364">
        <f t="shared" si="2"/>
        <v>1514</v>
      </c>
      <c r="N28" s="364">
        <f t="shared" si="2"/>
        <v>1906</v>
      </c>
      <c r="O28" s="364">
        <f t="shared" si="2"/>
        <v>2917</v>
      </c>
      <c r="P28" s="352">
        <f>P22</f>
        <v>14698</v>
      </c>
    </row>
    <row r="29" spans="1:17" ht="15.75" thickBot="1" x14ac:dyDescent="0.3">
      <c r="A29" s="369"/>
      <c r="B29" s="377" t="s">
        <v>387</v>
      </c>
      <c r="C29" s="375" t="s">
        <v>408</v>
      </c>
      <c r="D29" s="353">
        <f>SUM(D23:D25)</f>
        <v>2255</v>
      </c>
      <c r="E29" s="353">
        <f t="shared" ref="E29:O29" si="3">SUM(E23:E25)</f>
        <v>2125</v>
      </c>
      <c r="F29" s="353">
        <f t="shared" si="3"/>
        <v>1747</v>
      </c>
      <c r="G29" s="353">
        <f t="shared" si="3"/>
        <v>2702</v>
      </c>
      <c r="H29" s="353">
        <f t="shared" si="3"/>
        <v>776</v>
      </c>
      <c r="I29" s="353">
        <f t="shared" si="3"/>
        <v>357</v>
      </c>
      <c r="J29" s="353">
        <f t="shared" si="3"/>
        <v>7714</v>
      </c>
      <c r="K29" s="353">
        <f t="shared" si="3"/>
        <v>5025</v>
      </c>
      <c r="L29" s="353">
        <f t="shared" si="3"/>
        <v>6193</v>
      </c>
      <c r="M29" s="353">
        <f t="shared" si="3"/>
        <v>10973</v>
      </c>
      <c r="N29" s="353">
        <f t="shared" si="3"/>
        <v>8126</v>
      </c>
      <c r="O29" s="353">
        <f t="shared" si="3"/>
        <v>1868</v>
      </c>
      <c r="P29" s="354">
        <f>SUM(P23:P25)</f>
        <v>49861</v>
      </c>
    </row>
    <row r="30" spans="1:17" ht="15.75" thickBot="1" x14ac:dyDescent="0.3">
      <c r="A30" s="337"/>
      <c r="B30" s="370" t="s">
        <v>323</v>
      </c>
      <c r="C30" s="371"/>
      <c r="D30" s="372">
        <f t="shared" ref="D30:P30" si="4">SUM(D26:D29)</f>
        <v>139479</v>
      </c>
      <c r="E30" s="373">
        <f t="shared" si="4"/>
        <v>170301</v>
      </c>
      <c r="F30" s="373">
        <f t="shared" si="4"/>
        <v>192206</v>
      </c>
      <c r="G30" s="373">
        <f t="shared" si="4"/>
        <v>127738</v>
      </c>
      <c r="H30" s="373">
        <f t="shared" si="4"/>
        <v>77648</v>
      </c>
      <c r="I30" s="373">
        <f t="shared" si="4"/>
        <v>85818</v>
      </c>
      <c r="J30" s="373">
        <f t="shared" si="4"/>
        <v>164664</v>
      </c>
      <c r="K30" s="373">
        <f t="shared" si="4"/>
        <v>185682</v>
      </c>
      <c r="L30" s="373">
        <f t="shared" si="4"/>
        <v>190551</v>
      </c>
      <c r="M30" s="373">
        <f t="shared" si="4"/>
        <v>221178</v>
      </c>
      <c r="N30" s="373">
        <f t="shared" si="4"/>
        <v>233654</v>
      </c>
      <c r="O30" s="373">
        <f t="shared" si="4"/>
        <v>238848</v>
      </c>
      <c r="P30" s="374">
        <f t="shared" si="4"/>
        <v>2027767</v>
      </c>
    </row>
    <row r="32" spans="1:17" x14ac:dyDescent="0.25">
      <c r="A32" s="247" t="s">
        <v>399</v>
      </c>
    </row>
    <row r="33" spans="1:4" x14ac:dyDescent="0.25">
      <c r="A33" s="247" t="s">
        <v>400</v>
      </c>
      <c r="D33" s="366"/>
    </row>
    <row r="34" spans="1:4" x14ac:dyDescent="0.25">
      <c r="A34" s="247" t="s">
        <v>401</v>
      </c>
      <c r="D34" s="366"/>
    </row>
    <row r="35" spans="1:4" x14ac:dyDescent="0.25">
      <c r="A35" s="247" t="s">
        <v>402</v>
      </c>
      <c r="D35" s="366"/>
    </row>
    <row r="36" spans="1:4" x14ac:dyDescent="0.25">
      <c r="A36" s="245" t="s">
        <v>403</v>
      </c>
      <c r="D36" s="366"/>
    </row>
    <row r="37" spans="1:4" x14ac:dyDescent="0.25">
      <c r="A37" s="245" t="s">
        <v>404</v>
      </c>
      <c r="D37" s="302"/>
    </row>
  </sheetData>
  <mergeCells count="1">
    <mergeCell ref="A2:P2"/>
  </mergeCells>
  <printOptions horizontalCentered="1"/>
  <pageMargins left="0.7" right="0.7" top="0.75" bottom="0.75" header="0.3" footer="0.3"/>
  <pageSetup paperSize="9" scale="58" orientation="landscape" r:id="rId1"/>
  <headerFooter>
    <oddHeader xml:space="preserve">&amp;L&amp;G
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5"/>
  <sheetViews>
    <sheetView topLeftCell="A13" zoomScale="106" zoomScaleNormal="106" workbookViewId="0">
      <pane xSplit="1" topLeftCell="B1" activePane="topRight" state="frozen"/>
      <selection pane="topRight" activeCell="C17" sqref="C16:C17"/>
    </sheetView>
  </sheetViews>
  <sheetFormatPr baseColWidth="10" defaultRowHeight="15" x14ac:dyDescent="0.25"/>
  <cols>
    <col min="1" max="1" width="50.42578125" style="457" customWidth="1"/>
    <col min="2" max="2" width="23.85546875" style="457" bestFit="1" customWidth="1"/>
    <col min="3" max="3" width="24.85546875" style="457" customWidth="1"/>
    <col min="4" max="16384" width="11.42578125" style="457"/>
  </cols>
  <sheetData>
    <row r="2" spans="1:16" ht="21" x14ac:dyDescent="0.35">
      <c r="A2" s="458" t="s">
        <v>412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x14ac:dyDescent="0.25">
      <c r="O3" s="459"/>
    </row>
    <row r="4" spans="1:16" ht="15.75" thickBot="1" x14ac:dyDescent="0.3">
      <c r="A4" s="460" t="s">
        <v>308</v>
      </c>
      <c r="B4" s="460" t="s">
        <v>309</v>
      </c>
      <c r="C4" s="460" t="s">
        <v>310</v>
      </c>
      <c r="D4" s="461" t="s">
        <v>311</v>
      </c>
      <c r="E4" s="461" t="s">
        <v>312</v>
      </c>
      <c r="F4" s="461" t="s">
        <v>313</v>
      </c>
      <c r="G4" s="461" t="s">
        <v>314</v>
      </c>
      <c r="H4" s="461" t="s">
        <v>315</v>
      </c>
      <c r="I4" s="461" t="s">
        <v>316</v>
      </c>
      <c r="J4" s="461" t="s">
        <v>317</v>
      </c>
      <c r="K4" s="461" t="s">
        <v>318</v>
      </c>
      <c r="L4" s="461" t="s">
        <v>319</v>
      </c>
      <c r="M4" s="461" t="s">
        <v>320</v>
      </c>
      <c r="N4" s="461" t="s">
        <v>321</v>
      </c>
      <c r="O4" s="461" t="s">
        <v>322</v>
      </c>
      <c r="P4" s="462" t="s">
        <v>323</v>
      </c>
    </row>
    <row r="5" spans="1:16" x14ac:dyDescent="0.25">
      <c r="A5" s="463" t="s">
        <v>391</v>
      </c>
      <c r="B5" s="464" t="s">
        <v>325</v>
      </c>
      <c r="C5" s="464" t="s">
        <v>328</v>
      </c>
      <c r="D5" s="465">
        <v>10007</v>
      </c>
      <c r="E5" s="466">
        <v>8835</v>
      </c>
      <c r="F5" s="466">
        <v>8507</v>
      </c>
      <c r="G5" s="466">
        <v>8628</v>
      </c>
      <c r="H5" s="466">
        <v>8693</v>
      </c>
      <c r="I5" s="466">
        <v>7462</v>
      </c>
      <c r="J5" s="466">
        <v>8686</v>
      </c>
      <c r="K5" s="466">
        <v>3368</v>
      </c>
      <c r="L5" s="466">
        <v>3970</v>
      </c>
      <c r="M5" s="466">
        <v>5424</v>
      </c>
      <c r="N5" s="466">
        <v>5775</v>
      </c>
      <c r="O5" s="466">
        <v>9257</v>
      </c>
      <c r="P5" s="467">
        <f>SUM(Tabla14[[#This Row],[Enero]:[Diciembre]])</f>
        <v>88612</v>
      </c>
    </row>
    <row r="6" spans="1:16" x14ac:dyDescent="0.25">
      <c r="A6" s="468" t="s">
        <v>383</v>
      </c>
      <c r="B6" s="460" t="s">
        <v>325</v>
      </c>
      <c r="C6" s="460" t="s">
        <v>326</v>
      </c>
      <c r="D6" s="465">
        <v>7525</v>
      </c>
      <c r="E6" s="465">
        <v>6409</v>
      </c>
      <c r="F6" s="465">
        <v>6810</v>
      </c>
      <c r="G6" s="465">
        <v>6712</v>
      </c>
      <c r="H6" s="465">
        <v>6871</v>
      </c>
      <c r="I6" s="465">
        <v>6244</v>
      </c>
      <c r="J6" s="465">
        <v>7891</v>
      </c>
      <c r="K6" s="465">
        <v>7619</v>
      </c>
      <c r="L6" s="465">
        <v>6933</v>
      </c>
      <c r="M6" s="465">
        <v>7567</v>
      </c>
      <c r="N6" s="465">
        <v>9333</v>
      </c>
      <c r="O6" s="465">
        <v>9483</v>
      </c>
      <c r="P6" s="467">
        <f>SUM(Tabla14[[#This Row],[Enero]:[Diciembre]])</f>
        <v>89397</v>
      </c>
    </row>
    <row r="7" spans="1:16" x14ac:dyDescent="0.25">
      <c r="A7" s="468" t="s">
        <v>413</v>
      </c>
      <c r="B7" s="460" t="s">
        <v>325</v>
      </c>
      <c r="C7" s="460" t="s">
        <v>326</v>
      </c>
      <c r="D7" s="465">
        <v>0</v>
      </c>
      <c r="E7" s="465">
        <v>0</v>
      </c>
      <c r="F7" s="465">
        <v>0</v>
      </c>
      <c r="G7" s="465">
        <v>0</v>
      </c>
      <c r="H7" s="465">
        <v>0</v>
      </c>
      <c r="I7" s="465">
        <v>0</v>
      </c>
      <c r="J7" s="465">
        <v>0</v>
      </c>
      <c r="K7" s="465">
        <v>2154</v>
      </c>
      <c r="L7" s="465">
        <v>2718</v>
      </c>
      <c r="M7" s="465">
        <v>2692</v>
      </c>
      <c r="N7" s="465">
        <v>2379</v>
      </c>
      <c r="O7" s="465">
        <v>2498</v>
      </c>
      <c r="P7" s="467">
        <f>SUM(Tabla14[[#This Row],[Enero]:[Diciembre]])</f>
        <v>12441</v>
      </c>
    </row>
    <row r="8" spans="1:16" x14ac:dyDescent="0.25">
      <c r="A8" s="468" t="s">
        <v>327</v>
      </c>
      <c r="B8" s="460" t="s">
        <v>325</v>
      </c>
      <c r="C8" s="460" t="s">
        <v>328</v>
      </c>
      <c r="D8" s="465">
        <v>16469</v>
      </c>
      <c r="E8" s="465">
        <v>16341</v>
      </c>
      <c r="F8" s="465">
        <v>6643</v>
      </c>
      <c r="G8" s="465">
        <v>4014</v>
      </c>
      <c r="H8" s="465">
        <v>9871</v>
      </c>
      <c r="I8" s="465">
        <v>9889</v>
      </c>
      <c r="J8" s="465">
        <v>11580</v>
      </c>
      <c r="K8" s="465">
        <v>7262</v>
      </c>
      <c r="L8" s="465">
        <v>7184</v>
      </c>
      <c r="M8" s="465">
        <v>2835</v>
      </c>
      <c r="N8" s="465">
        <v>0</v>
      </c>
      <c r="O8" s="465">
        <v>0</v>
      </c>
      <c r="P8" s="467">
        <f>SUM(Tabla14[[#This Row],[Enero]:[Diciembre]])</f>
        <v>92088</v>
      </c>
    </row>
    <row r="9" spans="1:16" x14ac:dyDescent="0.25">
      <c r="A9" s="468" t="s">
        <v>329</v>
      </c>
      <c r="B9" s="460" t="s">
        <v>325</v>
      </c>
      <c r="C9" s="468" t="s">
        <v>328</v>
      </c>
      <c r="D9" s="465">
        <v>124376</v>
      </c>
      <c r="E9" s="465">
        <v>114798</v>
      </c>
      <c r="F9" s="465">
        <v>123479</v>
      </c>
      <c r="G9" s="465">
        <v>104591</v>
      </c>
      <c r="H9" s="465">
        <v>79520</v>
      </c>
      <c r="I9" s="465">
        <v>68776</v>
      </c>
      <c r="J9" s="465">
        <v>66518</v>
      </c>
      <c r="K9" s="465">
        <v>27753</v>
      </c>
      <c r="L9" s="465">
        <v>31980</v>
      </c>
      <c r="M9" s="465">
        <v>40976</v>
      </c>
      <c r="N9" s="465">
        <v>43099</v>
      </c>
      <c r="O9" s="465">
        <v>77282</v>
      </c>
      <c r="P9" s="467">
        <f>SUM(Tabla14[[#This Row],[Enero]:[Diciembre]])</f>
        <v>903148</v>
      </c>
    </row>
    <row r="10" spans="1:16" x14ac:dyDescent="0.25">
      <c r="A10" s="469" t="s">
        <v>414</v>
      </c>
      <c r="B10" s="460" t="s">
        <v>325</v>
      </c>
      <c r="C10" s="468" t="s">
        <v>337</v>
      </c>
      <c r="D10" s="465">
        <v>3592</v>
      </c>
      <c r="E10" s="465">
        <v>4129</v>
      </c>
      <c r="F10" s="465">
        <v>4780</v>
      </c>
      <c r="G10" s="465">
        <v>5761</v>
      </c>
      <c r="H10" s="465">
        <v>6427</v>
      </c>
      <c r="I10" s="465">
        <v>6158</v>
      </c>
      <c r="J10" s="465">
        <v>7389</v>
      </c>
      <c r="K10" s="465">
        <v>6288</v>
      </c>
      <c r="L10" s="465">
        <v>6957</v>
      </c>
      <c r="M10" s="465">
        <v>6992</v>
      </c>
      <c r="N10" s="465">
        <v>6524</v>
      </c>
      <c r="O10" s="465">
        <v>6720</v>
      </c>
      <c r="P10" s="467">
        <f>SUM(Tabla14[[#This Row],[Enero]:[Diciembre]])</f>
        <v>71717</v>
      </c>
    </row>
    <row r="11" spans="1:16" x14ac:dyDescent="0.25">
      <c r="A11" s="468" t="s">
        <v>330</v>
      </c>
      <c r="B11" s="460" t="s">
        <v>325</v>
      </c>
      <c r="C11" s="468" t="s">
        <v>331</v>
      </c>
      <c r="D11" s="465">
        <v>7508</v>
      </c>
      <c r="E11" s="465">
        <v>7271</v>
      </c>
      <c r="F11" s="465">
        <v>8757</v>
      </c>
      <c r="G11" s="465">
        <v>8482</v>
      </c>
      <c r="H11" s="465">
        <v>9105</v>
      </c>
      <c r="I11" s="465">
        <v>8360</v>
      </c>
      <c r="J11" s="465">
        <v>9295</v>
      </c>
      <c r="K11" s="465">
        <v>8757</v>
      </c>
      <c r="L11" s="465">
        <v>8785</v>
      </c>
      <c r="M11" s="465">
        <v>7768</v>
      </c>
      <c r="N11" s="465">
        <v>8798</v>
      </c>
      <c r="O11" s="465">
        <v>6689</v>
      </c>
      <c r="P11" s="467">
        <f>SUM(Tabla14[[#This Row],[Enero]:[Diciembre]])</f>
        <v>99575</v>
      </c>
    </row>
    <row r="12" spans="1:16" x14ac:dyDescent="0.25">
      <c r="A12" s="468" t="s">
        <v>332</v>
      </c>
      <c r="B12" s="460" t="s">
        <v>325</v>
      </c>
      <c r="C12" s="468" t="s">
        <v>333</v>
      </c>
      <c r="D12" s="465">
        <v>19709</v>
      </c>
      <c r="E12" s="465">
        <v>20915</v>
      </c>
      <c r="F12" s="465">
        <v>21502</v>
      </c>
      <c r="G12" s="465">
        <v>21437</v>
      </c>
      <c r="H12" s="465">
        <v>22229</v>
      </c>
      <c r="I12" s="465">
        <v>20776</v>
      </c>
      <c r="J12" s="465">
        <v>22587</v>
      </c>
      <c r="K12" s="465">
        <v>22492</v>
      </c>
      <c r="L12" s="465">
        <v>21448</v>
      </c>
      <c r="M12" s="465">
        <v>21844</v>
      </c>
      <c r="N12" s="465">
        <v>21429</v>
      </c>
      <c r="O12" s="465">
        <v>20555</v>
      </c>
      <c r="P12" s="467">
        <f>SUM(Tabla14[[#This Row],[Enero]:[Diciembre]])</f>
        <v>256923</v>
      </c>
    </row>
    <row r="13" spans="1:16" x14ac:dyDescent="0.25">
      <c r="A13" s="468" t="s">
        <v>334</v>
      </c>
      <c r="B13" s="460" t="s">
        <v>325</v>
      </c>
      <c r="C13" s="468" t="s">
        <v>331</v>
      </c>
      <c r="D13" s="465">
        <v>23646</v>
      </c>
      <c r="E13" s="465">
        <v>22714</v>
      </c>
      <c r="F13" s="465">
        <v>23871</v>
      </c>
      <c r="G13" s="465">
        <v>23821</v>
      </c>
      <c r="H13" s="465">
        <v>24400</v>
      </c>
      <c r="I13" s="465">
        <v>23615</v>
      </c>
      <c r="J13" s="465">
        <v>24784</v>
      </c>
      <c r="K13" s="465">
        <v>24594</v>
      </c>
      <c r="L13" s="465">
        <v>23927</v>
      </c>
      <c r="M13" s="465">
        <v>24772</v>
      </c>
      <c r="N13" s="465">
        <v>22888</v>
      </c>
      <c r="O13" s="465">
        <v>25411</v>
      </c>
      <c r="P13" s="467">
        <f>SUM(Tabla14[[#This Row],[Enero]:[Diciembre]])</f>
        <v>288443</v>
      </c>
    </row>
    <row r="14" spans="1:16" x14ac:dyDescent="0.25">
      <c r="A14" s="468" t="s">
        <v>415</v>
      </c>
      <c r="B14" s="460" t="s">
        <v>325</v>
      </c>
      <c r="C14" s="468" t="s">
        <v>331</v>
      </c>
      <c r="D14" s="465">
        <v>8073</v>
      </c>
      <c r="E14" s="465">
        <v>7839</v>
      </c>
      <c r="F14" s="465">
        <v>8526</v>
      </c>
      <c r="G14" s="465">
        <v>8345</v>
      </c>
      <c r="H14" s="465">
        <v>8661</v>
      </c>
      <c r="I14" s="465">
        <v>8440</v>
      </c>
      <c r="J14" s="465">
        <v>9207</v>
      </c>
      <c r="K14" s="465">
        <v>8600</v>
      </c>
      <c r="L14" s="465">
        <v>8480</v>
      </c>
      <c r="M14" s="465">
        <v>8758</v>
      </c>
      <c r="N14" s="465">
        <v>8354</v>
      </c>
      <c r="O14" s="465">
        <v>7792</v>
      </c>
      <c r="P14" s="467">
        <f>SUM(Tabla14[[#This Row],[Enero]:[Diciembre]])</f>
        <v>101075</v>
      </c>
    </row>
    <row r="15" spans="1:16" x14ac:dyDescent="0.25">
      <c r="A15" s="468" t="s">
        <v>336</v>
      </c>
      <c r="B15" s="460" t="s">
        <v>325</v>
      </c>
      <c r="C15" s="468" t="s">
        <v>337</v>
      </c>
      <c r="D15" s="465">
        <v>5351</v>
      </c>
      <c r="E15" s="465">
        <v>7301</v>
      </c>
      <c r="F15" s="465">
        <v>6078</v>
      </c>
      <c r="G15" s="465">
        <v>7435</v>
      </c>
      <c r="H15" s="465">
        <v>8075</v>
      </c>
      <c r="I15" s="465">
        <v>6650</v>
      </c>
      <c r="J15" s="465">
        <v>7799</v>
      </c>
      <c r="K15" s="465">
        <v>7723</v>
      </c>
      <c r="L15" s="465">
        <v>7709</v>
      </c>
      <c r="M15" s="465">
        <v>8020</v>
      </c>
      <c r="N15" s="465">
        <v>6071</v>
      </c>
      <c r="O15" s="470">
        <v>7336</v>
      </c>
      <c r="P15" s="467">
        <f>SUM(Tabla14[[#This Row],[Enero]:[Diciembre]])</f>
        <v>85548</v>
      </c>
    </row>
    <row r="16" spans="1:16" x14ac:dyDescent="0.25">
      <c r="A16" s="469" t="s">
        <v>352</v>
      </c>
      <c r="B16" s="468" t="s">
        <v>325</v>
      </c>
      <c r="C16" s="468" t="s">
        <v>353</v>
      </c>
      <c r="D16" s="465">
        <v>2594</v>
      </c>
      <c r="E16" s="470">
        <v>2985</v>
      </c>
      <c r="F16" s="470">
        <v>2462</v>
      </c>
      <c r="G16" s="470">
        <v>2651</v>
      </c>
      <c r="H16" s="470">
        <v>2508</v>
      </c>
      <c r="I16" s="470">
        <v>2286</v>
      </c>
      <c r="J16" s="470">
        <v>3796</v>
      </c>
      <c r="K16" s="470">
        <v>2156</v>
      </c>
      <c r="L16" s="470">
        <v>2137</v>
      </c>
      <c r="M16" s="470">
        <v>2664</v>
      </c>
      <c r="N16" s="470">
        <v>1937</v>
      </c>
      <c r="O16" s="470">
        <v>1897</v>
      </c>
      <c r="P16" s="467">
        <f>SUM(Tabla14[[#This Row],[Enero]:[Diciembre]])</f>
        <v>30073</v>
      </c>
    </row>
    <row r="17" spans="1:16" x14ac:dyDescent="0.25">
      <c r="A17" s="469" t="s">
        <v>416</v>
      </c>
      <c r="B17" s="468" t="s">
        <v>325</v>
      </c>
      <c r="C17" s="468" t="s">
        <v>333</v>
      </c>
      <c r="D17" s="465">
        <v>2864</v>
      </c>
      <c r="E17" s="465">
        <v>3058</v>
      </c>
      <c r="F17" s="465">
        <v>2861</v>
      </c>
      <c r="G17" s="465">
        <v>3378</v>
      </c>
      <c r="H17" s="465">
        <v>3355</v>
      </c>
      <c r="I17" s="465">
        <v>2905</v>
      </c>
      <c r="J17" s="465">
        <v>4046</v>
      </c>
      <c r="K17" s="465">
        <v>3097</v>
      </c>
      <c r="L17" s="465">
        <v>3836</v>
      </c>
      <c r="M17" s="465">
        <v>3939</v>
      </c>
      <c r="N17" s="465">
        <v>3554</v>
      </c>
      <c r="O17" s="470">
        <v>3690</v>
      </c>
      <c r="P17" s="467">
        <f>SUM(Tabla14[[#This Row],[Enero]:[Diciembre]])</f>
        <v>40583</v>
      </c>
    </row>
    <row r="18" spans="1:16" x14ac:dyDescent="0.25">
      <c r="A18" s="460" t="s">
        <v>417</v>
      </c>
      <c r="B18" s="460" t="s">
        <v>339</v>
      </c>
      <c r="C18" s="460" t="s">
        <v>340</v>
      </c>
      <c r="D18" s="465">
        <v>1834</v>
      </c>
      <c r="E18" s="465">
        <v>2728</v>
      </c>
      <c r="F18" s="465">
        <v>2941</v>
      </c>
      <c r="G18" s="465">
        <v>3482</v>
      </c>
      <c r="H18" s="465">
        <v>4038</v>
      </c>
      <c r="I18" s="465">
        <v>4276</v>
      </c>
      <c r="J18" s="465">
        <v>5787</v>
      </c>
      <c r="K18" s="465">
        <v>4494</v>
      </c>
      <c r="L18" s="465">
        <v>7732</v>
      </c>
      <c r="M18" s="465">
        <v>9297</v>
      </c>
      <c r="N18" s="465">
        <v>7219</v>
      </c>
      <c r="O18" s="465">
        <v>5047</v>
      </c>
      <c r="P18" s="467">
        <f>SUM(Tabla14[[#This Row],[Enero]:[Diciembre]])</f>
        <v>58875</v>
      </c>
    </row>
    <row r="19" spans="1:16" x14ac:dyDescent="0.25">
      <c r="A19" s="460" t="s">
        <v>418</v>
      </c>
      <c r="B19" s="460" t="s">
        <v>339</v>
      </c>
      <c r="C19" s="460" t="s">
        <v>342</v>
      </c>
      <c r="D19" s="465">
        <v>10961</v>
      </c>
      <c r="E19" s="465">
        <v>13453</v>
      </c>
      <c r="F19" s="465">
        <v>10217</v>
      </c>
      <c r="G19" s="465">
        <v>11044</v>
      </c>
      <c r="H19" s="465">
        <v>10293</v>
      </c>
      <c r="I19" s="465">
        <v>10122</v>
      </c>
      <c r="J19" s="465">
        <v>18069</v>
      </c>
      <c r="K19" s="465">
        <v>12435</v>
      </c>
      <c r="L19" s="465">
        <v>13169</v>
      </c>
      <c r="M19" s="465">
        <v>12442</v>
      </c>
      <c r="N19" s="465">
        <v>12483</v>
      </c>
      <c r="O19" s="465">
        <v>11551</v>
      </c>
      <c r="P19" s="467">
        <f>SUM(Tabla14[[#This Row],[Enero]:[Diciembre]])</f>
        <v>146239</v>
      </c>
    </row>
    <row r="20" spans="1:16" x14ac:dyDescent="0.25">
      <c r="A20" s="460" t="s">
        <v>395</v>
      </c>
      <c r="B20" s="460" t="s">
        <v>339</v>
      </c>
      <c r="C20" s="460" t="s">
        <v>344</v>
      </c>
      <c r="D20" s="465">
        <v>10475</v>
      </c>
      <c r="E20" s="465">
        <v>8974</v>
      </c>
      <c r="F20" s="465">
        <v>8767</v>
      </c>
      <c r="G20" s="465">
        <v>11017</v>
      </c>
      <c r="H20" s="465">
        <v>11786</v>
      </c>
      <c r="I20" s="465">
        <v>11533</v>
      </c>
      <c r="J20" s="465">
        <v>18270</v>
      </c>
      <c r="K20" s="465">
        <v>15728</v>
      </c>
      <c r="L20" s="465">
        <v>16922</v>
      </c>
      <c r="M20" s="465">
        <v>15856</v>
      </c>
      <c r="N20" s="465">
        <v>18368</v>
      </c>
      <c r="O20" s="465">
        <v>18517</v>
      </c>
      <c r="P20" s="467">
        <f>SUM(Tabla14[[#This Row],[Enero]:[Diciembre]])</f>
        <v>166213</v>
      </c>
    </row>
    <row r="21" spans="1:16" x14ac:dyDescent="0.25">
      <c r="A21" s="460" t="s">
        <v>419</v>
      </c>
      <c r="B21" s="460" t="s">
        <v>339</v>
      </c>
      <c r="C21" s="460" t="s">
        <v>346</v>
      </c>
      <c r="D21" s="465">
        <v>0</v>
      </c>
      <c r="E21" s="465">
        <v>0</v>
      </c>
      <c r="F21" s="465">
        <v>0</v>
      </c>
      <c r="G21" s="465">
        <v>0</v>
      </c>
      <c r="H21" s="465">
        <v>0</v>
      </c>
      <c r="I21" s="465">
        <v>0</v>
      </c>
      <c r="J21" s="465">
        <v>0</v>
      </c>
      <c r="K21" s="465">
        <v>0</v>
      </c>
      <c r="L21" s="465">
        <v>7965</v>
      </c>
      <c r="M21" s="465">
        <v>23896</v>
      </c>
      <c r="N21" s="465">
        <v>23889</v>
      </c>
      <c r="O21" s="465">
        <v>35957</v>
      </c>
      <c r="P21" s="467">
        <f>SUM(Tabla14[[#This Row],[Enero]:[Diciembre]])</f>
        <v>91707</v>
      </c>
    </row>
    <row r="22" spans="1:16" x14ac:dyDescent="0.25">
      <c r="A22" s="460" t="s">
        <v>348</v>
      </c>
      <c r="B22" s="460" t="s">
        <v>339</v>
      </c>
      <c r="C22" s="460" t="s">
        <v>349</v>
      </c>
      <c r="D22" s="465">
        <v>26471</v>
      </c>
      <c r="E22" s="465">
        <v>28725</v>
      </c>
      <c r="F22" s="465">
        <v>21389</v>
      </c>
      <c r="G22" s="465">
        <v>22156</v>
      </c>
      <c r="H22" s="465">
        <v>19372</v>
      </c>
      <c r="I22" s="465">
        <v>17712</v>
      </c>
      <c r="J22" s="465">
        <v>39449</v>
      </c>
      <c r="K22" s="465">
        <v>25755</v>
      </c>
      <c r="L22" s="465">
        <v>26162</v>
      </c>
      <c r="M22" s="465">
        <v>32008</v>
      </c>
      <c r="N22" s="465">
        <v>26363</v>
      </c>
      <c r="O22" s="465">
        <v>20967</v>
      </c>
      <c r="P22" s="467">
        <f>SUM(Tabla14[[#This Row],[Enero]:[Diciembre]])</f>
        <v>306529</v>
      </c>
    </row>
    <row r="23" spans="1:16" x14ac:dyDescent="0.25">
      <c r="A23" s="460" t="s">
        <v>420</v>
      </c>
      <c r="B23" s="460" t="s">
        <v>339</v>
      </c>
      <c r="C23" s="460" t="s">
        <v>331</v>
      </c>
      <c r="D23" s="465">
        <v>0</v>
      </c>
      <c r="E23" s="465">
        <v>0</v>
      </c>
      <c r="F23" s="465">
        <v>0</v>
      </c>
      <c r="G23" s="465">
        <v>0</v>
      </c>
      <c r="H23" s="465">
        <v>0</v>
      </c>
      <c r="I23" s="465">
        <v>0</v>
      </c>
      <c r="J23" s="465">
        <v>0</v>
      </c>
      <c r="K23" s="465">
        <v>308</v>
      </c>
      <c r="L23" s="465">
        <v>840</v>
      </c>
      <c r="M23" s="465">
        <v>1017</v>
      </c>
      <c r="N23" s="465">
        <v>906</v>
      </c>
      <c r="O23" s="465">
        <v>2072</v>
      </c>
      <c r="P23" s="467">
        <f>SUM(Tabla14[[#This Row],[Enero]:[Diciembre]])</f>
        <v>5143</v>
      </c>
    </row>
    <row r="24" spans="1:16" x14ac:dyDescent="0.25">
      <c r="A24" s="469" t="s">
        <v>421</v>
      </c>
      <c r="B24" s="460" t="s">
        <v>339</v>
      </c>
      <c r="C24" s="460" t="s">
        <v>331</v>
      </c>
      <c r="D24" s="465">
        <v>0</v>
      </c>
      <c r="E24" s="465">
        <v>0</v>
      </c>
      <c r="F24" s="465">
        <v>0</v>
      </c>
      <c r="G24" s="465">
        <v>0</v>
      </c>
      <c r="H24" s="465">
        <v>0</v>
      </c>
      <c r="I24" s="465">
        <v>0</v>
      </c>
      <c r="J24" s="465">
        <v>0</v>
      </c>
      <c r="K24" s="465">
        <v>5111</v>
      </c>
      <c r="L24" s="465">
        <v>5236</v>
      </c>
      <c r="M24" s="465">
        <v>3331</v>
      </c>
      <c r="N24" s="465">
        <v>2535</v>
      </c>
      <c r="O24" s="465">
        <v>1884</v>
      </c>
      <c r="P24" s="467">
        <f>SUM(Tabla14[[#This Row],[Enero]:[Diciembre]])</f>
        <v>18097</v>
      </c>
    </row>
    <row r="25" spans="1:16" x14ac:dyDescent="0.25">
      <c r="A25" s="469" t="s">
        <v>422</v>
      </c>
      <c r="B25" s="460" t="s">
        <v>406</v>
      </c>
      <c r="C25" s="460" t="s">
        <v>423</v>
      </c>
      <c r="D25" s="465">
        <v>2854</v>
      </c>
      <c r="E25" s="465">
        <v>2225</v>
      </c>
      <c r="F25" s="465">
        <v>1970</v>
      </c>
      <c r="G25" s="465">
        <v>1632</v>
      </c>
      <c r="H25" s="465">
        <v>1355</v>
      </c>
      <c r="I25" s="465">
        <v>1389</v>
      </c>
      <c r="J25" s="465">
        <v>2533</v>
      </c>
      <c r="K25" s="465">
        <v>2025</v>
      </c>
      <c r="L25" s="465">
        <v>2121</v>
      </c>
      <c r="M25" s="465">
        <v>2873</v>
      </c>
      <c r="N25" s="465">
        <v>2456</v>
      </c>
      <c r="O25" s="465">
        <v>2802</v>
      </c>
      <c r="P25" s="467">
        <f>SUM(Tabla14[[#This Row],[Enero]:[Diciembre]])</f>
        <v>26235</v>
      </c>
    </row>
    <row r="26" spans="1:16" x14ac:dyDescent="0.25">
      <c r="A26" s="469" t="s">
        <v>424</v>
      </c>
      <c r="B26" s="460" t="s">
        <v>406</v>
      </c>
      <c r="C26" s="460" t="s">
        <v>423</v>
      </c>
      <c r="D26" s="465">
        <v>827</v>
      </c>
      <c r="E26" s="465">
        <v>709</v>
      </c>
      <c r="F26" s="465">
        <v>85</v>
      </c>
      <c r="G26" s="465">
        <v>0</v>
      </c>
      <c r="H26" s="465">
        <v>0</v>
      </c>
      <c r="I26" s="465">
        <v>0</v>
      </c>
      <c r="J26" s="465">
        <v>0</v>
      </c>
      <c r="K26" s="465">
        <v>0</v>
      </c>
      <c r="L26" s="465">
        <v>0</v>
      </c>
      <c r="M26" s="465">
        <v>0</v>
      </c>
      <c r="N26" s="465">
        <v>0</v>
      </c>
      <c r="O26" s="465">
        <v>0</v>
      </c>
      <c r="P26" s="467">
        <f>SUM(Tabla14[[#This Row],[Enero]:[Diciembre]])</f>
        <v>1621</v>
      </c>
    </row>
    <row r="27" spans="1:16" x14ac:dyDescent="0.25">
      <c r="A27" s="469" t="s">
        <v>425</v>
      </c>
      <c r="B27" s="460" t="s">
        <v>426</v>
      </c>
      <c r="C27" s="460" t="s">
        <v>423</v>
      </c>
      <c r="D27" s="465">
        <v>259</v>
      </c>
      <c r="E27" s="465">
        <v>224</v>
      </c>
      <c r="F27" s="465">
        <v>84</v>
      </c>
      <c r="G27" s="465">
        <v>97</v>
      </c>
      <c r="H27" s="465">
        <v>0</v>
      </c>
      <c r="I27" s="465">
        <v>0</v>
      </c>
      <c r="J27" s="465">
        <v>129</v>
      </c>
      <c r="K27" s="465">
        <v>59</v>
      </c>
      <c r="L27" s="465">
        <v>128</v>
      </c>
      <c r="M27" s="465">
        <v>158</v>
      </c>
      <c r="N27" s="465">
        <v>57</v>
      </c>
      <c r="O27" s="465">
        <v>98</v>
      </c>
      <c r="P27" s="467">
        <f>SUM(Tabla14[[#This Row],[Enero]:[Diciembre]])</f>
        <v>1293</v>
      </c>
    </row>
    <row r="28" spans="1:16" x14ac:dyDescent="0.25">
      <c r="A28" s="469" t="s">
        <v>427</v>
      </c>
      <c r="B28" s="460" t="s">
        <v>406</v>
      </c>
      <c r="C28" s="460" t="s">
        <v>423</v>
      </c>
      <c r="D28" s="465">
        <v>0</v>
      </c>
      <c r="E28" s="465">
        <v>0</v>
      </c>
      <c r="F28" s="465">
        <v>0</v>
      </c>
      <c r="G28" s="465">
        <v>0</v>
      </c>
      <c r="H28" s="465">
        <v>70</v>
      </c>
      <c r="I28" s="465">
        <v>1347</v>
      </c>
      <c r="J28" s="465">
        <v>1938</v>
      </c>
      <c r="K28" s="465">
        <v>1878</v>
      </c>
      <c r="L28" s="465">
        <v>1850</v>
      </c>
      <c r="M28" s="465">
        <v>1823</v>
      </c>
      <c r="N28" s="465">
        <v>2270</v>
      </c>
      <c r="O28" s="465">
        <v>1879</v>
      </c>
      <c r="P28" s="467">
        <f>SUM(Tabla14[[#This Row],[Enero]:[Diciembre]])</f>
        <v>13055</v>
      </c>
    </row>
    <row r="29" spans="1:16" x14ac:dyDescent="0.25">
      <c r="A29" s="469" t="s">
        <v>428</v>
      </c>
      <c r="B29" s="460" t="s">
        <v>426</v>
      </c>
      <c r="C29" s="460" t="s">
        <v>423</v>
      </c>
      <c r="D29" s="465">
        <v>0</v>
      </c>
      <c r="E29" s="465">
        <v>0</v>
      </c>
      <c r="F29" s="465">
        <v>0</v>
      </c>
      <c r="G29" s="465">
        <v>0</v>
      </c>
      <c r="H29" s="465">
        <v>0</v>
      </c>
      <c r="I29" s="465">
        <v>0</v>
      </c>
      <c r="J29" s="465">
        <v>484</v>
      </c>
      <c r="K29" s="465">
        <v>1046</v>
      </c>
      <c r="L29" s="465">
        <v>1524</v>
      </c>
      <c r="M29" s="465">
        <v>896</v>
      </c>
      <c r="N29" s="465">
        <v>711</v>
      </c>
      <c r="O29" s="465">
        <v>775</v>
      </c>
      <c r="P29" s="467">
        <f>SUM(Tabla14[[#This Row],[Enero]:[Diciembre]])</f>
        <v>5436</v>
      </c>
    </row>
    <row r="30" spans="1:16" x14ac:dyDescent="0.25">
      <c r="A30" s="471" t="s">
        <v>405</v>
      </c>
      <c r="B30" s="471" t="s">
        <v>408</v>
      </c>
      <c r="C30" s="471" t="s">
        <v>410</v>
      </c>
      <c r="D30" s="465">
        <v>5983</v>
      </c>
      <c r="E30" s="465">
        <v>6463</v>
      </c>
      <c r="F30" s="465">
        <v>5526</v>
      </c>
      <c r="G30" s="465">
        <v>8084</v>
      </c>
      <c r="H30" s="465">
        <v>6021</v>
      </c>
      <c r="I30" s="465">
        <v>5806</v>
      </c>
      <c r="J30" s="465">
        <v>14581</v>
      </c>
      <c r="K30" s="465">
        <v>6308</v>
      </c>
      <c r="L30" s="465">
        <v>5898</v>
      </c>
      <c r="M30" s="465">
        <v>7565</v>
      </c>
      <c r="N30" s="465">
        <v>6317</v>
      </c>
      <c r="O30" s="465">
        <v>1034</v>
      </c>
      <c r="P30" s="467">
        <f>SUM(Tabla14[[#This Row],[Enero]:[Diciembre]])</f>
        <v>79586</v>
      </c>
    </row>
    <row r="31" spans="1:16" x14ac:dyDescent="0.25">
      <c r="A31" s="472" t="s">
        <v>429</v>
      </c>
      <c r="B31" s="471" t="s">
        <v>408</v>
      </c>
      <c r="C31" s="471" t="s">
        <v>360</v>
      </c>
      <c r="D31" s="465">
        <v>1658</v>
      </c>
      <c r="E31" s="465">
        <v>1975</v>
      </c>
      <c r="F31" s="465">
        <v>374</v>
      </c>
      <c r="G31" s="465">
        <v>146</v>
      </c>
      <c r="H31" s="465">
        <v>0</v>
      </c>
      <c r="I31" s="465">
        <v>0</v>
      </c>
      <c r="J31" s="465">
        <v>215</v>
      </c>
      <c r="K31" s="465">
        <v>0</v>
      </c>
      <c r="L31" s="465">
        <v>90</v>
      </c>
      <c r="M31" s="465">
        <v>261</v>
      </c>
      <c r="N31" s="465">
        <v>376</v>
      </c>
      <c r="O31" s="465">
        <v>130</v>
      </c>
      <c r="P31" s="467">
        <f>SUM(Tabla14[[#This Row],[Enero]:[Diciembre]])</f>
        <v>5225</v>
      </c>
    </row>
    <row r="32" spans="1:16" x14ac:dyDescent="0.25">
      <c r="A32" s="472" t="s">
        <v>430</v>
      </c>
      <c r="B32" s="471" t="s">
        <v>408</v>
      </c>
      <c r="C32" s="473" t="s">
        <v>360</v>
      </c>
      <c r="D32" s="465">
        <v>0</v>
      </c>
      <c r="E32" s="465">
        <v>0</v>
      </c>
      <c r="F32" s="465">
        <v>0</v>
      </c>
      <c r="G32" s="465">
        <v>166</v>
      </c>
      <c r="H32" s="465">
        <v>78</v>
      </c>
      <c r="I32" s="465">
        <v>75</v>
      </c>
      <c r="J32" s="465">
        <v>150</v>
      </c>
      <c r="K32" s="465">
        <v>37</v>
      </c>
      <c r="L32" s="465">
        <v>78</v>
      </c>
      <c r="M32" s="465">
        <v>487</v>
      </c>
      <c r="N32" s="465">
        <v>47</v>
      </c>
      <c r="O32" s="465">
        <v>123</v>
      </c>
      <c r="P32" s="467">
        <f>SUM(Tabla14[[#This Row],[Enero]:[Diciembre]])</f>
        <v>1241</v>
      </c>
    </row>
    <row r="33" spans="1:16" ht="15.75" thickBot="1" x14ac:dyDescent="0.3">
      <c r="A33" s="472" t="s">
        <v>431</v>
      </c>
      <c r="B33" s="471" t="s">
        <v>408</v>
      </c>
      <c r="C33" s="471" t="s">
        <v>360</v>
      </c>
      <c r="D33" s="465">
        <v>5164</v>
      </c>
      <c r="E33" s="465">
        <v>3939</v>
      </c>
      <c r="F33" s="465">
        <v>1467</v>
      </c>
      <c r="G33" s="465">
        <v>1169</v>
      </c>
      <c r="H33" s="465">
        <v>282</v>
      </c>
      <c r="I33" s="465">
        <v>498</v>
      </c>
      <c r="J33" s="465">
        <v>1759</v>
      </c>
      <c r="K33" s="465">
        <v>727</v>
      </c>
      <c r="L33" s="465">
        <v>515</v>
      </c>
      <c r="M33" s="465">
        <v>5468</v>
      </c>
      <c r="N33" s="465">
        <v>2274</v>
      </c>
      <c r="O33" s="465">
        <v>881</v>
      </c>
      <c r="P33" s="467">
        <f>SUM(Tabla14[[#This Row],[Enero]:[Diciembre]])</f>
        <v>24143</v>
      </c>
    </row>
    <row r="34" spans="1:16" x14ac:dyDescent="0.25">
      <c r="A34" s="474"/>
      <c r="B34" s="475" t="s">
        <v>323</v>
      </c>
      <c r="C34" s="475" t="s">
        <v>325</v>
      </c>
      <c r="D34" s="476">
        <f>SUM(D5:D17)</f>
        <v>231714</v>
      </c>
      <c r="E34" s="476">
        <f t="shared" ref="E34:P34" si="0">SUM(E5:E17)</f>
        <v>222595</v>
      </c>
      <c r="F34" s="476">
        <f t="shared" si="0"/>
        <v>224276</v>
      </c>
      <c r="G34" s="476">
        <f t="shared" si="0"/>
        <v>205255</v>
      </c>
      <c r="H34" s="476">
        <f t="shared" si="0"/>
        <v>189715</v>
      </c>
      <c r="I34" s="476">
        <f t="shared" si="0"/>
        <v>171561</v>
      </c>
      <c r="J34" s="476">
        <f t="shared" si="0"/>
        <v>183578</v>
      </c>
      <c r="K34" s="476">
        <f t="shared" si="0"/>
        <v>131863</v>
      </c>
      <c r="L34" s="476">
        <f t="shared" si="0"/>
        <v>136064</v>
      </c>
      <c r="M34" s="476">
        <f t="shared" si="0"/>
        <v>144251</v>
      </c>
      <c r="N34" s="476">
        <f t="shared" si="0"/>
        <v>140141</v>
      </c>
      <c r="O34" s="476">
        <f t="shared" si="0"/>
        <v>178610</v>
      </c>
      <c r="P34" s="476">
        <f t="shared" si="0"/>
        <v>2159623</v>
      </c>
    </row>
    <row r="35" spans="1:16" x14ac:dyDescent="0.25">
      <c r="A35" s="477"/>
      <c r="B35" s="478" t="s">
        <v>323</v>
      </c>
      <c r="C35" s="478" t="s">
        <v>339</v>
      </c>
      <c r="D35" s="479">
        <f t="shared" ref="D35:P35" si="1">SUM(D18:D24)</f>
        <v>49741</v>
      </c>
      <c r="E35" s="479">
        <f t="shared" si="1"/>
        <v>53880</v>
      </c>
      <c r="F35" s="479">
        <f t="shared" si="1"/>
        <v>43314</v>
      </c>
      <c r="G35" s="479">
        <f t="shared" si="1"/>
        <v>47699</v>
      </c>
      <c r="H35" s="479">
        <f t="shared" si="1"/>
        <v>45489</v>
      </c>
      <c r="I35" s="479">
        <f t="shared" si="1"/>
        <v>43643</v>
      </c>
      <c r="J35" s="479">
        <f t="shared" si="1"/>
        <v>81575</v>
      </c>
      <c r="K35" s="479">
        <f t="shared" si="1"/>
        <v>63831</v>
      </c>
      <c r="L35" s="479">
        <f t="shared" si="1"/>
        <v>78026</v>
      </c>
      <c r="M35" s="479">
        <f t="shared" si="1"/>
        <v>97847</v>
      </c>
      <c r="N35" s="479">
        <f t="shared" si="1"/>
        <v>91763</v>
      </c>
      <c r="O35" s="479">
        <f t="shared" si="1"/>
        <v>95995</v>
      </c>
      <c r="P35" s="479">
        <f t="shared" si="1"/>
        <v>792803</v>
      </c>
    </row>
    <row r="36" spans="1:16" x14ac:dyDescent="0.25">
      <c r="A36" s="477"/>
      <c r="B36" s="478" t="s">
        <v>323</v>
      </c>
      <c r="C36" s="478" t="s">
        <v>406</v>
      </c>
      <c r="D36" s="479">
        <f>+D25+D26+D28</f>
        <v>3681</v>
      </c>
      <c r="E36" s="479">
        <f t="shared" ref="E36:P36" si="2">+E25+E26+E28</f>
        <v>2934</v>
      </c>
      <c r="F36" s="479">
        <f t="shared" si="2"/>
        <v>2055</v>
      </c>
      <c r="G36" s="479">
        <f t="shared" si="2"/>
        <v>1632</v>
      </c>
      <c r="H36" s="479">
        <f t="shared" si="2"/>
        <v>1425</v>
      </c>
      <c r="I36" s="479">
        <f t="shared" si="2"/>
        <v>2736</v>
      </c>
      <c r="J36" s="479">
        <f t="shared" si="2"/>
        <v>4471</v>
      </c>
      <c r="K36" s="479">
        <f t="shared" si="2"/>
        <v>3903</v>
      </c>
      <c r="L36" s="479">
        <f t="shared" si="2"/>
        <v>3971</v>
      </c>
      <c r="M36" s="479">
        <f t="shared" si="2"/>
        <v>4696</v>
      </c>
      <c r="N36" s="479">
        <f t="shared" si="2"/>
        <v>4726</v>
      </c>
      <c r="O36" s="479">
        <f t="shared" si="2"/>
        <v>4681</v>
      </c>
      <c r="P36" s="479">
        <f t="shared" si="2"/>
        <v>40911</v>
      </c>
    </row>
    <row r="37" spans="1:16" x14ac:dyDescent="0.25">
      <c r="A37" s="477"/>
      <c r="B37" s="478" t="s">
        <v>323</v>
      </c>
      <c r="C37" s="478" t="s">
        <v>426</v>
      </c>
      <c r="D37" s="479">
        <f>+D27+D29+D30+D31+D32+D33</f>
        <v>13064</v>
      </c>
      <c r="E37" s="479">
        <f t="shared" ref="E37:P37" si="3">+E27+E29+E30+E31+E32+E33</f>
        <v>12601</v>
      </c>
      <c r="F37" s="479">
        <f t="shared" si="3"/>
        <v>7451</v>
      </c>
      <c r="G37" s="479">
        <f t="shared" si="3"/>
        <v>9662</v>
      </c>
      <c r="H37" s="479">
        <f t="shared" si="3"/>
        <v>6381</v>
      </c>
      <c r="I37" s="479">
        <f t="shared" si="3"/>
        <v>6379</v>
      </c>
      <c r="J37" s="479">
        <f t="shared" si="3"/>
        <v>17318</v>
      </c>
      <c r="K37" s="479">
        <f t="shared" si="3"/>
        <v>8177</v>
      </c>
      <c r="L37" s="479">
        <f t="shared" si="3"/>
        <v>8233</v>
      </c>
      <c r="M37" s="479">
        <f t="shared" si="3"/>
        <v>14835</v>
      </c>
      <c r="N37" s="479">
        <f t="shared" si="3"/>
        <v>9782</v>
      </c>
      <c r="O37" s="479">
        <f t="shared" si="3"/>
        <v>3041</v>
      </c>
      <c r="P37" s="479">
        <f t="shared" si="3"/>
        <v>116924</v>
      </c>
    </row>
    <row r="39" spans="1:16" x14ac:dyDescent="0.25">
      <c r="A39" s="480" t="s">
        <v>432</v>
      </c>
      <c r="P39" s="459"/>
    </row>
    <row r="40" spans="1:16" x14ac:dyDescent="0.25">
      <c r="A40" s="480" t="s">
        <v>433</v>
      </c>
    </row>
    <row r="41" spans="1:16" x14ac:dyDescent="0.25">
      <c r="A41" s="480" t="s">
        <v>434</v>
      </c>
    </row>
    <row r="42" spans="1:16" x14ac:dyDescent="0.25">
      <c r="A42" s="480" t="s">
        <v>435</v>
      </c>
    </row>
    <row r="43" spans="1:16" x14ac:dyDescent="0.25">
      <c r="A43" s="481" t="s">
        <v>436</v>
      </c>
    </row>
    <row r="44" spans="1:16" x14ac:dyDescent="0.25">
      <c r="A44" s="481" t="s">
        <v>437</v>
      </c>
    </row>
    <row r="45" spans="1:16" x14ac:dyDescent="0.25">
      <c r="A45" s="481" t="s">
        <v>438</v>
      </c>
    </row>
  </sheetData>
  <mergeCells count="1">
    <mergeCell ref="A2:P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4"/>
  <sheetViews>
    <sheetView showGridLines="0" showRowColHeaders="0" showRuler="0" view="pageLayout" topLeftCell="A2" zoomScaleNormal="100" workbookViewId="0">
      <selection activeCell="A2" sqref="A2:N24"/>
    </sheetView>
  </sheetViews>
  <sheetFormatPr baseColWidth="10" defaultRowHeight="11.25" x14ac:dyDescent="0.2"/>
  <cols>
    <col min="1" max="1" width="18" style="108" customWidth="1"/>
    <col min="2" max="15" width="14.7109375" style="96" customWidth="1"/>
    <col min="16" max="16384" width="11.42578125" style="96"/>
  </cols>
  <sheetData>
    <row r="1" spans="1:16" x14ac:dyDescent="0.2">
      <c r="A1" s="96"/>
    </row>
    <row r="2" spans="1:16" ht="24.95" customHeight="1" x14ac:dyDescent="0.2">
      <c r="A2" s="417" t="s">
        <v>182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</row>
    <row r="4" spans="1:16" ht="12" thickBot="1" x14ac:dyDescent="0.25"/>
    <row r="5" spans="1:16" ht="13.5" customHeight="1" thickBot="1" x14ac:dyDescent="0.25">
      <c r="A5" s="113" t="s">
        <v>176</v>
      </c>
      <c r="B5" s="114">
        <v>1994</v>
      </c>
      <c r="C5" s="114">
        <v>1995</v>
      </c>
      <c r="D5" s="114">
        <v>1996</v>
      </c>
      <c r="E5" s="114">
        <v>1997</v>
      </c>
      <c r="F5" s="114">
        <v>1998</v>
      </c>
      <c r="G5" s="114">
        <v>1999</v>
      </c>
      <c r="H5" s="114">
        <v>2000</v>
      </c>
      <c r="I5" s="114">
        <v>2001</v>
      </c>
      <c r="J5" s="114">
        <v>2002</v>
      </c>
      <c r="K5" s="114">
        <v>2003</v>
      </c>
      <c r="L5" s="114">
        <v>2004</v>
      </c>
      <c r="M5" s="114">
        <v>2005</v>
      </c>
      <c r="N5" s="114">
        <v>2006</v>
      </c>
    </row>
    <row r="6" spans="1:16" ht="12" customHeight="1" thickBot="1" x14ac:dyDescent="0.25">
      <c r="A6" s="125" t="s">
        <v>170</v>
      </c>
      <c r="B6" s="115">
        <v>2057829</v>
      </c>
      <c r="C6" s="115">
        <v>2206482</v>
      </c>
      <c r="D6" s="115">
        <v>2437859</v>
      </c>
      <c r="E6" s="116">
        <v>2529884</v>
      </c>
      <c r="F6" s="116">
        <v>2301674</v>
      </c>
      <c r="G6" s="116">
        <v>2083927</v>
      </c>
      <c r="H6" s="116">
        <v>1868449</v>
      </c>
      <c r="I6" s="116">
        <v>1484443</v>
      </c>
      <c r="J6" s="116">
        <v>1216081</v>
      </c>
      <c r="K6" s="116">
        <v>1739216</v>
      </c>
      <c r="L6" s="116">
        <v>1836427</v>
      </c>
      <c r="M6" s="116">
        <v>1816790</v>
      </c>
      <c r="N6" s="117">
        <v>1823779</v>
      </c>
    </row>
    <row r="7" spans="1:16" ht="12" customHeight="1" thickBot="1" x14ac:dyDescent="0.25">
      <c r="A7" s="125" t="s">
        <v>177</v>
      </c>
      <c r="B7" s="118"/>
      <c r="C7" s="118"/>
      <c r="D7" s="115">
        <v>21781</v>
      </c>
      <c r="E7" s="116">
        <v>24806</v>
      </c>
      <c r="F7" s="116">
        <v>32742</v>
      </c>
      <c r="G7" s="116">
        <v>22376</v>
      </c>
      <c r="H7" s="116">
        <v>9161</v>
      </c>
      <c r="I7" s="116">
        <v>6975</v>
      </c>
      <c r="J7" s="116"/>
      <c r="K7" s="116"/>
      <c r="L7" s="116"/>
      <c r="M7" s="119"/>
      <c r="N7" s="120"/>
      <c r="O7" s="109"/>
      <c r="P7" s="102"/>
    </row>
    <row r="8" spans="1:16" ht="12" customHeight="1" thickBot="1" x14ac:dyDescent="0.25">
      <c r="A8" s="125" t="s">
        <v>178</v>
      </c>
      <c r="B8" s="118"/>
      <c r="C8" s="118"/>
      <c r="D8" s="118"/>
      <c r="E8" s="119"/>
      <c r="F8" s="119"/>
      <c r="G8" s="121">
        <v>52398</v>
      </c>
      <c r="H8" s="116">
        <v>55184</v>
      </c>
      <c r="I8" s="116">
        <v>67472</v>
      </c>
      <c r="J8" s="116">
        <v>65437</v>
      </c>
      <c r="K8" s="116">
        <v>41520</v>
      </c>
      <c r="L8" s="119"/>
      <c r="M8" s="116"/>
      <c r="N8" s="117"/>
      <c r="O8" s="109"/>
      <c r="P8" s="102"/>
    </row>
    <row r="9" spans="1:16" ht="12" customHeight="1" thickBot="1" x14ac:dyDescent="0.25">
      <c r="A9" s="125" t="s">
        <v>174</v>
      </c>
      <c r="B9" s="115">
        <v>147276</v>
      </c>
      <c r="C9" s="115">
        <v>116306</v>
      </c>
      <c r="D9" s="115">
        <v>38636</v>
      </c>
      <c r="E9" s="116">
        <v>17403</v>
      </c>
      <c r="F9" s="116">
        <v>67461</v>
      </c>
      <c r="G9" s="116">
        <v>74548</v>
      </c>
      <c r="H9" s="116">
        <v>16621</v>
      </c>
      <c r="I9" s="116"/>
      <c r="J9" s="116"/>
      <c r="K9" s="116"/>
      <c r="L9" s="116"/>
      <c r="M9" s="116"/>
      <c r="N9" s="123"/>
      <c r="O9" s="109"/>
      <c r="P9" s="102"/>
    </row>
    <row r="10" spans="1:16" ht="12" customHeight="1" thickBot="1" x14ac:dyDescent="0.25">
      <c r="A10" s="125" t="s">
        <v>175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16">
        <v>8460</v>
      </c>
      <c r="M10" s="116">
        <v>48426</v>
      </c>
      <c r="N10" s="117">
        <v>149922</v>
      </c>
      <c r="O10" s="109"/>
      <c r="P10" s="102"/>
    </row>
    <row r="11" spans="1:16" ht="12" customHeight="1" thickBot="1" x14ac:dyDescent="0.25">
      <c r="A11" s="126" t="s">
        <v>116</v>
      </c>
      <c r="B11" s="122"/>
      <c r="C11" s="122"/>
      <c r="D11" s="122"/>
      <c r="E11" s="122"/>
      <c r="F11" s="116">
        <v>78826</v>
      </c>
      <c r="G11" s="116">
        <v>149886</v>
      </c>
      <c r="H11" s="116">
        <v>310560</v>
      </c>
      <c r="I11" s="116">
        <v>297863</v>
      </c>
      <c r="J11" s="116">
        <v>453733</v>
      </c>
      <c r="K11" s="116">
        <v>594537</v>
      </c>
      <c r="L11" s="116">
        <v>649952</v>
      </c>
      <c r="M11" s="116">
        <v>637077</v>
      </c>
      <c r="N11" s="117">
        <v>613750</v>
      </c>
    </row>
    <row r="12" spans="1:16" ht="12" customHeight="1" thickBot="1" x14ac:dyDescent="0.25">
      <c r="A12" s="125" t="s">
        <v>172</v>
      </c>
      <c r="B12" s="115">
        <v>8192</v>
      </c>
      <c r="C12" s="115">
        <v>9570</v>
      </c>
      <c r="D12" s="115">
        <v>11202</v>
      </c>
      <c r="E12" s="116">
        <v>7313</v>
      </c>
      <c r="F12" s="116">
        <v>19474</v>
      </c>
      <c r="G12" s="116">
        <v>16001</v>
      </c>
      <c r="H12" s="116">
        <v>13732</v>
      </c>
      <c r="I12" s="116">
        <v>11872</v>
      </c>
      <c r="J12" s="116">
        <v>9659</v>
      </c>
      <c r="K12" s="116">
        <v>20331</v>
      </c>
      <c r="L12" s="116">
        <v>24264</v>
      </c>
      <c r="M12" s="116">
        <v>26664</v>
      </c>
      <c r="N12" s="117">
        <v>23073</v>
      </c>
    </row>
    <row r="13" spans="1:16" ht="12" customHeight="1" thickBot="1" x14ac:dyDescent="0.25">
      <c r="A13" s="125" t="s">
        <v>171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17">
        <v>36370</v>
      </c>
    </row>
    <row r="14" spans="1:16" ht="12" customHeight="1" thickBot="1" x14ac:dyDescent="0.25">
      <c r="A14" s="125" t="s">
        <v>164</v>
      </c>
      <c r="B14" s="115">
        <v>51305</v>
      </c>
      <c r="C14" s="115">
        <v>64215</v>
      </c>
      <c r="D14" s="115">
        <v>60630</v>
      </c>
      <c r="E14" s="116">
        <v>60681</v>
      </c>
      <c r="F14" s="116">
        <v>64713</v>
      </c>
      <c r="G14" s="116">
        <v>80329</v>
      </c>
      <c r="H14" s="116">
        <v>80348</v>
      </c>
      <c r="I14" s="116">
        <v>78493</v>
      </c>
      <c r="J14" s="116">
        <v>85819</v>
      </c>
      <c r="K14" s="116">
        <v>130286</v>
      </c>
      <c r="L14" s="116">
        <v>124588</v>
      </c>
      <c r="M14" s="116">
        <v>117832</v>
      </c>
      <c r="N14" s="117">
        <v>126611</v>
      </c>
    </row>
    <row r="15" spans="1:16" ht="12" customHeight="1" thickBot="1" x14ac:dyDescent="0.25">
      <c r="A15" s="125" t="s">
        <v>173</v>
      </c>
      <c r="B15" s="118"/>
      <c r="C15" s="118"/>
      <c r="D15" s="118"/>
      <c r="E15" s="119"/>
      <c r="F15" s="116">
        <v>24845</v>
      </c>
      <c r="G15" s="116">
        <v>29053</v>
      </c>
      <c r="H15" s="116">
        <v>19610</v>
      </c>
      <c r="I15" s="116">
        <v>14879</v>
      </c>
      <c r="J15" s="116">
        <v>16541</v>
      </c>
      <c r="K15" s="116">
        <v>20555</v>
      </c>
      <c r="L15" s="116">
        <v>15004</v>
      </c>
      <c r="M15" s="116">
        <v>3346</v>
      </c>
      <c r="N15" s="123"/>
    </row>
    <row r="16" spans="1:16" ht="12" customHeight="1" thickBot="1" x14ac:dyDescent="0.25">
      <c r="A16" s="125" t="s">
        <v>166</v>
      </c>
      <c r="B16" s="122"/>
      <c r="C16" s="122"/>
      <c r="D16" s="122"/>
      <c r="E16" s="116">
        <v>7142</v>
      </c>
      <c r="F16" s="116">
        <v>66466</v>
      </c>
      <c r="G16" s="116">
        <v>63512</v>
      </c>
      <c r="H16" s="116">
        <v>83642</v>
      </c>
      <c r="I16" s="116">
        <v>54300</v>
      </c>
      <c r="J16" s="116">
        <v>10914</v>
      </c>
      <c r="K16" s="116">
        <v>22067</v>
      </c>
      <c r="L16" s="116">
        <v>34064</v>
      </c>
      <c r="M16" s="116">
        <v>35159</v>
      </c>
      <c r="N16" s="117">
        <v>30143</v>
      </c>
    </row>
    <row r="17" spans="1:59" ht="12" customHeight="1" thickBot="1" x14ac:dyDescent="0.25">
      <c r="A17" s="125" t="s">
        <v>24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4">
        <v>5003</v>
      </c>
      <c r="L17" s="124">
        <v>10382</v>
      </c>
      <c r="M17" s="124">
        <v>8809</v>
      </c>
      <c r="N17" s="128">
        <v>11056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</row>
    <row r="18" spans="1:59" ht="12" customHeight="1" thickBot="1" x14ac:dyDescent="0.25">
      <c r="A18" s="127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59" s="111" customFormat="1" ht="12" customHeight="1" thickBot="1" x14ac:dyDescent="0.25">
      <c r="A19" s="129" t="s">
        <v>13</v>
      </c>
      <c r="B19" s="130">
        <f>SUM(B6:B17)</f>
        <v>2264602</v>
      </c>
      <c r="C19" s="130">
        <f t="shared" ref="C19:N19" si="0">SUM(C6:C17)</f>
        <v>2396573</v>
      </c>
      <c r="D19" s="130">
        <f t="shared" si="0"/>
        <v>2570108</v>
      </c>
      <c r="E19" s="130">
        <f t="shared" si="0"/>
        <v>2647229</v>
      </c>
      <c r="F19" s="130">
        <f t="shared" si="0"/>
        <v>2656201</v>
      </c>
      <c r="G19" s="130">
        <f t="shared" si="0"/>
        <v>2572030</v>
      </c>
      <c r="H19" s="130">
        <f t="shared" si="0"/>
        <v>2457307</v>
      </c>
      <c r="I19" s="130">
        <f t="shared" si="0"/>
        <v>2016297</v>
      </c>
      <c r="J19" s="130">
        <f t="shared" si="0"/>
        <v>1858184</v>
      </c>
      <c r="K19" s="130">
        <f t="shared" si="0"/>
        <v>2573515</v>
      </c>
      <c r="L19" s="130">
        <f t="shared" si="0"/>
        <v>2703141</v>
      </c>
      <c r="M19" s="130">
        <f t="shared" si="0"/>
        <v>2694103</v>
      </c>
      <c r="N19" s="130">
        <f t="shared" si="0"/>
        <v>2814704</v>
      </c>
    </row>
    <row r="21" spans="1:59" x14ac:dyDescent="0.2">
      <c r="A21" s="28" t="s">
        <v>27</v>
      </c>
    </row>
    <row r="22" spans="1:59" x14ac:dyDescent="0.2">
      <c r="A22" s="5" t="s">
        <v>167</v>
      </c>
    </row>
    <row r="23" spans="1:59" x14ac:dyDescent="0.2">
      <c r="A23" s="5" t="s">
        <v>28</v>
      </c>
    </row>
    <row r="44" spans="7:7" x14ac:dyDescent="0.2">
      <c r="G44" s="112"/>
    </row>
  </sheetData>
  <mergeCells count="1">
    <mergeCell ref="A2:N2"/>
  </mergeCells>
  <phoneticPr fontId="0" type="noConversion"/>
  <pageMargins left="1" right="1" top="1" bottom="1" header="0.5" footer="0.5"/>
  <pageSetup paperSize="9" scale="60" orientation="landscape" r:id="rId1"/>
  <headerFooter alignWithMargins="0"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showRowColHeaders="0" showRuler="0" view="pageLayout" zoomScaleNormal="100" workbookViewId="0">
      <selection activeCell="N26" sqref="N26"/>
    </sheetView>
  </sheetViews>
  <sheetFormatPr baseColWidth="10" defaultRowHeight="12.75" x14ac:dyDescent="0.2"/>
  <cols>
    <col min="1" max="1" width="20.85546875" customWidth="1"/>
    <col min="2" max="13" width="7.7109375" customWidth="1"/>
    <col min="14" max="14" width="10.140625" customWidth="1"/>
  </cols>
  <sheetData>
    <row r="1" spans="1:18" x14ac:dyDescent="0.2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8" s="62" customFormat="1" ht="24.95" customHeight="1" x14ac:dyDescent="0.2">
      <c r="A2" s="417" t="s">
        <v>162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</row>
    <row r="3" spans="1:18" ht="13.5" thickBo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8" s="62" customFormat="1" ht="13.5" thickBot="1" x14ac:dyDescent="0.25">
      <c r="A4" s="106" t="s">
        <v>0</v>
      </c>
      <c r="B4" s="73" t="s">
        <v>1</v>
      </c>
      <c r="C4" s="73" t="s">
        <v>2</v>
      </c>
      <c r="D4" s="73" t="s">
        <v>3</v>
      </c>
      <c r="E4" s="73" t="s">
        <v>4</v>
      </c>
      <c r="F4" s="73" t="s">
        <v>5</v>
      </c>
      <c r="G4" s="73" t="s">
        <v>6</v>
      </c>
      <c r="H4" s="73" t="s">
        <v>7</v>
      </c>
      <c r="I4" s="73" t="s">
        <v>8</v>
      </c>
      <c r="J4" s="73" t="s">
        <v>9</v>
      </c>
      <c r="K4" s="73" t="s">
        <v>10</v>
      </c>
      <c r="L4" s="73" t="s">
        <v>11</v>
      </c>
      <c r="M4" s="73" t="s">
        <v>12</v>
      </c>
      <c r="N4" s="83" t="s">
        <v>13</v>
      </c>
      <c r="O4" s="63"/>
      <c r="P4" s="63"/>
      <c r="Q4" s="63"/>
      <c r="R4" s="63"/>
    </row>
    <row r="5" spans="1:18" s="5" customFormat="1" ht="11.25" x14ac:dyDescent="0.2">
      <c r="A5" s="276" t="s">
        <v>116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8"/>
    </row>
    <row r="6" spans="1:18" s="5" customFormat="1" ht="11.25" x14ac:dyDescent="0.2">
      <c r="A6" s="279" t="s">
        <v>152</v>
      </c>
      <c r="B6" s="277">
        <v>28062</v>
      </c>
      <c r="C6" s="277">
        <v>29960</v>
      </c>
      <c r="D6" s="277">
        <v>20344</v>
      </c>
      <c r="E6" s="277">
        <v>12421</v>
      </c>
      <c r="F6" s="277">
        <v>33166</v>
      </c>
      <c r="G6" s="277">
        <v>27426</v>
      </c>
      <c r="H6" s="277">
        <v>29728</v>
      </c>
      <c r="I6" s="277">
        <v>25938</v>
      </c>
      <c r="J6" s="277">
        <v>27763</v>
      </c>
      <c r="K6" s="277">
        <v>25410</v>
      </c>
      <c r="L6" s="277">
        <v>24891</v>
      </c>
      <c r="M6" s="277">
        <v>29093</v>
      </c>
      <c r="N6" s="278">
        <f>SUM(B6:M6)</f>
        <v>314202</v>
      </c>
    </row>
    <row r="7" spans="1:18" s="5" customFormat="1" ht="12" thickBot="1" x14ac:dyDescent="0.25">
      <c r="A7" s="279" t="s">
        <v>118</v>
      </c>
      <c r="B7" s="277">
        <v>13952</v>
      </c>
      <c r="C7" s="277">
        <v>10732</v>
      </c>
      <c r="D7" s="277">
        <v>11929</v>
      </c>
      <c r="E7" s="277">
        <v>22136</v>
      </c>
      <c r="F7" s="277">
        <v>11297</v>
      </c>
      <c r="G7" s="277">
        <v>11077</v>
      </c>
      <c r="H7" s="277">
        <v>12363</v>
      </c>
      <c r="I7" s="277">
        <v>11473</v>
      </c>
      <c r="J7" s="277">
        <v>11951</v>
      </c>
      <c r="K7" s="277">
        <v>13184</v>
      </c>
      <c r="L7" s="277">
        <v>11695</v>
      </c>
      <c r="M7" s="277">
        <v>14914</v>
      </c>
      <c r="N7" s="278">
        <f>SUM(B7:M7)</f>
        <v>156703</v>
      </c>
    </row>
    <row r="8" spans="1:18" s="5" customFormat="1" ht="12" thickBot="1" x14ac:dyDescent="0.25">
      <c r="A8" s="106" t="s">
        <v>119</v>
      </c>
      <c r="B8" s="74">
        <f t="shared" ref="B8:I8" si="0">SUM(B6:B7)</f>
        <v>42014</v>
      </c>
      <c r="C8" s="74">
        <f t="shared" si="0"/>
        <v>40692</v>
      </c>
      <c r="D8" s="74">
        <f t="shared" si="0"/>
        <v>32273</v>
      </c>
      <c r="E8" s="74">
        <f t="shared" si="0"/>
        <v>34557</v>
      </c>
      <c r="F8" s="74">
        <f t="shared" si="0"/>
        <v>44463</v>
      </c>
      <c r="G8" s="74">
        <f t="shared" si="0"/>
        <v>38503</v>
      </c>
      <c r="H8" s="74">
        <f t="shared" si="0"/>
        <v>42091</v>
      </c>
      <c r="I8" s="74">
        <f t="shared" si="0"/>
        <v>37411</v>
      </c>
      <c r="J8" s="74">
        <f>SUM(J6:J7)</f>
        <v>39714</v>
      </c>
      <c r="K8" s="74">
        <f>SUM(K6:K7)</f>
        <v>38594</v>
      </c>
      <c r="L8" s="74">
        <f>SUM(L6:L7)</f>
        <v>36586</v>
      </c>
      <c r="M8" s="74">
        <f>SUM(M6:M7)</f>
        <v>44007</v>
      </c>
      <c r="N8" s="75">
        <f>SUM(B8:M8)</f>
        <v>470905</v>
      </c>
    </row>
    <row r="9" spans="1:18" x14ac:dyDescent="0.2">
      <c r="A9" s="276" t="s">
        <v>20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8"/>
    </row>
    <row r="10" spans="1:18" x14ac:dyDescent="0.2">
      <c r="A10" s="279" t="s">
        <v>154</v>
      </c>
      <c r="B10" s="277">
        <v>4122</v>
      </c>
      <c r="C10" s="277">
        <v>4111</v>
      </c>
      <c r="D10" s="277">
        <v>3182</v>
      </c>
      <c r="E10" s="277">
        <v>2574</v>
      </c>
      <c r="F10" s="277">
        <v>2310</v>
      </c>
      <c r="G10" s="277">
        <v>2787</v>
      </c>
      <c r="H10" s="277">
        <v>3867</v>
      </c>
      <c r="I10" s="277">
        <v>2849</v>
      </c>
      <c r="J10" s="277">
        <v>3277</v>
      </c>
      <c r="K10" s="277">
        <v>4240</v>
      </c>
      <c r="L10" s="277">
        <v>3406</v>
      </c>
      <c r="M10" s="277">
        <v>3871</v>
      </c>
      <c r="N10" s="278">
        <f>SUM(B10:M10)</f>
        <v>40596</v>
      </c>
    </row>
    <row r="11" spans="1:18" x14ac:dyDescent="0.2">
      <c r="A11" s="279" t="s">
        <v>155</v>
      </c>
      <c r="B11" s="277">
        <v>8181</v>
      </c>
      <c r="C11" s="277">
        <v>6592</v>
      </c>
      <c r="D11" s="277">
        <v>6301</v>
      </c>
      <c r="E11" s="277">
        <v>5628</v>
      </c>
      <c r="F11" s="277">
        <v>5223</v>
      </c>
      <c r="G11" s="277">
        <v>4725</v>
      </c>
      <c r="H11" s="277">
        <v>7196</v>
      </c>
      <c r="I11" s="277">
        <v>5920</v>
      </c>
      <c r="J11" s="277">
        <v>5196</v>
      </c>
      <c r="K11" s="277">
        <v>6160</v>
      </c>
      <c r="L11" s="277">
        <v>7380</v>
      </c>
      <c r="M11" s="277">
        <v>6941</v>
      </c>
      <c r="N11" s="278">
        <f>SUM(B11:M11)</f>
        <v>75443</v>
      </c>
    </row>
    <row r="12" spans="1:18" x14ac:dyDescent="0.2">
      <c r="A12" s="279" t="s">
        <v>50</v>
      </c>
      <c r="B12" s="277">
        <v>12559</v>
      </c>
      <c r="C12" s="277">
        <v>10314</v>
      </c>
      <c r="D12" s="277">
        <v>9730</v>
      </c>
      <c r="E12" s="277">
        <v>7980</v>
      </c>
      <c r="F12" s="277">
        <v>6816</v>
      </c>
      <c r="G12" s="277">
        <v>6601</v>
      </c>
      <c r="H12" s="277">
        <v>10815</v>
      </c>
      <c r="I12" s="277">
        <v>9680</v>
      </c>
      <c r="J12" s="277">
        <v>7363</v>
      </c>
      <c r="K12" s="277">
        <v>8882</v>
      </c>
      <c r="L12" s="277">
        <v>8453</v>
      </c>
      <c r="M12" s="277">
        <v>9439</v>
      </c>
      <c r="N12" s="278">
        <f>SUM(B12:M12)</f>
        <v>108632</v>
      </c>
    </row>
    <row r="13" spans="1:18" ht="13.5" thickBot="1" x14ac:dyDescent="0.25">
      <c r="A13" s="279" t="s">
        <v>156</v>
      </c>
      <c r="B13" s="277"/>
      <c r="C13" s="277"/>
      <c r="D13" s="277"/>
      <c r="E13" s="277"/>
      <c r="F13" s="277"/>
      <c r="G13" s="277"/>
      <c r="H13" s="277"/>
      <c r="I13" s="277">
        <v>8297</v>
      </c>
      <c r="J13" s="277">
        <v>10095</v>
      </c>
      <c r="K13" s="277">
        <v>6230</v>
      </c>
      <c r="L13" s="277">
        <v>5703</v>
      </c>
      <c r="M13" s="277">
        <f>2528+2857</f>
        <v>5385</v>
      </c>
      <c r="N13" s="278">
        <f>SUM(I13:M13)</f>
        <v>35710</v>
      </c>
    </row>
    <row r="14" spans="1:18" ht="13.5" thickBot="1" x14ac:dyDescent="0.25">
      <c r="A14" s="104" t="s">
        <v>125</v>
      </c>
      <c r="B14" s="74">
        <f t="shared" ref="B14:L14" si="1">SUM(B10:B13)</f>
        <v>24862</v>
      </c>
      <c r="C14" s="74">
        <f t="shared" si="1"/>
        <v>21017</v>
      </c>
      <c r="D14" s="74">
        <f t="shared" si="1"/>
        <v>19213</v>
      </c>
      <c r="E14" s="74">
        <f t="shared" si="1"/>
        <v>16182</v>
      </c>
      <c r="F14" s="74">
        <f t="shared" si="1"/>
        <v>14349</v>
      </c>
      <c r="G14" s="74">
        <f t="shared" si="1"/>
        <v>14113</v>
      </c>
      <c r="H14" s="74">
        <f t="shared" si="1"/>
        <v>21878</v>
      </c>
      <c r="I14" s="74">
        <f t="shared" si="1"/>
        <v>26746</v>
      </c>
      <c r="J14" s="74">
        <f t="shared" si="1"/>
        <v>25931</v>
      </c>
      <c r="K14" s="74">
        <f t="shared" si="1"/>
        <v>25512</v>
      </c>
      <c r="L14" s="74">
        <f t="shared" si="1"/>
        <v>24942</v>
      </c>
      <c r="M14" s="74">
        <f>SUM(M10:M13)</f>
        <v>25636</v>
      </c>
      <c r="N14" s="75">
        <f>SUM(B14:M14)</f>
        <v>260381</v>
      </c>
    </row>
    <row r="15" spans="1:18" ht="13.5" thickBot="1" x14ac:dyDescent="0.25">
      <c r="A15" s="106" t="s">
        <v>163</v>
      </c>
      <c r="B15" s="74">
        <v>9246</v>
      </c>
      <c r="C15" s="74">
        <v>7824</v>
      </c>
      <c r="D15" s="74">
        <v>2172</v>
      </c>
      <c r="E15" s="74">
        <v>2695</v>
      </c>
      <c r="F15" s="74">
        <v>1817</v>
      </c>
      <c r="G15" s="74">
        <v>725</v>
      </c>
      <c r="H15" s="74">
        <v>1794</v>
      </c>
      <c r="I15" s="74">
        <v>1313</v>
      </c>
      <c r="J15" s="74">
        <v>2199</v>
      </c>
      <c r="K15" s="74">
        <v>2592</v>
      </c>
      <c r="L15" s="74">
        <v>2532</v>
      </c>
      <c r="M15" s="74">
        <v>2133</v>
      </c>
      <c r="N15" s="75">
        <f>SUM(B15:M15)</f>
        <v>37042</v>
      </c>
    </row>
    <row r="16" spans="1:18" s="64" customFormat="1" ht="13.5" thickBot="1" x14ac:dyDescent="0.25">
      <c r="A16" s="107" t="s">
        <v>164</v>
      </c>
      <c r="B16" s="74">
        <v>15511</v>
      </c>
      <c r="C16" s="74">
        <v>13624</v>
      </c>
      <c r="D16" s="74">
        <v>10955</v>
      </c>
      <c r="E16" s="74">
        <v>7865</v>
      </c>
      <c r="F16" s="74">
        <v>8205</v>
      </c>
      <c r="G16" s="74">
        <v>5584</v>
      </c>
      <c r="H16" s="74">
        <v>9235</v>
      </c>
      <c r="I16" s="74">
        <v>5573</v>
      </c>
      <c r="J16" s="74">
        <v>6976</v>
      </c>
      <c r="K16" s="74">
        <v>9998</v>
      </c>
      <c r="L16" s="74">
        <v>15320</v>
      </c>
      <c r="M16" s="74">
        <v>10222</v>
      </c>
      <c r="N16" s="77">
        <f>SUM(B16:M16)</f>
        <v>119068</v>
      </c>
    </row>
    <row r="17" spans="1:15" ht="13.5" thickBot="1" x14ac:dyDescent="0.25">
      <c r="A17" s="106" t="s">
        <v>165</v>
      </c>
      <c r="B17" s="74">
        <v>249632</v>
      </c>
      <c r="C17" s="103">
        <v>226338</v>
      </c>
      <c r="D17" s="74">
        <v>131571</v>
      </c>
      <c r="E17" s="74">
        <v>104013</v>
      </c>
      <c r="F17" s="74">
        <v>78056</v>
      </c>
      <c r="G17" s="74">
        <v>65233</v>
      </c>
      <c r="H17" s="74">
        <v>90351</v>
      </c>
      <c r="I17" s="74">
        <v>83578</v>
      </c>
      <c r="J17" s="74">
        <v>71867</v>
      </c>
      <c r="K17" s="74">
        <v>97781</v>
      </c>
      <c r="L17" s="74">
        <v>93315</v>
      </c>
      <c r="M17" s="74">
        <v>94712</v>
      </c>
      <c r="N17" s="75">
        <f>SUM(B17:M17)</f>
        <v>1386447</v>
      </c>
    </row>
    <row r="18" spans="1:15" ht="13.5" thickBot="1" x14ac:dyDescent="0.25">
      <c r="A18" s="106" t="s">
        <v>131</v>
      </c>
      <c r="B18" s="74"/>
      <c r="C18" s="103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5">
        <v>40585</v>
      </c>
    </row>
    <row r="19" spans="1:15" ht="13.5" thickBot="1" x14ac:dyDescent="0.25">
      <c r="A19" s="106" t="s">
        <v>166</v>
      </c>
      <c r="B19" s="74">
        <v>6129</v>
      </c>
      <c r="C19" s="103">
        <v>4816</v>
      </c>
      <c r="D19" s="74">
        <v>2022</v>
      </c>
      <c r="E19" s="74">
        <v>825</v>
      </c>
      <c r="F19" s="74">
        <v>932</v>
      </c>
      <c r="G19" s="74">
        <v>876</v>
      </c>
      <c r="H19" s="74">
        <v>1437</v>
      </c>
      <c r="I19" s="74">
        <v>1118</v>
      </c>
      <c r="J19" s="74">
        <v>977</v>
      </c>
      <c r="K19" s="74">
        <v>1811</v>
      </c>
      <c r="L19" s="74">
        <v>1739</v>
      </c>
      <c r="M19" s="74">
        <v>2841</v>
      </c>
      <c r="N19" s="75">
        <f>SUM(B19:M19)</f>
        <v>25523</v>
      </c>
    </row>
    <row r="20" spans="1:15" ht="13.5" thickBot="1" x14ac:dyDescent="0.25">
      <c r="A20" s="105" t="s">
        <v>24</v>
      </c>
      <c r="B20" s="74">
        <v>1094</v>
      </c>
      <c r="C20" s="103">
        <v>1129</v>
      </c>
      <c r="D20" s="74">
        <v>975</v>
      </c>
      <c r="E20" s="74">
        <v>1271</v>
      </c>
      <c r="F20" s="74">
        <v>807</v>
      </c>
      <c r="G20" s="74">
        <v>647</v>
      </c>
      <c r="H20" s="74">
        <v>773</v>
      </c>
      <c r="I20" s="74">
        <v>671</v>
      </c>
      <c r="J20" s="74">
        <v>935</v>
      </c>
      <c r="K20" s="74">
        <v>1156</v>
      </c>
      <c r="L20" s="74">
        <v>958</v>
      </c>
      <c r="M20" s="74">
        <v>1339</v>
      </c>
      <c r="N20" s="75">
        <f>SUM(B20:M20)</f>
        <v>11755</v>
      </c>
    </row>
    <row r="21" spans="1:15" s="70" customFormat="1" ht="13.5" thickBot="1" x14ac:dyDescent="0.25">
      <c r="A21" s="97"/>
      <c r="B21" s="98"/>
      <c r="C21" s="99"/>
      <c r="D21" s="98"/>
      <c r="E21" s="98"/>
      <c r="F21" s="98"/>
      <c r="G21" s="98"/>
      <c r="H21" s="98"/>
      <c r="I21" s="98"/>
      <c r="J21" s="98"/>
      <c r="K21" s="98"/>
      <c r="L21" s="100"/>
      <c r="M21" s="100"/>
      <c r="N21" s="101"/>
    </row>
    <row r="22" spans="1:15" ht="13.5" thickBot="1" x14ac:dyDescent="0.25">
      <c r="A22" s="131" t="s">
        <v>13</v>
      </c>
      <c r="B22" s="89">
        <f t="shared" ref="B22:M22" si="2">SUM(B8,B14:B20)</f>
        <v>348488</v>
      </c>
      <c r="C22" s="89">
        <f t="shared" si="2"/>
        <v>315440</v>
      </c>
      <c r="D22" s="89">
        <f t="shared" si="2"/>
        <v>199181</v>
      </c>
      <c r="E22" s="89">
        <f t="shared" si="2"/>
        <v>167408</v>
      </c>
      <c r="F22" s="89">
        <f t="shared" si="2"/>
        <v>148629</v>
      </c>
      <c r="G22" s="89">
        <f t="shared" si="2"/>
        <v>125681</v>
      </c>
      <c r="H22" s="89">
        <f t="shared" si="2"/>
        <v>167559</v>
      </c>
      <c r="I22" s="89">
        <f t="shared" si="2"/>
        <v>156410</v>
      </c>
      <c r="J22" s="89">
        <f t="shared" si="2"/>
        <v>148599</v>
      </c>
      <c r="K22" s="89">
        <f t="shared" si="2"/>
        <v>177444</v>
      </c>
      <c r="L22" s="89">
        <f t="shared" si="2"/>
        <v>175392</v>
      </c>
      <c r="M22" s="89">
        <f t="shared" si="2"/>
        <v>180890</v>
      </c>
      <c r="N22" s="89">
        <f>SUM(N8,N14:N20)</f>
        <v>2351706</v>
      </c>
    </row>
    <row r="23" spans="1:15" s="65" customFormat="1" x14ac:dyDescent="0.2">
      <c r="L23" s="66"/>
      <c r="N23" s="62"/>
    </row>
    <row r="24" spans="1:15" s="65" customFormat="1" x14ac:dyDescent="0.2">
      <c r="A24" s="28" t="s">
        <v>27</v>
      </c>
      <c r="L24" s="66"/>
      <c r="N24" s="62"/>
    </row>
    <row r="25" spans="1:15" s="5" customFormat="1" ht="11.25" x14ac:dyDescent="0.2">
      <c r="A25" s="5" t="s">
        <v>167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"/>
      <c r="O25" s="71"/>
    </row>
    <row r="26" spans="1:15" s="5" customFormat="1" ht="11.25" x14ac:dyDescent="0.2">
      <c r="A26" s="5" t="s">
        <v>28</v>
      </c>
      <c r="O26" s="71"/>
    </row>
    <row r="27" spans="1:15" s="5" customFormat="1" ht="11.25" x14ac:dyDescent="0.2">
      <c r="A27" s="5" t="s">
        <v>139</v>
      </c>
    </row>
    <row r="28" spans="1:15" s="5" customFormat="1" ht="11.25" x14ac:dyDescent="0.2">
      <c r="A28" s="5" t="s">
        <v>168</v>
      </c>
    </row>
    <row r="29" spans="1:15" x14ac:dyDescent="0.2">
      <c r="A29" s="5" t="s">
        <v>169</v>
      </c>
    </row>
    <row r="31" spans="1:15" x14ac:dyDescent="0.2">
      <c r="K31" s="5"/>
    </row>
  </sheetData>
  <mergeCells count="1">
    <mergeCell ref="A2:N2"/>
  </mergeCells>
  <phoneticPr fontId="0" type="noConversion"/>
  <pageMargins left="0.7" right="0.7" top="0.75" bottom="0.75" header="0.3" footer="0.3"/>
  <pageSetup paperSize="9" fitToHeight="182" orientation="landscape" r:id="rId1"/>
  <headerFooter alignWithMargins="0"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showRowColHeaders="0" showRuler="0" view="pageLayout" topLeftCell="A2" zoomScaleNormal="100" workbookViewId="0">
      <selection activeCell="K32" sqref="K32"/>
    </sheetView>
  </sheetViews>
  <sheetFormatPr baseColWidth="10" defaultRowHeight="11.25" x14ac:dyDescent="0.2"/>
  <cols>
    <col min="1" max="1" width="25.140625" style="55" customWidth="1"/>
    <col min="2" max="13" width="7.7109375" style="55" customWidth="1"/>
    <col min="14" max="14" width="10.140625" style="55" customWidth="1"/>
    <col min="15" max="16384" width="11.42578125" style="55"/>
  </cols>
  <sheetData>
    <row r="1" spans="1:18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8" s="53" customFormat="1" ht="24.95" customHeight="1" x14ac:dyDescent="0.2">
      <c r="A2" s="419" t="s">
        <v>151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</row>
    <row r="3" spans="1:18" ht="12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8" s="53" customFormat="1" ht="12" thickBot="1" x14ac:dyDescent="0.25">
      <c r="A4" s="94" t="s">
        <v>0</v>
      </c>
      <c r="B4" s="73" t="s">
        <v>1</v>
      </c>
      <c r="C4" s="73" t="s">
        <v>2</v>
      </c>
      <c r="D4" s="73" t="s">
        <v>3</v>
      </c>
      <c r="E4" s="73" t="s">
        <v>4</v>
      </c>
      <c r="F4" s="73" t="s">
        <v>5</v>
      </c>
      <c r="G4" s="73" t="s">
        <v>6</v>
      </c>
      <c r="H4" s="73" t="s">
        <v>7</v>
      </c>
      <c r="I4" s="73" t="s">
        <v>8</v>
      </c>
      <c r="J4" s="73" t="s">
        <v>9</v>
      </c>
      <c r="K4" s="73" t="s">
        <v>10</v>
      </c>
      <c r="L4" s="73" t="s">
        <v>11</v>
      </c>
      <c r="M4" s="73" t="s">
        <v>12</v>
      </c>
      <c r="N4" s="83" t="s">
        <v>13</v>
      </c>
      <c r="O4" s="54"/>
      <c r="P4" s="54"/>
      <c r="Q4" s="54"/>
      <c r="R4" s="54"/>
    </row>
    <row r="5" spans="1:18" x14ac:dyDescent="0.2">
      <c r="A5" s="43" t="s">
        <v>116</v>
      </c>
      <c r="B5" s="268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71"/>
      <c r="N5" s="272"/>
    </row>
    <row r="6" spans="1:18" x14ac:dyDescent="0.2">
      <c r="A6" s="14" t="s">
        <v>152</v>
      </c>
      <c r="B6" s="270">
        <v>31763</v>
      </c>
      <c r="C6" s="269">
        <v>3819</v>
      </c>
      <c r="D6" s="269">
        <v>8457</v>
      </c>
      <c r="E6" s="269">
        <v>16890</v>
      </c>
      <c r="F6" s="269">
        <v>34252</v>
      </c>
      <c r="G6" s="269">
        <v>32788</v>
      </c>
      <c r="H6" s="269">
        <v>39955</v>
      </c>
      <c r="I6" s="269">
        <v>36129</v>
      </c>
      <c r="J6" s="269">
        <v>37065</v>
      </c>
      <c r="K6" s="269">
        <v>35943</v>
      </c>
      <c r="L6" s="269">
        <v>25769</v>
      </c>
      <c r="M6" s="269">
        <v>23037</v>
      </c>
      <c r="N6" s="272">
        <f>SUM(B6:M6)</f>
        <v>325867</v>
      </c>
    </row>
    <row r="7" spans="1:18" ht="12" thickBot="1" x14ac:dyDescent="0.25">
      <c r="A7" s="14" t="s">
        <v>118</v>
      </c>
      <c r="B7" s="270">
        <v>14051</v>
      </c>
      <c r="C7" s="269">
        <v>14231</v>
      </c>
      <c r="D7" s="269">
        <v>8700</v>
      </c>
      <c r="E7" s="269">
        <v>9719</v>
      </c>
      <c r="F7" s="269">
        <v>11724</v>
      </c>
      <c r="G7" s="269">
        <v>13153</v>
      </c>
      <c r="H7" s="269">
        <v>15610</v>
      </c>
      <c r="I7" s="269">
        <v>12652</v>
      </c>
      <c r="J7" s="269">
        <v>12857</v>
      </c>
      <c r="K7" s="269">
        <v>13908</v>
      </c>
      <c r="L7" s="269">
        <v>15099</v>
      </c>
      <c r="M7" s="269">
        <v>14072</v>
      </c>
      <c r="N7" s="272">
        <f>SUM(B7:M7)</f>
        <v>155776</v>
      </c>
    </row>
    <row r="8" spans="1:18" ht="12" thickBot="1" x14ac:dyDescent="0.25">
      <c r="A8" s="94" t="s">
        <v>119</v>
      </c>
      <c r="B8" s="74">
        <f>SUM(B6:B7)</f>
        <v>45814</v>
      </c>
      <c r="C8" s="74">
        <f t="shared" ref="C8:M8" si="0">SUM(C6:C7)</f>
        <v>18050</v>
      </c>
      <c r="D8" s="74">
        <f t="shared" si="0"/>
        <v>17157</v>
      </c>
      <c r="E8" s="74">
        <f t="shared" si="0"/>
        <v>26609</v>
      </c>
      <c r="F8" s="74">
        <f t="shared" si="0"/>
        <v>45976</v>
      </c>
      <c r="G8" s="74">
        <f t="shared" si="0"/>
        <v>45941</v>
      </c>
      <c r="H8" s="74">
        <f t="shared" si="0"/>
        <v>55565</v>
      </c>
      <c r="I8" s="74">
        <f t="shared" si="0"/>
        <v>48781</v>
      </c>
      <c r="J8" s="74">
        <f t="shared" si="0"/>
        <v>49922</v>
      </c>
      <c r="K8" s="74">
        <f t="shared" si="0"/>
        <v>49851</v>
      </c>
      <c r="L8" s="74">
        <f t="shared" si="0"/>
        <v>40868</v>
      </c>
      <c r="M8" s="74">
        <f t="shared" si="0"/>
        <v>37109</v>
      </c>
      <c r="N8" s="75">
        <f>SUM(B8:M8)</f>
        <v>481643</v>
      </c>
    </row>
    <row r="9" spans="1:18" x14ac:dyDescent="0.2">
      <c r="A9" s="43" t="s">
        <v>18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71"/>
      <c r="N9" s="272"/>
    </row>
    <row r="10" spans="1:18" x14ac:dyDescent="0.2">
      <c r="A10" s="14" t="s">
        <v>83</v>
      </c>
      <c r="B10" s="269">
        <v>110541</v>
      </c>
      <c r="C10" s="269">
        <v>104541</v>
      </c>
      <c r="D10" s="269">
        <v>47517</v>
      </c>
      <c r="E10" s="269">
        <v>28985</v>
      </c>
      <c r="F10" s="269">
        <v>24278</v>
      </c>
      <c r="G10" s="269">
        <v>23262</v>
      </c>
      <c r="H10" s="269">
        <v>30108</v>
      </c>
      <c r="I10" s="269">
        <v>39239</v>
      </c>
      <c r="J10" s="269">
        <v>26512</v>
      </c>
      <c r="K10" s="269">
        <v>38054</v>
      </c>
      <c r="L10" s="269">
        <v>41456</v>
      </c>
      <c r="M10" s="269">
        <v>57608</v>
      </c>
      <c r="N10" s="272">
        <f t="shared" ref="N10:N16" si="1">SUM(B10:M10)</f>
        <v>572101</v>
      </c>
    </row>
    <row r="11" spans="1:18" x14ac:dyDescent="0.2">
      <c r="A11" s="14" t="s">
        <v>84</v>
      </c>
      <c r="B11" s="269">
        <v>5014</v>
      </c>
      <c r="C11" s="269">
        <v>4669</v>
      </c>
      <c r="D11" s="269">
        <v>1545</v>
      </c>
      <c r="E11" s="269">
        <v>541</v>
      </c>
      <c r="F11" s="269">
        <v>482</v>
      </c>
      <c r="G11" s="269">
        <v>373</v>
      </c>
      <c r="H11" s="269">
        <v>494</v>
      </c>
      <c r="I11" s="269">
        <v>1008</v>
      </c>
      <c r="J11" s="269">
        <v>567</v>
      </c>
      <c r="K11" s="269">
        <v>1118</v>
      </c>
      <c r="L11" s="269">
        <v>1142</v>
      </c>
      <c r="M11" s="269">
        <v>1475</v>
      </c>
      <c r="N11" s="272">
        <f t="shared" si="1"/>
        <v>18428</v>
      </c>
    </row>
    <row r="12" spans="1:18" x14ac:dyDescent="0.2">
      <c r="A12" s="14" t="s">
        <v>153</v>
      </c>
      <c r="B12" s="269">
        <v>29010</v>
      </c>
      <c r="C12" s="269">
        <v>26390</v>
      </c>
      <c r="D12" s="269">
        <v>18676</v>
      </c>
      <c r="E12" s="269">
        <v>13818</v>
      </c>
      <c r="F12" s="269">
        <v>11912</v>
      </c>
      <c r="G12" s="269">
        <v>12108</v>
      </c>
      <c r="H12" s="269">
        <v>16382</v>
      </c>
      <c r="I12" s="269">
        <v>17637</v>
      </c>
      <c r="J12" s="269">
        <v>11503</v>
      </c>
      <c r="K12" s="269">
        <v>15397</v>
      </c>
      <c r="L12" s="269">
        <v>13689</v>
      </c>
      <c r="M12" s="269">
        <v>18458</v>
      </c>
      <c r="N12" s="272">
        <f t="shared" si="1"/>
        <v>204980</v>
      </c>
    </row>
    <row r="13" spans="1:18" x14ac:dyDescent="0.2">
      <c r="A13" s="14" t="s">
        <v>86</v>
      </c>
      <c r="B13" s="269">
        <v>6277</v>
      </c>
      <c r="C13" s="269">
        <v>5084</v>
      </c>
      <c r="D13" s="269">
        <v>3302</v>
      </c>
      <c r="E13" s="269">
        <v>3801</v>
      </c>
      <c r="F13" s="269">
        <v>2784</v>
      </c>
      <c r="G13" s="269">
        <v>2315</v>
      </c>
      <c r="H13" s="269">
        <v>2760</v>
      </c>
      <c r="I13" s="269">
        <v>2297</v>
      </c>
      <c r="J13" s="269">
        <v>2561</v>
      </c>
      <c r="K13" s="269">
        <v>3069</v>
      </c>
      <c r="L13" s="269">
        <v>2179</v>
      </c>
      <c r="M13" s="269">
        <v>2564</v>
      </c>
      <c r="N13" s="272">
        <f t="shared" si="1"/>
        <v>38993</v>
      </c>
    </row>
    <row r="14" spans="1:18" x14ac:dyDescent="0.2">
      <c r="A14" s="14" t="s">
        <v>44</v>
      </c>
      <c r="B14" s="269">
        <v>24505</v>
      </c>
      <c r="C14" s="269">
        <v>27306</v>
      </c>
      <c r="D14" s="269">
        <v>21601</v>
      </c>
      <c r="E14" s="269">
        <v>20602</v>
      </c>
      <c r="F14" s="269">
        <v>16577</v>
      </c>
      <c r="G14" s="269">
        <v>14570</v>
      </c>
      <c r="H14" s="269">
        <v>16312</v>
      </c>
      <c r="I14" s="269">
        <v>18705</v>
      </c>
      <c r="J14" s="269">
        <v>12867</v>
      </c>
      <c r="K14" s="269">
        <v>15605</v>
      </c>
      <c r="L14" s="269">
        <v>11908</v>
      </c>
      <c r="M14" s="269">
        <v>15487</v>
      </c>
      <c r="N14" s="272">
        <f t="shared" si="1"/>
        <v>216045</v>
      </c>
    </row>
    <row r="15" spans="1:18" ht="12" thickBot="1" x14ac:dyDescent="0.25">
      <c r="A15" s="14" t="s">
        <v>121</v>
      </c>
      <c r="B15" s="269">
        <v>12390</v>
      </c>
      <c r="C15" s="269">
        <v>12937</v>
      </c>
      <c r="D15" s="269">
        <v>9234</v>
      </c>
      <c r="E15" s="269">
        <v>7578</v>
      </c>
      <c r="F15" s="269">
        <v>5546</v>
      </c>
      <c r="G15" s="269">
        <v>5046</v>
      </c>
      <c r="H15" s="269">
        <v>6507</v>
      </c>
      <c r="I15" s="269">
        <v>7227</v>
      </c>
      <c r="J15" s="269">
        <v>4957</v>
      </c>
      <c r="K15" s="269">
        <v>6155</v>
      </c>
      <c r="L15" s="269">
        <v>5138</v>
      </c>
      <c r="M15" s="269">
        <v>7947</v>
      </c>
      <c r="N15" s="272">
        <f t="shared" si="1"/>
        <v>90662</v>
      </c>
    </row>
    <row r="16" spans="1:18" ht="12" thickBot="1" x14ac:dyDescent="0.25">
      <c r="A16" s="94" t="s">
        <v>122</v>
      </c>
      <c r="B16" s="74">
        <f>SUM(B10:B15)</f>
        <v>187737</v>
      </c>
      <c r="C16" s="74">
        <f t="shared" ref="C16:M16" si="2">SUM(C10:C15)</f>
        <v>180927</v>
      </c>
      <c r="D16" s="74">
        <f t="shared" si="2"/>
        <v>101875</v>
      </c>
      <c r="E16" s="74">
        <f t="shared" si="2"/>
        <v>75325</v>
      </c>
      <c r="F16" s="74">
        <f t="shared" si="2"/>
        <v>61579</v>
      </c>
      <c r="G16" s="74">
        <f t="shared" si="2"/>
        <v>57674</v>
      </c>
      <c r="H16" s="74">
        <f t="shared" si="2"/>
        <v>72563</v>
      </c>
      <c r="I16" s="74">
        <f t="shared" si="2"/>
        <v>86113</v>
      </c>
      <c r="J16" s="74">
        <f t="shared" si="2"/>
        <v>58967</v>
      </c>
      <c r="K16" s="74">
        <f t="shared" si="2"/>
        <v>79398</v>
      </c>
      <c r="L16" s="74">
        <f t="shared" si="2"/>
        <v>75512</v>
      </c>
      <c r="M16" s="74">
        <f t="shared" si="2"/>
        <v>103539</v>
      </c>
      <c r="N16" s="75">
        <f t="shared" si="1"/>
        <v>1141209</v>
      </c>
    </row>
    <row r="17" spans="1:14" x14ac:dyDescent="0.2">
      <c r="A17" s="43" t="s">
        <v>20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71"/>
      <c r="N17" s="272"/>
    </row>
    <row r="18" spans="1:14" x14ac:dyDescent="0.2">
      <c r="A18" s="14" t="s">
        <v>154</v>
      </c>
      <c r="B18" s="269">
        <v>4600</v>
      </c>
      <c r="C18" s="269">
        <v>7430</v>
      </c>
      <c r="D18" s="269">
        <v>6251</v>
      </c>
      <c r="E18" s="269">
        <v>5775</v>
      </c>
      <c r="F18" s="269">
        <v>5058</v>
      </c>
      <c r="G18" s="269">
        <v>2086</v>
      </c>
      <c r="H18" s="269">
        <v>6754</v>
      </c>
      <c r="I18" s="269">
        <v>5122</v>
      </c>
      <c r="J18" s="269">
        <v>5213</v>
      </c>
      <c r="K18" s="269">
        <v>5146</v>
      </c>
      <c r="L18" s="269">
        <v>4355</v>
      </c>
      <c r="M18" s="269">
        <v>4460</v>
      </c>
      <c r="N18" s="272">
        <f t="shared" ref="N18:N23" si="3">SUM(B18:M18)</f>
        <v>62250</v>
      </c>
    </row>
    <row r="19" spans="1:14" x14ac:dyDescent="0.2">
      <c r="A19" s="14" t="s">
        <v>155</v>
      </c>
      <c r="B19" s="269">
        <v>8289</v>
      </c>
      <c r="C19" s="269">
        <v>8603</v>
      </c>
      <c r="D19" s="269">
        <v>6854</v>
      </c>
      <c r="E19" s="269">
        <v>5573</v>
      </c>
      <c r="F19" s="269">
        <v>4200</v>
      </c>
      <c r="G19" s="269">
        <v>2416</v>
      </c>
      <c r="H19" s="269">
        <v>6339</v>
      </c>
      <c r="I19" s="269">
        <v>5727</v>
      </c>
      <c r="J19" s="269">
        <v>6207</v>
      </c>
      <c r="K19" s="269">
        <v>5766</v>
      </c>
      <c r="L19" s="269">
        <v>5882</v>
      </c>
      <c r="M19" s="269">
        <v>6244</v>
      </c>
      <c r="N19" s="272">
        <f t="shared" si="3"/>
        <v>72100</v>
      </c>
    </row>
    <row r="20" spans="1:14" x14ac:dyDescent="0.2">
      <c r="A20" s="14" t="s">
        <v>50</v>
      </c>
      <c r="B20" s="269">
        <v>11929</v>
      </c>
      <c r="C20" s="269">
        <v>11953</v>
      </c>
      <c r="D20" s="269">
        <v>11299</v>
      </c>
      <c r="E20" s="269">
        <v>7239</v>
      </c>
      <c r="F20" s="269">
        <v>7298</v>
      </c>
      <c r="G20" s="269">
        <v>2287</v>
      </c>
      <c r="H20" s="269">
        <v>9120</v>
      </c>
      <c r="I20" s="269">
        <v>8886</v>
      </c>
      <c r="J20" s="269">
        <v>9037</v>
      </c>
      <c r="K20" s="269">
        <v>9295</v>
      </c>
      <c r="L20" s="269">
        <v>8571</v>
      </c>
      <c r="M20" s="269">
        <v>9494</v>
      </c>
      <c r="N20" s="272">
        <f t="shared" si="3"/>
        <v>106408</v>
      </c>
    </row>
    <row r="21" spans="1:14" ht="12" thickBot="1" x14ac:dyDescent="0.25">
      <c r="A21" s="14" t="s">
        <v>156</v>
      </c>
      <c r="B21" s="270">
        <v>7212</v>
      </c>
      <c r="C21" s="269">
        <v>6003</v>
      </c>
      <c r="D21" s="269">
        <v>4956</v>
      </c>
      <c r="E21" s="269">
        <v>4282</v>
      </c>
      <c r="F21" s="269">
        <v>3888</v>
      </c>
      <c r="G21" s="269">
        <v>3863</v>
      </c>
      <c r="H21" s="269">
        <v>21459</v>
      </c>
      <c r="I21" s="269">
        <f>6448+8002</f>
        <v>14450</v>
      </c>
      <c r="J21" s="269">
        <f>5364+3820</f>
        <v>9184</v>
      </c>
      <c r="K21" s="269">
        <v>9399</v>
      </c>
      <c r="L21" s="269">
        <f>6473+4486</f>
        <v>10959</v>
      </c>
      <c r="M21" s="269">
        <v>10771</v>
      </c>
      <c r="N21" s="272">
        <f t="shared" si="3"/>
        <v>106426</v>
      </c>
    </row>
    <row r="22" spans="1:14" ht="12" thickBot="1" x14ac:dyDescent="0.25">
      <c r="A22" s="94" t="s">
        <v>125</v>
      </c>
      <c r="B22" s="74">
        <f>SUM(B18:B21)</f>
        <v>32030</v>
      </c>
      <c r="C22" s="74">
        <f t="shared" ref="C22:M22" si="4">SUM(C18:C21)</f>
        <v>33989</v>
      </c>
      <c r="D22" s="74">
        <f t="shared" si="4"/>
        <v>29360</v>
      </c>
      <c r="E22" s="74">
        <f t="shared" si="4"/>
        <v>22869</v>
      </c>
      <c r="F22" s="74">
        <f t="shared" si="4"/>
        <v>20444</v>
      </c>
      <c r="G22" s="74">
        <f t="shared" si="4"/>
        <v>10652</v>
      </c>
      <c r="H22" s="74">
        <f t="shared" si="4"/>
        <v>43672</v>
      </c>
      <c r="I22" s="74">
        <f t="shared" si="4"/>
        <v>34185</v>
      </c>
      <c r="J22" s="74">
        <f t="shared" si="4"/>
        <v>29641</v>
      </c>
      <c r="K22" s="74">
        <f t="shared" si="4"/>
        <v>29606</v>
      </c>
      <c r="L22" s="74">
        <f t="shared" si="4"/>
        <v>29767</v>
      </c>
      <c r="M22" s="74">
        <f t="shared" si="4"/>
        <v>30969</v>
      </c>
      <c r="N22" s="75">
        <f t="shared" si="3"/>
        <v>347184</v>
      </c>
    </row>
    <row r="23" spans="1:14" ht="12" thickBot="1" x14ac:dyDescent="0.25">
      <c r="A23" s="94" t="s">
        <v>144</v>
      </c>
      <c r="B23" s="74">
        <v>7827</v>
      </c>
      <c r="C23" s="74">
        <v>6040</v>
      </c>
      <c r="D23" s="74">
        <v>2434</v>
      </c>
      <c r="E23" s="74">
        <v>1379</v>
      </c>
      <c r="F23" s="74">
        <v>176</v>
      </c>
      <c r="G23" s="74">
        <v>305</v>
      </c>
      <c r="H23" s="74">
        <v>1531</v>
      </c>
      <c r="I23" s="74">
        <f>1467+80</f>
        <v>1547</v>
      </c>
      <c r="J23" s="74">
        <v>1256</v>
      </c>
      <c r="K23" s="74">
        <v>1381</v>
      </c>
      <c r="L23" s="74">
        <f>2075+65</f>
        <v>2140</v>
      </c>
      <c r="M23" s="74">
        <f>1352+72</f>
        <v>1424</v>
      </c>
      <c r="N23" s="75">
        <f t="shared" si="3"/>
        <v>27440</v>
      </c>
    </row>
    <row r="24" spans="1:14" s="57" customFormat="1" x14ac:dyDescent="0.2">
      <c r="A24" s="49" t="s">
        <v>157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75"/>
    </row>
    <row r="25" spans="1:14" s="57" customFormat="1" x14ac:dyDescent="0.2">
      <c r="A25" s="20" t="s">
        <v>128</v>
      </c>
      <c r="B25" s="269">
        <v>9378</v>
      </c>
      <c r="C25" s="269">
        <v>7290</v>
      </c>
      <c r="D25" s="269">
        <v>4728</v>
      </c>
      <c r="E25" s="269">
        <v>2212</v>
      </c>
      <c r="F25" s="269">
        <f>2733-1208</f>
        <v>1525</v>
      </c>
      <c r="G25" s="269">
        <f>4607-2137</f>
        <v>2470</v>
      </c>
      <c r="H25" s="269">
        <f>H27-H26</f>
        <v>5093</v>
      </c>
      <c r="I25" s="269">
        <f>4687-1606</f>
        <v>3081</v>
      </c>
      <c r="J25" s="269">
        <f>3234-372</f>
        <v>2862</v>
      </c>
      <c r="K25" s="269">
        <f>4866-166</f>
        <v>4700</v>
      </c>
      <c r="L25" s="269">
        <f>4169-81</f>
        <v>4088</v>
      </c>
      <c r="M25" s="269">
        <v>758</v>
      </c>
      <c r="N25" s="275">
        <f>SUM(B25:M25)</f>
        <v>48185</v>
      </c>
    </row>
    <row r="26" spans="1:14" s="57" customFormat="1" ht="12" thickBot="1" x14ac:dyDescent="0.25">
      <c r="A26" s="20" t="s">
        <v>158</v>
      </c>
      <c r="B26" s="269">
        <v>2044</v>
      </c>
      <c r="C26" s="269">
        <v>1848</v>
      </c>
      <c r="D26" s="269">
        <v>2915</v>
      </c>
      <c r="E26" s="269">
        <v>1024</v>
      </c>
      <c r="F26" s="269">
        <v>1208</v>
      </c>
      <c r="G26" s="269">
        <v>2137</v>
      </c>
      <c r="H26" s="269">
        <v>1978</v>
      </c>
      <c r="I26" s="269">
        <v>1606</v>
      </c>
      <c r="J26" s="269">
        <v>372</v>
      </c>
      <c r="K26" s="269">
        <v>166</v>
      </c>
      <c r="L26" s="269">
        <v>81</v>
      </c>
      <c r="M26" s="269">
        <v>0</v>
      </c>
      <c r="N26" s="275">
        <f>SUM(B26:M26)</f>
        <v>15379</v>
      </c>
    </row>
    <row r="27" spans="1:14" s="57" customFormat="1" ht="12" thickBot="1" x14ac:dyDescent="0.25">
      <c r="A27" s="95" t="s">
        <v>130</v>
      </c>
      <c r="B27" s="74">
        <f>SUM(B25:B26)</f>
        <v>11422</v>
      </c>
      <c r="C27" s="74">
        <f>SUM(C25:C26)</f>
        <v>9138</v>
      </c>
      <c r="D27" s="74">
        <f>SUM(D25:D26)</f>
        <v>7643</v>
      </c>
      <c r="E27" s="74">
        <f>SUM(E25:E26)</f>
        <v>3236</v>
      </c>
      <c r="F27" s="74">
        <v>2733</v>
      </c>
      <c r="G27" s="74">
        <v>4607</v>
      </c>
      <c r="H27" s="74">
        <v>7071</v>
      </c>
      <c r="I27" s="74">
        <f>SUM(I25:I26)</f>
        <v>4687</v>
      </c>
      <c r="J27" s="74">
        <v>3234</v>
      </c>
      <c r="K27" s="74">
        <v>4866</v>
      </c>
      <c r="L27" s="74">
        <v>4169</v>
      </c>
      <c r="M27" s="74">
        <f>SUM(M25:M26)</f>
        <v>758</v>
      </c>
      <c r="N27" s="77">
        <f>SUM(B27:M27)</f>
        <v>63564</v>
      </c>
    </row>
    <row r="28" spans="1:14" s="57" customFormat="1" ht="12" thickBot="1" x14ac:dyDescent="0.25">
      <c r="A28" s="95" t="s">
        <v>131</v>
      </c>
      <c r="B28" s="74">
        <v>3703</v>
      </c>
      <c r="C28" s="74">
        <v>3245</v>
      </c>
      <c r="D28" s="74">
        <v>3435</v>
      </c>
      <c r="E28" s="74">
        <v>3351</v>
      </c>
      <c r="F28" s="74">
        <v>3360</v>
      </c>
      <c r="G28" s="74">
        <v>3490</v>
      </c>
      <c r="H28" s="74">
        <v>2751</v>
      </c>
      <c r="I28" s="74">
        <v>2943</v>
      </c>
      <c r="J28" s="74">
        <v>3051</v>
      </c>
      <c r="K28" s="74">
        <v>3114</v>
      </c>
      <c r="L28" s="74">
        <v>3216</v>
      </c>
      <c r="M28" s="74">
        <v>3530</v>
      </c>
      <c r="N28" s="77">
        <f>SUM(B28:M28)</f>
        <v>39189</v>
      </c>
    </row>
    <row r="29" spans="1:14" s="57" customFormat="1" x14ac:dyDescent="0.2">
      <c r="A29" s="49" t="s">
        <v>133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75"/>
    </row>
    <row r="30" spans="1:14" s="57" customFormat="1" x14ac:dyDescent="0.2">
      <c r="A30" s="20" t="s">
        <v>134</v>
      </c>
      <c r="B30" s="269">
        <v>1332</v>
      </c>
      <c r="C30" s="269">
        <v>1677</v>
      </c>
      <c r="D30" s="269">
        <v>1460</v>
      </c>
      <c r="E30" s="269">
        <v>989</v>
      </c>
      <c r="F30" s="269">
        <v>927</v>
      </c>
      <c r="G30" s="269">
        <v>955</v>
      </c>
      <c r="H30" s="269">
        <v>954</v>
      </c>
      <c r="I30" s="269">
        <v>1167</v>
      </c>
      <c r="J30" s="269">
        <v>1068</v>
      </c>
      <c r="K30" s="269">
        <v>993</v>
      </c>
      <c r="L30" s="269">
        <v>1093</v>
      </c>
      <c r="M30" s="269">
        <v>978</v>
      </c>
      <c r="N30" s="275">
        <f>SUM(B30:M30)</f>
        <v>13593</v>
      </c>
    </row>
    <row r="31" spans="1:14" s="57" customFormat="1" ht="12" thickBot="1" x14ac:dyDescent="0.25">
      <c r="A31" s="20" t="s">
        <v>135</v>
      </c>
      <c r="B31" s="269"/>
      <c r="C31" s="269"/>
      <c r="D31" s="269">
        <v>293</v>
      </c>
      <c r="E31" s="269">
        <v>537</v>
      </c>
      <c r="F31" s="269">
        <v>524</v>
      </c>
      <c r="G31" s="269">
        <v>526</v>
      </c>
      <c r="H31" s="269">
        <v>591</v>
      </c>
      <c r="I31" s="269">
        <v>697</v>
      </c>
      <c r="J31" s="269">
        <v>566</v>
      </c>
      <c r="K31" s="269">
        <v>534</v>
      </c>
      <c r="L31" s="269">
        <v>761</v>
      </c>
      <c r="M31" s="269">
        <v>586</v>
      </c>
      <c r="N31" s="275">
        <f>SUM(B31:M31)</f>
        <v>5615</v>
      </c>
    </row>
    <row r="32" spans="1:14" s="57" customFormat="1" ht="12" thickBot="1" x14ac:dyDescent="0.25">
      <c r="A32" s="95" t="s">
        <v>136</v>
      </c>
      <c r="B32" s="74">
        <f t="shared" ref="B32:M32" si="5">SUM(B30:B31)</f>
        <v>1332</v>
      </c>
      <c r="C32" s="74">
        <f t="shared" si="5"/>
        <v>1677</v>
      </c>
      <c r="D32" s="74">
        <f t="shared" si="5"/>
        <v>1753</v>
      </c>
      <c r="E32" s="74">
        <f t="shared" si="5"/>
        <v>1526</v>
      </c>
      <c r="F32" s="74">
        <f t="shared" si="5"/>
        <v>1451</v>
      </c>
      <c r="G32" s="74">
        <f t="shared" si="5"/>
        <v>1481</v>
      </c>
      <c r="H32" s="74">
        <f t="shared" si="5"/>
        <v>1545</v>
      </c>
      <c r="I32" s="74">
        <f t="shared" si="5"/>
        <v>1864</v>
      </c>
      <c r="J32" s="74">
        <f t="shared" si="5"/>
        <v>1634</v>
      </c>
      <c r="K32" s="74">
        <f t="shared" si="5"/>
        <v>1527</v>
      </c>
      <c r="L32" s="74">
        <f t="shared" si="5"/>
        <v>1854</v>
      </c>
      <c r="M32" s="74">
        <f t="shared" si="5"/>
        <v>1564</v>
      </c>
      <c r="N32" s="77">
        <f>SUM(B32:M32)</f>
        <v>19208</v>
      </c>
    </row>
    <row r="33" spans="1:16" s="57" customFormat="1" ht="12" thickBot="1" x14ac:dyDescent="0.25">
      <c r="A33" s="95" t="s">
        <v>181</v>
      </c>
      <c r="B33" s="74">
        <v>5567</v>
      </c>
      <c r="C33" s="74">
        <v>5223</v>
      </c>
      <c r="D33" s="74">
        <v>2504</v>
      </c>
      <c r="E33" s="74">
        <v>2797</v>
      </c>
      <c r="F33" s="74">
        <v>1829</v>
      </c>
      <c r="G33" s="74">
        <v>1698</v>
      </c>
      <c r="H33" s="74">
        <v>2711</v>
      </c>
      <c r="I33" s="74">
        <v>2420</v>
      </c>
      <c r="J33" s="74">
        <v>1757</v>
      </c>
      <c r="K33" s="74">
        <v>1916</v>
      </c>
      <c r="L33" s="74">
        <v>1681</v>
      </c>
      <c r="M33" s="74">
        <v>2712</v>
      </c>
      <c r="N33" s="77">
        <f>SUM(B33:M33)</f>
        <v>32815</v>
      </c>
    </row>
    <row r="34" spans="1:16" s="57" customFormat="1" ht="12" thickBot="1" x14ac:dyDescent="0.25">
      <c r="A34" s="95" t="s">
        <v>137</v>
      </c>
      <c r="B34" s="74"/>
      <c r="C34" s="74"/>
      <c r="D34" s="74"/>
      <c r="E34" s="74"/>
      <c r="F34" s="74"/>
      <c r="G34" s="74"/>
      <c r="H34" s="74"/>
      <c r="I34" s="74">
        <v>809</v>
      </c>
      <c r="J34" s="74">
        <v>1898</v>
      </c>
      <c r="K34" s="74">
        <v>2275</v>
      </c>
      <c r="L34" s="74">
        <v>1591</v>
      </c>
      <c r="M34" s="74">
        <v>0</v>
      </c>
      <c r="N34" s="77">
        <f>SUM(I34:M34)</f>
        <v>6573</v>
      </c>
    </row>
    <row r="35" spans="1:16" s="69" customFormat="1" ht="12" thickBot="1" x14ac:dyDescent="0.25">
      <c r="A35" s="16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87"/>
    </row>
    <row r="36" spans="1:16" ht="12" thickBot="1" x14ac:dyDescent="0.25">
      <c r="A36" s="132" t="s">
        <v>138</v>
      </c>
      <c r="B36" s="89">
        <f t="shared" ref="B36:M36" si="6">B8+B16+B22+B23+B27+B28+B32+B33</f>
        <v>295432</v>
      </c>
      <c r="C36" s="89">
        <f t="shared" si="6"/>
        <v>258289</v>
      </c>
      <c r="D36" s="89">
        <f t="shared" si="6"/>
        <v>166161</v>
      </c>
      <c r="E36" s="89">
        <f t="shared" si="6"/>
        <v>137092</v>
      </c>
      <c r="F36" s="89">
        <f t="shared" si="6"/>
        <v>137548</v>
      </c>
      <c r="G36" s="89">
        <f t="shared" si="6"/>
        <v>125848</v>
      </c>
      <c r="H36" s="89">
        <f t="shared" si="6"/>
        <v>187409</v>
      </c>
      <c r="I36" s="89">
        <f>I8+I16+I22+I23+I27+I28+I32+I33+I34</f>
        <v>183349</v>
      </c>
      <c r="J36" s="89">
        <f>J8+J16+J22+J23+J27+J28+J32+J33+J34</f>
        <v>151360</v>
      </c>
      <c r="K36" s="89">
        <f>K8+K16+K22+K23+K27+K28+K32+K33+K34</f>
        <v>173934</v>
      </c>
      <c r="L36" s="89">
        <f>L8+L16+L22+L23+L27+L28+L32+L33+L34</f>
        <v>160798</v>
      </c>
      <c r="M36" s="89">
        <f t="shared" si="6"/>
        <v>181605</v>
      </c>
      <c r="N36" s="93">
        <f>SUM(N8,N16,N22,N23,N27,N28+N32+N33+N34)</f>
        <v>2158825</v>
      </c>
    </row>
    <row r="37" spans="1:16" x14ac:dyDescent="0.2">
      <c r="L37" s="61"/>
      <c r="N37" s="53"/>
      <c r="O37" s="26"/>
      <c r="P37" s="57"/>
    </row>
    <row r="38" spans="1:16" x14ac:dyDescent="0.2">
      <c r="A38" s="28" t="s">
        <v>27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57"/>
      <c r="M38" s="57"/>
      <c r="N38" s="59"/>
      <c r="O38" s="26"/>
    </row>
    <row r="39" spans="1:16" x14ac:dyDescent="0.2">
      <c r="A39" s="28" t="s">
        <v>28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O39" s="57"/>
    </row>
    <row r="40" spans="1:16" x14ac:dyDescent="0.2">
      <c r="A40" s="28" t="s">
        <v>139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6" x14ac:dyDescent="0.2">
      <c r="A41" s="418" t="s">
        <v>159</v>
      </c>
      <c r="B41" s="418"/>
      <c r="C41" s="418"/>
      <c r="D41" s="418"/>
      <c r="E41" s="418"/>
      <c r="F41" s="418"/>
      <c r="G41" s="418"/>
      <c r="H41" s="418"/>
      <c r="I41" s="418"/>
      <c r="J41" s="28"/>
      <c r="K41" s="28"/>
    </row>
    <row r="42" spans="1:16" x14ac:dyDescent="0.2">
      <c r="A42" s="418" t="s">
        <v>160</v>
      </c>
      <c r="B42" s="418"/>
      <c r="C42" s="418"/>
      <c r="D42" s="418"/>
      <c r="E42" s="418"/>
      <c r="F42" s="418"/>
      <c r="G42" s="418"/>
      <c r="H42" s="28"/>
      <c r="I42" s="28"/>
      <c r="J42" s="28"/>
      <c r="K42" s="28"/>
      <c r="O42" s="57"/>
    </row>
    <row r="43" spans="1:16" x14ac:dyDescent="0.2">
      <c r="A43" s="418" t="s">
        <v>161</v>
      </c>
      <c r="B43" s="418"/>
      <c r="C43" s="418"/>
      <c r="D43" s="418"/>
      <c r="E43" s="418"/>
      <c r="F43" s="418"/>
      <c r="G43" s="418"/>
      <c r="H43" s="418"/>
      <c r="I43" s="418"/>
      <c r="J43" s="418"/>
      <c r="K43" s="418"/>
    </row>
    <row r="44" spans="1:16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</sheetData>
  <mergeCells count="4">
    <mergeCell ref="A41:I41"/>
    <mergeCell ref="A42:G42"/>
    <mergeCell ref="A43:K43"/>
    <mergeCell ref="A2:N2"/>
  </mergeCells>
  <phoneticPr fontId="0" type="noConversion"/>
  <pageMargins left="0.98425196850393704" right="0.98425196850393704" top="0.98425196850393704" bottom="0.98425196850393704" header="0.51181102362204722" footer="0.51181102362204722"/>
  <pageSetup paperSize="9" scale="89" orientation="landscape" r:id="rId1"/>
  <headerFooter alignWithMargins="0"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showGridLines="0" showRowColHeaders="0" showRuler="0" view="pageLayout" topLeftCell="A7" zoomScaleNormal="100" workbookViewId="0">
      <selection activeCell="I31" sqref="I31"/>
    </sheetView>
  </sheetViews>
  <sheetFormatPr baseColWidth="10" defaultRowHeight="11.25" x14ac:dyDescent="0.2"/>
  <cols>
    <col min="1" max="1" width="27.85546875" style="55" customWidth="1"/>
    <col min="2" max="13" width="7.7109375" style="55" customWidth="1"/>
    <col min="14" max="14" width="10.140625" style="55" customWidth="1"/>
    <col min="15" max="16384" width="11.42578125" style="55"/>
  </cols>
  <sheetData>
    <row r="1" spans="1:18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8" s="53" customFormat="1" ht="24.95" customHeight="1" x14ac:dyDescent="0.2">
      <c r="A2" s="419" t="s">
        <v>142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</row>
    <row r="3" spans="1:18" ht="12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8" s="53" customFormat="1" ht="12" thickBot="1" x14ac:dyDescent="0.25">
      <c r="A4" s="9" t="s">
        <v>0</v>
      </c>
      <c r="B4" s="73" t="s">
        <v>1</v>
      </c>
      <c r="C4" s="73" t="s">
        <v>2</v>
      </c>
      <c r="D4" s="73" t="s">
        <v>3</v>
      </c>
      <c r="E4" s="73" t="s">
        <v>4</v>
      </c>
      <c r="F4" s="73" t="s">
        <v>5</v>
      </c>
      <c r="G4" s="73" t="s">
        <v>6</v>
      </c>
      <c r="H4" s="73" t="s">
        <v>7</v>
      </c>
      <c r="I4" s="73" t="s">
        <v>8</v>
      </c>
      <c r="J4" s="73" t="s">
        <v>9</v>
      </c>
      <c r="K4" s="73" t="s">
        <v>10</v>
      </c>
      <c r="L4" s="73" t="s">
        <v>11</v>
      </c>
      <c r="M4" s="73" t="s">
        <v>12</v>
      </c>
      <c r="N4" s="83" t="s">
        <v>13</v>
      </c>
      <c r="O4" s="54"/>
      <c r="P4" s="54"/>
      <c r="Q4" s="54"/>
      <c r="R4" s="54"/>
    </row>
    <row r="5" spans="1:18" x14ac:dyDescent="0.2">
      <c r="A5" s="43" t="s">
        <v>116</v>
      </c>
      <c r="B5" s="268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71"/>
      <c r="N5" s="272"/>
    </row>
    <row r="6" spans="1:18" x14ac:dyDescent="0.2">
      <c r="A6" s="14" t="s">
        <v>117</v>
      </c>
      <c r="B6" s="270">
        <v>23748</v>
      </c>
      <c r="C6" s="269">
        <v>22755</v>
      </c>
      <c r="D6" s="269">
        <v>22852</v>
      </c>
      <c r="E6" s="269">
        <v>19573</v>
      </c>
      <c r="F6" s="269">
        <v>26119</v>
      </c>
      <c r="G6" s="269">
        <v>16868</v>
      </c>
      <c r="H6" s="269">
        <v>13395</v>
      </c>
      <c r="I6" s="269">
        <v>14244</v>
      </c>
      <c r="J6" s="269">
        <v>22861</v>
      </c>
      <c r="K6" s="269">
        <v>26745</v>
      </c>
      <c r="L6" s="269">
        <v>19135</v>
      </c>
      <c r="M6" s="269">
        <v>22114</v>
      </c>
      <c r="N6" s="272">
        <f>SUM(B6:M6)</f>
        <v>250409</v>
      </c>
    </row>
    <row r="7" spans="1:18" ht="12" thickBot="1" x14ac:dyDescent="0.25">
      <c r="A7" s="14" t="s">
        <v>118</v>
      </c>
      <c r="B7" s="270">
        <v>13643</v>
      </c>
      <c r="C7" s="269">
        <v>12051</v>
      </c>
      <c r="D7" s="269">
        <v>12132</v>
      </c>
      <c r="E7" s="269">
        <v>11210</v>
      </c>
      <c r="F7" s="269">
        <v>10265</v>
      </c>
      <c r="G7" s="269">
        <v>7192</v>
      </c>
      <c r="H7" s="269">
        <v>6898</v>
      </c>
      <c r="I7" s="269">
        <v>8123</v>
      </c>
      <c r="J7" s="269">
        <v>8290</v>
      </c>
      <c r="K7" s="269">
        <v>2668</v>
      </c>
      <c r="L7" s="269">
        <v>3665</v>
      </c>
      <c r="M7" s="269">
        <v>10021</v>
      </c>
      <c r="N7" s="272">
        <f>SUM(B7:M7)</f>
        <v>106158</v>
      </c>
    </row>
    <row r="8" spans="1:18" ht="12" thickBot="1" x14ac:dyDescent="0.25">
      <c r="A8" s="9" t="s">
        <v>119</v>
      </c>
      <c r="B8" s="74">
        <f>SUM(B6:B7)</f>
        <v>37391</v>
      </c>
      <c r="C8" s="74">
        <f t="shared" ref="C8:M8" si="0">SUM(C6:C7)</f>
        <v>34806</v>
      </c>
      <c r="D8" s="74">
        <f t="shared" si="0"/>
        <v>34984</v>
      </c>
      <c r="E8" s="74">
        <f t="shared" si="0"/>
        <v>30783</v>
      </c>
      <c r="F8" s="74">
        <f t="shared" si="0"/>
        <v>36384</v>
      </c>
      <c r="G8" s="74">
        <f t="shared" si="0"/>
        <v>24060</v>
      </c>
      <c r="H8" s="74">
        <f t="shared" si="0"/>
        <v>20293</v>
      </c>
      <c r="I8" s="74">
        <f t="shared" si="0"/>
        <v>22367</v>
      </c>
      <c r="J8" s="74">
        <f t="shared" si="0"/>
        <v>31151</v>
      </c>
      <c r="K8" s="74">
        <f t="shared" si="0"/>
        <v>29413</v>
      </c>
      <c r="L8" s="74">
        <f t="shared" si="0"/>
        <v>22800</v>
      </c>
      <c r="M8" s="74">
        <f t="shared" si="0"/>
        <v>32135</v>
      </c>
      <c r="N8" s="75">
        <f>SUM(B8:M8)</f>
        <v>356567</v>
      </c>
    </row>
    <row r="9" spans="1:18" x14ac:dyDescent="0.2">
      <c r="A9" s="43" t="s">
        <v>18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71"/>
      <c r="N9" s="272"/>
    </row>
    <row r="10" spans="1:18" x14ac:dyDescent="0.2">
      <c r="A10" s="14" t="s">
        <v>83</v>
      </c>
      <c r="B10" s="269">
        <v>96826</v>
      </c>
      <c r="C10" s="269">
        <v>85728</v>
      </c>
      <c r="D10" s="269">
        <v>38192</v>
      </c>
      <c r="E10" s="269">
        <v>30410</v>
      </c>
      <c r="F10" s="269">
        <v>22634</v>
      </c>
      <c r="G10" s="269">
        <v>18094</v>
      </c>
      <c r="H10" s="269">
        <v>20889</v>
      </c>
      <c r="I10" s="269">
        <v>21807</v>
      </c>
      <c r="J10" s="269">
        <v>20871</v>
      </c>
      <c r="K10" s="269">
        <v>31841</v>
      </c>
      <c r="L10" s="269">
        <v>35522</v>
      </c>
      <c r="M10" s="269">
        <v>46531</v>
      </c>
      <c r="N10" s="272">
        <f t="shared" ref="N10:N17" si="1">SUM(B10:M10)</f>
        <v>469345</v>
      </c>
    </row>
    <row r="11" spans="1:18" x14ac:dyDescent="0.2">
      <c r="A11" s="14" t="s">
        <v>84</v>
      </c>
      <c r="B11" s="269">
        <v>2435</v>
      </c>
      <c r="C11" s="269">
        <v>2152</v>
      </c>
      <c r="D11" s="269">
        <v>899</v>
      </c>
      <c r="E11" s="269">
        <v>650</v>
      </c>
      <c r="F11" s="269">
        <v>549</v>
      </c>
      <c r="G11" s="269">
        <v>414</v>
      </c>
      <c r="H11" s="269">
        <v>583</v>
      </c>
      <c r="I11" s="269">
        <v>676</v>
      </c>
      <c r="J11" s="269">
        <v>572</v>
      </c>
      <c r="K11" s="269">
        <v>1085</v>
      </c>
      <c r="L11" s="269">
        <v>901</v>
      </c>
      <c r="M11" s="269">
        <v>1123</v>
      </c>
      <c r="N11" s="272">
        <f t="shared" si="1"/>
        <v>12039</v>
      </c>
    </row>
    <row r="12" spans="1:18" x14ac:dyDescent="0.2">
      <c r="A12" s="14" t="s">
        <v>85</v>
      </c>
      <c r="B12" s="269">
        <v>25554</v>
      </c>
      <c r="C12" s="269">
        <v>21068</v>
      </c>
      <c r="D12" s="269">
        <v>14133</v>
      </c>
      <c r="E12" s="269">
        <v>13173</v>
      </c>
      <c r="F12" s="269">
        <v>10661</v>
      </c>
      <c r="G12" s="269">
        <v>9203</v>
      </c>
      <c r="H12" s="269">
        <v>9499</v>
      </c>
      <c r="I12" s="269">
        <v>10275</v>
      </c>
      <c r="J12" s="269">
        <v>10814</v>
      </c>
      <c r="K12" s="269">
        <v>13613</v>
      </c>
      <c r="L12" s="269">
        <v>13146</v>
      </c>
      <c r="M12" s="269">
        <v>16481</v>
      </c>
      <c r="N12" s="272">
        <f t="shared" si="1"/>
        <v>167620</v>
      </c>
    </row>
    <row r="13" spans="1:18" x14ac:dyDescent="0.2">
      <c r="A13" s="14" t="s">
        <v>86</v>
      </c>
      <c r="B13" s="269">
        <v>4401</v>
      </c>
      <c r="C13" s="269">
        <v>4178</v>
      </c>
      <c r="D13" s="269">
        <v>2850</v>
      </c>
      <c r="E13" s="269">
        <v>2644</v>
      </c>
      <c r="F13" s="269">
        <v>2621</v>
      </c>
      <c r="G13" s="269">
        <v>1846</v>
      </c>
      <c r="H13" s="269">
        <v>2299</v>
      </c>
      <c r="I13" s="269">
        <v>1586</v>
      </c>
      <c r="J13" s="269">
        <v>1375</v>
      </c>
      <c r="K13" s="269">
        <v>2029</v>
      </c>
      <c r="L13" s="269">
        <v>2062</v>
      </c>
      <c r="M13" s="269">
        <v>2740</v>
      </c>
      <c r="N13" s="272">
        <f t="shared" si="1"/>
        <v>30631</v>
      </c>
    </row>
    <row r="14" spans="1:18" x14ac:dyDescent="0.2">
      <c r="A14" s="14" t="s">
        <v>44</v>
      </c>
      <c r="B14" s="269">
        <v>15868</v>
      </c>
      <c r="C14" s="269">
        <v>15724</v>
      </c>
      <c r="D14" s="269">
        <v>12668</v>
      </c>
      <c r="E14" s="269">
        <v>12251</v>
      </c>
      <c r="F14" s="269">
        <v>11912</v>
      </c>
      <c r="G14" s="269">
        <v>10963</v>
      </c>
      <c r="H14" s="269">
        <v>10867</v>
      </c>
      <c r="I14" s="269">
        <v>9336</v>
      </c>
      <c r="J14" s="269">
        <v>10799</v>
      </c>
      <c r="K14" s="269">
        <v>13396</v>
      </c>
      <c r="L14" s="269">
        <v>11748</v>
      </c>
      <c r="M14" s="269">
        <v>15945</v>
      </c>
      <c r="N14" s="272">
        <f t="shared" si="1"/>
        <v>151477</v>
      </c>
    </row>
    <row r="15" spans="1:18" x14ac:dyDescent="0.2">
      <c r="A15" s="14" t="s">
        <v>120</v>
      </c>
      <c r="B15" s="269"/>
      <c r="C15" s="269"/>
      <c r="D15" s="269"/>
      <c r="E15" s="269">
        <v>4180</v>
      </c>
      <c r="F15" s="269">
        <v>4901</v>
      </c>
      <c r="G15" s="269">
        <v>4807</v>
      </c>
      <c r="H15" s="269">
        <v>2729</v>
      </c>
      <c r="I15" s="269">
        <v>5293</v>
      </c>
      <c r="J15" s="269">
        <v>4068</v>
      </c>
      <c r="K15" s="269">
        <v>4394</v>
      </c>
      <c r="L15" s="269">
        <v>4357</v>
      </c>
      <c r="M15" s="269">
        <v>4967</v>
      </c>
      <c r="N15" s="272">
        <f>SUM(B15:M15)</f>
        <v>39696</v>
      </c>
    </row>
    <row r="16" spans="1:18" ht="12" thickBot="1" x14ac:dyDescent="0.25">
      <c r="A16" s="14" t="s">
        <v>121</v>
      </c>
      <c r="B16" s="269">
        <v>8451</v>
      </c>
      <c r="C16" s="269">
        <v>8063</v>
      </c>
      <c r="D16" s="269">
        <v>6368</v>
      </c>
      <c r="E16" s="269">
        <v>5931</v>
      </c>
      <c r="F16" s="269">
        <v>5696</v>
      </c>
      <c r="G16" s="269">
        <v>5023</v>
      </c>
      <c r="H16" s="269">
        <v>5775</v>
      </c>
      <c r="I16" s="269">
        <v>4522</v>
      </c>
      <c r="J16" s="269">
        <v>4957</v>
      </c>
      <c r="K16" s="269">
        <v>5829</v>
      </c>
      <c r="L16" s="269">
        <v>5435</v>
      </c>
      <c r="M16" s="269">
        <v>7002</v>
      </c>
      <c r="N16" s="272">
        <f t="shared" si="1"/>
        <v>73052</v>
      </c>
    </row>
    <row r="17" spans="1:14" ht="12" thickBot="1" x14ac:dyDescent="0.25">
      <c r="A17" s="9" t="s">
        <v>122</v>
      </c>
      <c r="B17" s="74">
        <f>SUM(B10:B16)</f>
        <v>153535</v>
      </c>
      <c r="C17" s="74">
        <f t="shared" ref="C17:M17" si="2">SUM(C10:C16)</f>
        <v>136913</v>
      </c>
      <c r="D17" s="74">
        <f t="shared" si="2"/>
        <v>75110</v>
      </c>
      <c r="E17" s="74">
        <f>SUM(E10:E16)</f>
        <v>69239</v>
      </c>
      <c r="F17" s="74">
        <f t="shared" si="2"/>
        <v>58974</v>
      </c>
      <c r="G17" s="74">
        <f t="shared" si="2"/>
        <v>50350</v>
      </c>
      <c r="H17" s="74">
        <f t="shared" si="2"/>
        <v>52641</v>
      </c>
      <c r="I17" s="74">
        <f t="shared" si="2"/>
        <v>53495</v>
      </c>
      <c r="J17" s="74">
        <f t="shared" si="2"/>
        <v>53456</v>
      </c>
      <c r="K17" s="74">
        <f t="shared" si="2"/>
        <v>72187</v>
      </c>
      <c r="L17" s="74">
        <f t="shared" si="2"/>
        <v>73171</v>
      </c>
      <c r="M17" s="74">
        <f t="shared" si="2"/>
        <v>94789</v>
      </c>
      <c r="N17" s="75">
        <f t="shared" si="1"/>
        <v>943860</v>
      </c>
    </row>
    <row r="18" spans="1:14" x14ac:dyDescent="0.2">
      <c r="A18" s="43" t="s">
        <v>20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71"/>
      <c r="N18" s="272"/>
    </row>
    <row r="19" spans="1:14" x14ac:dyDescent="0.2">
      <c r="A19" s="14" t="s">
        <v>48</v>
      </c>
      <c r="B19" s="269">
        <v>6143</v>
      </c>
      <c r="C19" s="269">
        <v>5720</v>
      </c>
      <c r="D19" s="269">
        <v>3869</v>
      </c>
      <c r="E19" s="269">
        <v>3216</v>
      </c>
      <c r="F19" s="269">
        <v>3639</v>
      </c>
      <c r="G19" s="269">
        <v>3374</v>
      </c>
      <c r="H19" s="269">
        <v>3091</v>
      </c>
      <c r="I19" s="269">
        <v>3471</v>
      </c>
      <c r="J19" s="269">
        <v>2187</v>
      </c>
      <c r="K19" s="269">
        <v>2793</v>
      </c>
      <c r="L19" s="269">
        <v>2482</v>
      </c>
      <c r="M19" s="269">
        <v>2061</v>
      </c>
      <c r="N19" s="272">
        <f t="shared" ref="N19:N25" si="3">SUM(B19:M19)</f>
        <v>42046</v>
      </c>
    </row>
    <row r="20" spans="1:14" x14ac:dyDescent="0.2">
      <c r="A20" s="14" t="s">
        <v>49</v>
      </c>
      <c r="B20" s="269">
        <v>9123</v>
      </c>
      <c r="C20" s="269">
        <v>9173</v>
      </c>
      <c r="D20" s="269">
        <v>7313</v>
      </c>
      <c r="E20" s="269">
        <v>6550</v>
      </c>
      <c r="F20" s="269">
        <v>5548</v>
      </c>
      <c r="G20" s="269">
        <v>3628</v>
      </c>
      <c r="H20" s="269">
        <v>6419</v>
      </c>
      <c r="I20" s="269">
        <v>4119</v>
      </c>
      <c r="J20" s="269">
        <v>5147</v>
      </c>
      <c r="K20" s="269">
        <v>5659</v>
      </c>
      <c r="L20" s="269">
        <v>6120</v>
      </c>
      <c r="M20" s="269">
        <v>5710</v>
      </c>
      <c r="N20" s="272">
        <f t="shared" si="3"/>
        <v>74509</v>
      </c>
    </row>
    <row r="21" spans="1:14" x14ac:dyDescent="0.2">
      <c r="A21" s="14" t="s">
        <v>50</v>
      </c>
      <c r="B21" s="269">
        <v>14082</v>
      </c>
      <c r="C21" s="269">
        <v>12809</v>
      </c>
      <c r="D21" s="269">
        <v>9257</v>
      </c>
      <c r="E21" s="269">
        <v>8987</v>
      </c>
      <c r="F21" s="269">
        <v>11758</v>
      </c>
      <c r="G21" s="269">
        <v>5879</v>
      </c>
      <c r="H21" s="269">
        <v>9715</v>
      </c>
      <c r="I21" s="269">
        <v>8362</v>
      </c>
      <c r="J21" s="269">
        <v>8539</v>
      </c>
      <c r="K21" s="269">
        <v>9932</v>
      </c>
      <c r="L21" s="269">
        <v>8406</v>
      </c>
      <c r="M21" s="269">
        <v>9397</v>
      </c>
      <c r="N21" s="272">
        <f t="shared" si="3"/>
        <v>117123</v>
      </c>
    </row>
    <row r="22" spans="1:14" x14ac:dyDescent="0.2">
      <c r="A22" s="14" t="s">
        <v>123</v>
      </c>
      <c r="B22" s="270">
        <v>21307</v>
      </c>
      <c r="C22" s="269">
        <v>18738</v>
      </c>
      <c r="D22" s="269">
        <v>12177</v>
      </c>
      <c r="E22" s="269">
        <v>12331</v>
      </c>
      <c r="F22" s="269">
        <v>11758</v>
      </c>
      <c r="G22" s="269">
        <v>14548</v>
      </c>
      <c r="H22" s="269">
        <v>23630</v>
      </c>
      <c r="I22" s="269">
        <v>12870</v>
      </c>
      <c r="J22" s="269">
        <f>584+1276+1152+1083</f>
        <v>4095</v>
      </c>
      <c r="K22" s="269">
        <v>6131</v>
      </c>
      <c r="L22" s="269">
        <v>6063</v>
      </c>
      <c r="M22" s="269">
        <v>7969</v>
      </c>
      <c r="N22" s="272">
        <f t="shared" si="3"/>
        <v>151617</v>
      </c>
    </row>
    <row r="23" spans="1:14" ht="12" thickBot="1" x14ac:dyDescent="0.25">
      <c r="A23" s="14" t="s">
        <v>143</v>
      </c>
      <c r="B23" s="270"/>
      <c r="C23" s="269"/>
      <c r="D23" s="269"/>
      <c r="E23" s="269"/>
      <c r="F23" s="269"/>
      <c r="G23" s="269">
        <v>5959</v>
      </c>
      <c r="H23" s="269">
        <v>15746</v>
      </c>
      <c r="I23" s="269">
        <v>2946</v>
      </c>
      <c r="J23" s="269">
        <v>864</v>
      </c>
      <c r="K23" s="269">
        <v>2933</v>
      </c>
      <c r="L23" s="269">
        <v>2119</v>
      </c>
      <c r="M23" s="269">
        <v>2686</v>
      </c>
      <c r="N23" s="272">
        <f>SUM(B23:M23)</f>
        <v>33253</v>
      </c>
    </row>
    <row r="24" spans="1:14" ht="12" thickBot="1" x14ac:dyDescent="0.25">
      <c r="A24" s="9" t="s">
        <v>125</v>
      </c>
      <c r="B24" s="74">
        <f>SUM(B19:B22)</f>
        <v>50655</v>
      </c>
      <c r="C24" s="74">
        <f>SUM(C19:C22)</f>
        <v>46440</v>
      </c>
      <c r="D24" s="74">
        <f>SUM(D19:D22)</f>
        <v>32616</v>
      </c>
      <c r="E24" s="74">
        <f>SUM(E19:E22)</f>
        <v>31084</v>
      </c>
      <c r="F24" s="74">
        <f>SUM(F19:F22)</f>
        <v>32703</v>
      </c>
      <c r="G24" s="74">
        <f t="shared" ref="G24:M24" si="4">SUM(G19:G23)</f>
        <v>33388</v>
      </c>
      <c r="H24" s="74">
        <f t="shared" si="4"/>
        <v>58601</v>
      </c>
      <c r="I24" s="74">
        <f t="shared" si="4"/>
        <v>31768</v>
      </c>
      <c r="J24" s="74">
        <f t="shared" si="4"/>
        <v>20832</v>
      </c>
      <c r="K24" s="74">
        <f t="shared" si="4"/>
        <v>27448</v>
      </c>
      <c r="L24" s="74">
        <f t="shared" si="4"/>
        <v>25190</v>
      </c>
      <c r="M24" s="74">
        <f t="shared" si="4"/>
        <v>27823</v>
      </c>
      <c r="N24" s="75">
        <f t="shared" si="3"/>
        <v>418548</v>
      </c>
    </row>
    <row r="25" spans="1:14" ht="12" thickBot="1" x14ac:dyDescent="0.25">
      <c r="A25" s="9" t="s">
        <v>144</v>
      </c>
      <c r="B25" s="74">
        <f>7605+1325</f>
        <v>8930</v>
      </c>
      <c r="C25" s="74">
        <f>4858+2521</f>
        <v>7379</v>
      </c>
      <c r="D25" s="74">
        <f>1578+294</f>
        <v>1872</v>
      </c>
      <c r="E25" s="74">
        <f>1517+142</f>
        <v>1659</v>
      </c>
      <c r="F25" s="74">
        <v>285</v>
      </c>
      <c r="G25" s="74">
        <v>575</v>
      </c>
      <c r="H25" s="74">
        <f>2218+171</f>
        <v>2389</v>
      </c>
      <c r="I25" s="74">
        <f>790+15</f>
        <v>805</v>
      </c>
      <c r="J25" s="74">
        <v>927</v>
      </c>
      <c r="K25" s="74">
        <v>1499</v>
      </c>
      <c r="L25" s="74">
        <v>1719</v>
      </c>
      <c r="M25" s="74">
        <v>1272</v>
      </c>
      <c r="N25" s="75">
        <f t="shared" si="3"/>
        <v>29311</v>
      </c>
    </row>
    <row r="26" spans="1:14" s="57" customFormat="1" x14ac:dyDescent="0.2">
      <c r="A26" s="49" t="s">
        <v>127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75"/>
    </row>
    <row r="27" spans="1:14" s="57" customFormat="1" x14ac:dyDescent="0.2">
      <c r="A27" s="20" t="s">
        <v>128</v>
      </c>
      <c r="B27" s="268" t="s">
        <v>145</v>
      </c>
      <c r="C27" s="270">
        <v>1066</v>
      </c>
      <c r="D27" s="269">
        <v>3543</v>
      </c>
      <c r="E27" s="269">
        <v>2025</v>
      </c>
      <c r="F27" s="269">
        <v>2297</v>
      </c>
      <c r="G27" s="269">
        <v>2247</v>
      </c>
      <c r="H27" s="269">
        <v>2699</v>
      </c>
      <c r="I27" s="269">
        <v>2400</v>
      </c>
      <c r="J27" s="269">
        <v>2488</v>
      </c>
      <c r="K27" s="269">
        <v>4046</v>
      </c>
      <c r="L27" s="269">
        <v>4879</v>
      </c>
      <c r="M27" s="269">
        <v>4984</v>
      </c>
      <c r="N27" s="275">
        <f>SUM(B27:M27)</f>
        <v>32674</v>
      </c>
    </row>
    <row r="28" spans="1:14" s="57" customFormat="1" ht="12" thickBot="1" x14ac:dyDescent="0.25">
      <c r="A28" s="20" t="s">
        <v>146</v>
      </c>
      <c r="B28" s="268" t="s">
        <v>145</v>
      </c>
      <c r="C28" s="268" t="s">
        <v>145</v>
      </c>
      <c r="D28" s="268" t="s">
        <v>145</v>
      </c>
      <c r="E28" s="268" t="s">
        <v>145</v>
      </c>
      <c r="F28" s="268" t="s">
        <v>145</v>
      </c>
      <c r="G28" s="268" t="s">
        <v>145</v>
      </c>
      <c r="H28" s="268" t="s">
        <v>145</v>
      </c>
      <c r="I28" s="269" t="s">
        <v>145</v>
      </c>
      <c r="J28" s="269" t="s">
        <v>145</v>
      </c>
      <c r="K28" s="268" t="s">
        <v>145</v>
      </c>
      <c r="L28" s="268" t="s">
        <v>145</v>
      </c>
      <c r="M28" s="268" t="s">
        <v>145</v>
      </c>
      <c r="N28" s="275">
        <f>SUM(B28:M28)</f>
        <v>0</v>
      </c>
    </row>
    <row r="29" spans="1:14" s="57" customFormat="1" ht="12" thickBot="1" x14ac:dyDescent="0.25">
      <c r="A29" s="15" t="s">
        <v>130</v>
      </c>
      <c r="B29" s="74">
        <f t="shared" ref="B29:G29" si="5">SUM(B27:B28)</f>
        <v>0</v>
      </c>
      <c r="C29" s="74">
        <f t="shared" si="5"/>
        <v>1066</v>
      </c>
      <c r="D29" s="74">
        <f t="shared" si="5"/>
        <v>3543</v>
      </c>
      <c r="E29" s="74">
        <f t="shared" si="5"/>
        <v>2025</v>
      </c>
      <c r="F29" s="74">
        <f t="shared" si="5"/>
        <v>2297</v>
      </c>
      <c r="G29" s="74">
        <f t="shared" si="5"/>
        <v>2247</v>
      </c>
      <c r="H29" s="74">
        <f t="shared" ref="H29:M29" si="6">SUM(H27:H28)</f>
        <v>2699</v>
      </c>
      <c r="I29" s="74">
        <f t="shared" si="6"/>
        <v>2400</v>
      </c>
      <c r="J29" s="74">
        <f t="shared" si="6"/>
        <v>2488</v>
      </c>
      <c r="K29" s="74">
        <f t="shared" si="6"/>
        <v>4046</v>
      </c>
      <c r="L29" s="74">
        <f t="shared" si="6"/>
        <v>4879</v>
      </c>
      <c r="M29" s="74">
        <f t="shared" si="6"/>
        <v>4984</v>
      </c>
      <c r="N29" s="77">
        <f>SUM(B29:M29)</f>
        <v>32674</v>
      </c>
    </row>
    <row r="30" spans="1:14" s="57" customFormat="1" ht="12" thickBot="1" x14ac:dyDescent="0.25">
      <c r="A30" s="15" t="s">
        <v>131</v>
      </c>
      <c r="B30" s="74">
        <v>3645</v>
      </c>
      <c r="C30" s="74">
        <v>3517</v>
      </c>
      <c r="D30" s="74">
        <v>4011</v>
      </c>
      <c r="E30" s="74">
        <v>3998</v>
      </c>
      <c r="F30" s="74">
        <v>3812</v>
      </c>
      <c r="G30" s="74">
        <v>2351</v>
      </c>
      <c r="H30" s="74">
        <v>1563</v>
      </c>
      <c r="I30" s="74">
        <v>1237</v>
      </c>
      <c r="J30" s="74">
        <v>1215</v>
      </c>
      <c r="K30" s="74">
        <v>1514</v>
      </c>
      <c r="L30" s="74">
        <v>1325</v>
      </c>
      <c r="M30" s="74">
        <v>1495</v>
      </c>
      <c r="N30" s="77">
        <f>SUM(B30:M30)</f>
        <v>29683</v>
      </c>
    </row>
    <row r="31" spans="1:14" s="57" customFormat="1" x14ac:dyDescent="0.2">
      <c r="A31" s="49" t="s">
        <v>133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75"/>
    </row>
    <row r="32" spans="1:14" s="57" customFormat="1" x14ac:dyDescent="0.2">
      <c r="A32" s="20" t="s">
        <v>134</v>
      </c>
      <c r="B32" s="269">
        <v>1395</v>
      </c>
      <c r="C32" s="269">
        <v>1081</v>
      </c>
      <c r="D32" s="269">
        <v>1155</v>
      </c>
      <c r="E32" s="269">
        <v>962</v>
      </c>
      <c r="F32" s="269">
        <v>944</v>
      </c>
      <c r="G32" s="269">
        <v>876</v>
      </c>
      <c r="H32" s="269">
        <v>695</v>
      </c>
      <c r="I32" s="269">
        <v>668</v>
      </c>
      <c r="J32" s="269">
        <v>705</v>
      </c>
      <c r="K32" s="269">
        <v>1076</v>
      </c>
      <c r="L32" s="269">
        <v>941</v>
      </c>
      <c r="M32" s="269">
        <v>748</v>
      </c>
      <c r="N32" s="275">
        <f>SUM(B32:M32)</f>
        <v>11246</v>
      </c>
    </row>
    <row r="33" spans="1:16" s="57" customFormat="1" ht="12" thickBot="1" x14ac:dyDescent="0.25">
      <c r="A33" s="20" t="s">
        <v>135</v>
      </c>
      <c r="B33" s="269">
        <v>790</v>
      </c>
      <c r="C33" s="269">
        <v>676</v>
      </c>
      <c r="D33" s="269">
        <v>627</v>
      </c>
      <c r="E33" s="269">
        <v>621</v>
      </c>
      <c r="F33" s="269">
        <v>664</v>
      </c>
      <c r="G33" s="269">
        <v>450</v>
      </c>
      <c r="H33" s="269">
        <v>421</v>
      </c>
      <c r="I33" s="269">
        <v>925</v>
      </c>
      <c r="J33" s="269">
        <v>537</v>
      </c>
      <c r="K33" s="269">
        <v>648</v>
      </c>
      <c r="L33" s="269">
        <v>457</v>
      </c>
      <c r="M33" s="269">
        <v>538</v>
      </c>
      <c r="N33" s="275">
        <f>SUM(B33:M33)</f>
        <v>7354</v>
      </c>
    </row>
    <row r="34" spans="1:16" s="57" customFormat="1" ht="12" thickBot="1" x14ac:dyDescent="0.25">
      <c r="A34" s="15" t="s">
        <v>136</v>
      </c>
      <c r="B34" s="74">
        <f t="shared" ref="B34:M34" si="7">SUM(B32:B33)</f>
        <v>2185</v>
      </c>
      <c r="C34" s="74">
        <f t="shared" si="7"/>
        <v>1757</v>
      </c>
      <c r="D34" s="74">
        <f t="shared" si="7"/>
        <v>1782</v>
      </c>
      <c r="E34" s="74">
        <f t="shared" si="7"/>
        <v>1583</v>
      </c>
      <c r="F34" s="74">
        <f t="shared" si="7"/>
        <v>1608</v>
      </c>
      <c r="G34" s="74">
        <f t="shared" si="7"/>
        <v>1326</v>
      </c>
      <c r="H34" s="74">
        <f t="shared" si="7"/>
        <v>1116</v>
      </c>
      <c r="I34" s="74">
        <f t="shared" si="7"/>
        <v>1593</v>
      </c>
      <c r="J34" s="74">
        <f t="shared" si="7"/>
        <v>1242</v>
      </c>
      <c r="K34" s="74">
        <f t="shared" si="7"/>
        <v>1724</v>
      </c>
      <c r="L34" s="74">
        <f t="shared" si="7"/>
        <v>1398</v>
      </c>
      <c r="M34" s="74">
        <f t="shared" si="7"/>
        <v>1286</v>
      </c>
      <c r="N34" s="77">
        <f>SUM(B34:M34)</f>
        <v>18600</v>
      </c>
    </row>
    <row r="35" spans="1:16" s="57" customFormat="1" ht="12" thickBot="1" x14ac:dyDescent="0.25">
      <c r="A35" s="15" t="s">
        <v>179</v>
      </c>
      <c r="B35" s="74">
        <v>4687</v>
      </c>
      <c r="C35" s="74">
        <v>2641</v>
      </c>
      <c r="D35" s="74">
        <v>1664</v>
      </c>
      <c r="E35" s="74">
        <v>1921</v>
      </c>
      <c r="F35" s="74">
        <v>1442</v>
      </c>
      <c r="G35" s="74">
        <v>831</v>
      </c>
      <c r="H35" s="74">
        <v>1645</v>
      </c>
      <c r="I35" s="74">
        <v>1341</v>
      </c>
      <c r="J35" s="74">
        <v>1680</v>
      </c>
      <c r="K35" s="74">
        <v>1652</v>
      </c>
      <c r="L35" s="74">
        <v>1423</v>
      </c>
      <c r="M35" s="74">
        <v>2081</v>
      </c>
      <c r="N35" s="77">
        <f>SUM(B35:M35)</f>
        <v>23008</v>
      </c>
    </row>
    <row r="36" spans="1:16" s="57" customFormat="1" ht="12" thickBot="1" x14ac:dyDescent="0.25">
      <c r="A36" s="15" t="s">
        <v>137</v>
      </c>
      <c r="B36" s="74"/>
      <c r="C36" s="74"/>
      <c r="D36" s="74"/>
      <c r="E36" s="74"/>
      <c r="F36" s="74">
        <v>360</v>
      </c>
      <c r="G36" s="74">
        <f>115+180+156+118</f>
        <v>569</v>
      </c>
      <c r="H36" s="74">
        <f>133+288+288+350</f>
        <v>1059</v>
      </c>
      <c r="I36" s="74">
        <f>244+269+420+286+219</f>
        <v>1438</v>
      </c>
      <c r="J36" s="74">
        <f>766+365</f>
        <v>1131</v>
      </c>
      <c r="K36" s="74">
        <v>893</v>
      </c>
      <c r="L36" s="74">
        <v>1151</v>
      </c>
      <c r="M36" s="91">
        <v>0</v>
      </c>
      <c r="N36" s="77">
        <f>SUM(B36:M36)</f>
        <v>6601</v>
      </c>
    </row>
    <row r="37" spans="1:16" s="69" customFormat="1" ht="12" thickBot="1" x14ac:dyDescent="0.25">
      <c r="A37" s="16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92"/>
      <c r="N37" s="87"/>
    </row>
    <row r="38" spans="1:16" ht="12" thickBot="1" x14ac:dyDescent="0.25">
      <c r="A38" s="88" t="s">
        <v>138</v>
      </c>
      <c r="B38" s="89">
        <f>B8+B17+B24+B25+B29+B30+B34+B35</f>
        <v>261028</v>
      </c>
      <c r="C38" s="89">
        <f>C8+C17+C24+C25+C29+C30+C34+C35</f>
        <v>234519</v>
      </c>
      <c r="D38" s="89">
        <f>D8+D17+D24+D25+D29+D30+D34+D35</f>
        <v>155582</v>
      </c>
      <c r="E38" s="89">
        <f>E8+E17+E24+E25+E29+E30+E34+E35</f>
        <v>142292</v>
      </c>
      <c r="F38" s="89">
        <f t="shared" ref="F38:M38" si="8">F8+F17+F24+F25+F29+F30+F34+F35+F36</f>
        <v>137865</v>
      </c>
      <c r="G38" s="89">
        <f t="shared" si="8"/>
        <v>115697</v>
      </c>
      <c r="H38" s="89">
        <f t="shared" si="8"/>
        <v>142006</v>
      </c>
      <c r="I38" s="89">
        <f t="shared" si="8"/>
        <v>116444</v>
      </c>
      <c r="J38" s="89">
        <f t="shared" si="8"/>
        <v>114122</v>
      </c>
      <c r="K38" s="89">
        <f t="shared" si="8"/>
        <v>140376</v>
      </c>
      <c r="L38" s="89">
        <f t="shared" si="8"/>
        <v>133056</v>
      </c>
      <c r="M38" s="89">
        <f t="shared" si="8"/>
        <v>165865</v>
      </c>
      <c r="N38" s="93">
        <f>SUM(N8,N17,N24,N25,N29,N30+N34+N35+N36)</f>
        <v>1858852</v>
      </c>
    </row>
    <row r="39" spans="1:16" x14ac:dyDescent="0.2">
      <c r="L39" s="61"/>
      <c r="N39" s="53"/>
      <c r="O39" s="26"/>
      <c r="P39" s="57"/>
    </row>
    <row r="40" spans="1:16" x14ac:dyDescent="0.2">
      <c r="A40" s="28" t="s">
        <v>27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90"/>
      <c r="O40" s="26"/>
    </row>
    <row r="41" spans="1:16" x14ac:dyDescent="0.2">
      <c r="A41" s="28" t="s">
        <v>28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57"/>
    </row>
    <row r="42" spans="1:16" x14ac:dyDescent="0.2">
      <c r="A42" s="28" t="s">
        <v>139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6" x14ac:dyDescent="0.2">
      <c r="A43" s="418" t="s">
        <v>147</v>
      </c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</row>
    <row r="44" spans="1:16" x14ac:dyDescent="0.2">
      <c r="A44" s="418" t="s">
        <v>148</v>
      </c>
      <c r="B44" s="418"/>
      <c r="C44" s="418"/>
      <c r="D44" s="418"/>
      <c r="E44" s="418"/>
      <c r="F44" s="418"/>
      <c r="G44" s="418"/>
      <c r="H44" s="28"/>
      <c r="I44" s="28"/>
      <c r="J44" s="28"/>
      <c r="K44" s="28"/>
      <c r="L44" s="28"/>
      <c r="M44" s="28"/>
      <c r="N44" s="28"/>
      <c r="O44" s="57"/>
    </row>
    <row r="45" spans="1:16" x14ac:dyDescent="0.2">
      <c r="A45" s="28" t="s">
        <v>149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6" x14ac:dyDescent="0.2">
      <c r="A46" s="418"/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</row>
    <row r="47" spans="1:16" s="60" customFormat="1" x14ac:dyDescent="0.2">
      <c r="A47" s="418" t="s">
        <v>150</v>
      </c>
      <c r="B47" s="418"/>
      <c r="C47" s="418"/>
      <c r="D47" s="418"/>
      <c r="E47" s="418"/>
      <c r="F47" s="418"/>
      <c r="G47" s="418"/>
      <c r="H47" s="418"/>
      <c r="I47" s="31"/>
      <c r="J47" s="31"/>
      <c r="K47" s="31"/>
      <c r="L47" s="31"/>
      <c r="M47" s="31"/>
      <c r="N47" s="31"/>
    </row>
    <row r="48" spans="1:16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</sheetData>
  <mergeCells count="5">
    <mergeCell ref="A47:H47"/>
    <mergeCell ref="A2:N2"/>
    <mergeCell ref="A43:N43"/>
    <mergeCell ref="A44:G44"/>
    <mergeCell ref="A46:N46"/>
  </mergeCells>
  <phoneticPr fontId="0" type="noConversion"/>
  <pageMargins left="1" right="1" top="1" bottom="1" header="0.5" footer="0.5"/>
  <pageSetup paperSize="9" scale="82" fitToHeight="182" orientation="landscape" r:id="rId1"/>
  <headerFooter alignWithMargins="0"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showGridLines="0" showRowColHeaders="0" showRuler="0" view="pageLayout" zoomScaleNormal="100" workbookViewId="0">
      <selection activeCell="H22" sqref="H22"/>
    </sheetView>
  </sheetViews>
  <sheetFormatPr baseColWidth="10" defaultRowHeight="11.25" x14ac:dyDescent="0.2"/>
  <cols>
    <col min="1" max="1" width="27.85546875" style="55" customWidth="1"/>
    <col min="2" max="8" width="7.7109375" style="55" customWidth="1"/>
    <col min="9" max="9" width="7.7109375" style="56" customWidth="1"/>
    <col min="10" max="13" width="7.7109375" style="55" customWidth="1"/>
    <col min="14" max="14" width="10.140625" style="55" customWidth="1"/>
    <col min="15" max="16384" width="11.42578125" style="55"/>
  </cols>
  <sheetData>
    <row r="1" spans="1:18" x14ac:dyDescent="0.2">
      <c r="A1" s="5"/>
      <c r="B1" s="5"/>
      <c r="C1" s="5"/>
      <c r="D1" s="5"/>
      <c r="E1" s="5"/>
      <c r="F1" s="5"/>
      <c r="G1" s="5"/>
      <c r="H1" s="5"/>
      <c r="I1" s="7"/>
      <c r="J1" s="5"/>
      <c r="K1" s="5"/>
      <c r="L1" s="5"/>
      <c r="M1" s="5"/>
      <c r="N1" s="5"/>
      <c r="O1" s="5"/>
    </row>
    <row r="2" spans="1:18" s="53" customFormat="1" ht="24.95" customHeight="1" x14ac:dyDescent="0.2">
      <c r="A2" s="419" t="s">
        <v>115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2"/>
    </row>
    <row r="3" spans="1:18" ht="12" thickBot="1" x14ac:dyDescent="0.25">
      <c r="A3" s="5"/>
      <c r="B3" s="5"/>
      <c r="C3" s="5"/>
      <c r="D3" s="5"/>
      <c r="E3" s="5"/>
      <c r="F3" s="5"/>
      <c r="G3" s="5"/>
      <c r="H3" s="5"/>
      <c r="I3" s="7"/>
      <c r="J3" s="5"/>
      <c r="K3" s="5"/>
      <c r="L3" s="5"/>
      <c r="M3" s="5"/>
      <c r="N3" s="5"/>
      <c r="O3" s="5"/>
    </row>
    <row r="4" spans="1:18" s="53" customFormat="1" ht="12" thickBot="1" x14ac:dyDescent="0.25">
      <c r="A4" s="9" t="s">
        <v>0</v>
      </c>
      <c r="B4" s="73" t="s">
        <v>1</v>
      </c>
      <c r="C4" s="73" t="s">
        <v>2</v>
      </c>
      <c r="D4" s="73" t="s">
        <v>3</v>
      </c>
      <c r="E4" s="73" t="s">
        <v>4</v>
      </c>
      <c r="F4" s="73" t="s">
        <v>5</v>
      </c>
      <c r="G4" s="73" t="s">
        <v>6</v>
      </c>
      <c r="H4" s="73" t="s">
        <v>7</v>
      </c>
      <c r="I4" s="73" t="s">
        <v>8</v>
      </c>
      <c r="J4" s="73" t="s">
        <v>9</v>
      </c>
      <c r="K4" s="73" t="s">
        <v>10</v>
      </c>
      <c r="L4" s="73" t="s">
        <v>11</v>
      </c>
      <c r="M4" s="73" t="s">
        <v>12</v>
      </c>
      <c r="N4" s="83" t="s">
        <v>13</v>
      </c>
      <c r="O4" s="3"/>
      <c r="P4" s="54"/>
      <c r="Q4" s="54"/>
      <c r="R4" s="54"/>
    </row>
    <row r="5" spans="1:18" x14ac:dyDescent="0.2">
      <c r="A5" s="43" t="s">
        <v>116</v>
      </c>
      <c r="B5" s="268"/>
      <c r="C5" s="269"/>
      <c r="D5" s="269"/>
      <c r="E5" s="269"/>
      <c r="F5" s="269"/>
      <c r="G5" s="269"/>
      <c r="H5" s="269"/>
      <c r="I5" s="270"/>
      <c r="J5" s="269"/>
      <c r="K5" s="269"/>
      <c r="L5" s="269"/>
      <c r="M5" s="271"/>
      <c r="N5" s="272"/>
      <c r="O5" s="5"/>
    </row>
    <row r="6" spans="1:18" x14ac:dyDescent="0.2">
      <c r="A6" s="14" t="s">
        <v>117</v>
      </c>
      <c r="B6" s="270">
        <v>19087</v>
      </c>
      <c r="C6" s="269">
        <v>11060</v>
      </c>
      <c r="D6" s="269">
        <v>25118</v>
      </c>
      <c r="E6" s="269">
        <v>22861</v>
      </c>
      <c r="F6" s="269">
        <v>32262</v>
      </c>
      <c r="G6" s="269">
        <v>30678</v>
      </c>
      <c r="H6" s="269">
        <v>34988</v>
      </c>
      <c r="I6" s="270">
        <v>32888</v>
      </c>
      <c r="J6" s="269">
        <v>32937</v>
      </c>
      <c r="K6" s="269">
        <v>30518</v>
      </c>
      <c r="L6" s="269">
        <v>30808</v>
      </c>
      <c r="M6" s="269">
        <v>33115</v>
      </c>
      <c r="N6" s="272">
        <f>SUM(B6:M6)</f>
        <v>336320</v>
      </c>
      <c r="O6" s="5"/>
    </row>
    <row r="7" spans="1:18" ht="12" thickBot="1" x14ac:dyDescent="0.25">
      <c r="A7" s="14" t="s">
        <v>118</v>
      </c>
      <c r="B7" s="270">
        <v>8183</v>
      </c>
      <c r="C7" s="269">
        <v>8341</v>
      </c>
      <c r="D7" s="269">
        <v>9285</v>
      </c>
      <c r="E7" s="269">
        <v>8290</v>
      </c>
      <c r="F7" s="269">
        <v>8741</v>
      </c>
      <c r="G7" s="269">
        <v>9220</v>
      </c>
      <c r="H7" s="269">
        <v>10623</v>
      </c>
      <c r="I7" s="270">
        <v>9647</v>
      </c>
      <c r="J7" s="269">
        <v>10701</v>
      </c>
      <c r="K7" s="269">
        <v>11733</v>
      </c>
      <c r="L7" s="269">
        <v>11761</v>
      </c>
      <c r="M7" s="269">
        <v>14092</v>
      </c>
      <c r="N7" s="272">
        <f>SUM(B7:M7)</f>
        <v>120617</v>
      </c>
      <c r="O7" s="5"/>
    </row>
    <row r="8" spans="1:18" ht="12" thickBot="1" x14ac:dyDescent="0.25">
      <c r="A8" s="9" t="s">
        <v>119</v>
      </c>
      <c r="B8" s="74">
        <f>SUM(B6:B7)</f>
        <v>27270</v>
      </c>
      <c r="C8" s="74">
        <f t="shared" ref="C8:M8" si="0">SUM(C6:C7)</f>
        <v>19401</v>
      </c>
      <c r="D8" s="74">
        <f t="shared" si="0"/>
        <v>34403</v>
      </c>
      <c r="E8" s="74">
        <f t="shared" si="0"/>
        <v>31151</v>
      </c>
      <c r="F8" s="74">
        <f t="shared" si="0"/>
        <v>41003</v>
      </c>
      <c r="G8" s="74">
        <f t="shared" si="0"/>
        <v>39898</v>
      </c>
      <c r="H8" s="74">
        <f t="shared" si="0"/>
        <v>45611</v>
      </c>
      <c r="I8" s="74">
        <f t="shared" si="0"/>
        <v>42535</v>
      </c>
      <c r="J8" s="74">
        <f t="shared" si="0"/>
        <v>43638</v>
      </c>
      <c r="K8" s="74">
        <f t="shared" si="0"/>
        <v>42251</v>
      </c>
      <c r="L8" s="74">
        <f t="shared" si="0"/>
        <v>42569</v>
      </c>
      <c r="M8" s="74">
        <f t="shared" si="0"/>
        <v>47207</v>
      </c>
      <c r="N8" s="75">
        <f>SUM(B8:M8)</f>
        <v>456937</v>
      </c>
      <c r="O8" s="5"/>
      <c r="P8" s="57"/>
    </row>
    <row r="9" spans="1:18" x14ac:dyDescent="0.2">
      <c r="A9" s="43" t="s">
        <v>18</v>
      </c>
      <c r="B9" s="269"/>
      <c r="C9" s="269"/>
      <c r="D9" s="269"/>
      <c r="E9" s="269"/>
      <c r="F9" s="269"/>
      <c r="G9" s="269"/>
      <c r="H9" s="269"/>
      <c r="I9" s="270"/>
      <c r="J9" s="269"/>
      <c r="K9" s="269"/>
      <c r="L9" s="269"/>
      <c r="M9" s="271"/>
      <c r="N9" s="272"/>
      <c r="O9" s="5"/>
    </row>
    <row r="10" spans="1:18" x14ac:dyDescent="0.2">
      <c r="A10" s="14" t="s">
        <v>83</v>
      </c>
      <c r="B10" s="269">
        <v>89802</v>
      </c>
      <c r="C10" s="269">
        <v>86804</v>
      </c>
      <c r="D10" s="269">
        <v>46565</v>
      </c>
      <c r="E10" s="269">
        <v>31379</v>
      </c>
      <c r="F10" s="269">
        <v>29498</v>
      </c>
      <c r="G10" s="269">
        <v>20736</v>
      </c>
      <c r="H10" s="269">
        <v>32574</v>
      </c>
      <c r="I10" s="270">
        <v>26842</v>
      </c>
      <c r="J10" s="269">
        <v>25027</v>
      </c>
      <c r="K10" s="269">
        <v>35114</v>
      </c>
      <c r="L10" s="269">
        <v>43200</v>
      </c>
      <c r="M10" s="269">
        <v>50656</v>
      </c>
      <c r="N10" s="272">
        <f t="shared" ref="N10:N17" si="1">SUM(B10:M10)</f>
        <v>518197</v>
      </c>
      <c r="O10" s="5"/>
    </row>
    <row r="11" spans="1:18" x14ac:dyDescent="0.2">
      <c r="A11" s="14" t="s">
        <v>84</v>
      </c>
      <c r="B11" s="269">
        <v>3747</v>
      </c>
      <c r="C11" s="269">
        <v>4406</v>
      </c>
      <c r="D11" s="269">
        <v>1584</v>
      </c>
      <c r="E11" s="269">
        <v>902</v>
      </c>
      <c r="F11" s="269">
        <v>815</v>
      </c>
      <c r="G11" s="269">
        <v>514</v>
      </c>
      <c r="H11" s="269">
        <v>886</v>
      </c>
      <c r="I11" s="270">
        <v>824</v>
      </c>
      <c r="J11" s="269">
        <v>704</v>
      </c>
      <c r="K11" s="269">
        <v>1403</v>
      </c>
      <c r="L11" s="269">
        <v>1246</v>
      </c>
      <c r="M11" s="269">
        <v>1651</v>
      </c>
      <c r="N11" s="272">
        <f t="shared" si="1"/>
        <v>18682</v>
      </c>
      <c r="O11" s="5"/>
    </row>
    <row r="12" spans="1:18" x14ac:dyDescent="0.2">
      <c r="A12" s="14" t="s">
        <v>85</v>
      </c>
      <c r="B12" s="269">
        <v>24427</v>
      </c>
      <c r="C12" s="269">
        <v>19136</v>
      </c>
      <c r="D12" s="269">
        <v>14177</v>
      </c>
      <c r="E12" s="269">
        <v>12737</v>
      </c>
      <c r="F12" s="269">
        <v>12071</v>
      </c>
      <c r="G12" s="269">
        <v>9819</v>
      </c>
      <c r="H12" s="269">
        <v>16671</v>
      </c>
      <c r="I12" s="270">
        <v>12075</v>
      </c>
      <c r="J12" s="269">
        <v>12362</v>
      </c>
      <c r="K12" s="269">
        <v>15785</v>
      </c>
      <c r="L12" s="269">
        <v>15909</v>
      </c>
      <c r="M12" s="269">
        <v>19431</v>
      </c>
      <c r="N12" s="272">
        <f t="shared" si="1"/>
        <v>184600</v>
      </c>
      <c r="O12" s="5"/>
    </row>
    <row r="13" spans="1:18" x14ac:dyDescent="0.2">
      <c r="A13" s="14" t="s">
        <v>86</v>
      </c>
      <c r="B13" s="269">
        <v>3251</v>
      </c>
      <c r="C13" s="269">
        <v>3586</v>
      </c>
      <c r="D13" s="269">
        <v>2537</v>
      </c>
      <c r="E13" s="269">
        <v>2440</v>
      </c>
      <c r="F13" s="269">
        <v>1549</v>
      </c>
      <c r="G13" s="269">
        <v>1983</v>
      </c>
      <c r="H13" s="269">
        <v>2573</v>
      </c>
      <c r="I13" s="270">
        <v>1789</v>
      </c>
      <c r="J13" s="269">
        <v>1673</v>
      </c>
      <c r="K13" s="269">
        <v>2505</v>
      </c>
      <c r="L13" s="269">
        <v>2364</v>
      </c>
      <c r="M13" s="269">
        <v>2824</v>
      </c>
      <c r="N13" s="272">
        <f t="shared" si="1"/>
        <v>29074</v>
      </c>
      <c r="O13" s="5"/>
    </row>
    <row r="14" spans="1:18" x14ac:dyDescent="0.2">
      <c r="A14" s="14" t="s">
        <v>44</v>
      </c>
      <c r="B14" s="269">
        <v>16305</v>
      </c>
      <c r="C14" s="269">
        <v>15656</v>
      </c>
      <c r="D14" s="269">
        <v>14713</v>
      </c>
      <c r="E14" s="269">
        <v>4660</v>
      </c>
      <c r="F14" s="269">
        <v>13747</v>
      </c>
      <c r="G14" s="269">
        <v>12364</v>
      </c>
      <c r="H14" s="269">
        <v>16552</v>
      </c>
      <c r="I14" s="270">
        <v>12559</v>
      </c>
      <c r="J14" s="269">
        <v>12411</v>
      </c>
      <c r="K14" s="269">
        <v>15680</v>
      </c>
      <c r="L14" s="269">
        <v>15276</v>
      </c>
      <c r="M14" s="269">
        <v>18979</v>
      </c>
      <c r="N14" s="272">
        <f t="shared" si="1"/>
        <v>168902</v>
      </c>
      <c r="O14" s="5"/>
    </row>
    <row r="15" spans="1:18" x14ac:dyDescent="0.2">
      <c r="A15" s="14" t="s">
        <v>120</v>
      </c>
      <c r="B15" s="269">
        <v>3641</v>
      </c>
      <c r="C15" s="269">
        <v>4115</v>
      </c>
      <c r="D15" s="269">
        <v>5038</v>
      </c>
      <c r="E15" s="269">
        <v>13887</v>
      </c>
      <c r="F15" s="269">
        <v>4847</v>
      </c>
      <c r="G15" s="269">
        <v>3823</v>
      </c>
      <c r="H15" s="269">
        <v>4721</v>
      </c>
      <c r="I15" s="270">
        <v>4937</v>
      </c>
      <c r="J15" s="269">
        <v>5339</v>
      </c>
      <c r="K15" s="269">
        <v>4904</v>
      </c>
      <c r="L15" s="269">
        <v>4705</v>
      </c>
      <c r="M15" s="269">
        <v>3869</v>
      </c>
      <c r="N15" s="272">
        <f>SUM(B15:M15)</f>
        <v>63826</v>
      </c>
      <c r="O15" s="5"/>
    </row>
    <row r="16" spans="1:18" ht="12" thickBot="1" x14ac:dyDescent="0.25">
      <c r="A16" s="14" t="s">
        <v>121</v>
      </c>
      <c r="B16" s="269">
        <v>7715</v>
      </c>
      <c r="C16" s="269">
        <v>8306</v>
      </c>
      <c r="D16" s="269">
        <v>7533</v>
      </c>
      <c r="E16" s="269">
        <v>6943</v>
      </c>
      <c r="F16" s="269">
        <v>6136</v>
      </c>
      <c r="G16" s="269">
        <v>4934</v>
      </c>
      <c r="H16" s="269">
        <v>6947</v>
      </c>
      <c r="I16" s="270">
        <v>5636</v>
      </c>
      <c r="J16" s="269">
        <v>5563</v>
      </c>
      <c r="K16" s="269">
        <v>6805</v>
      </c>
      <c r="L16" s="269">
        <v>6297</v>
      </c>
      <c r="M16" s="269">
        <v>8564</v>
      </c>
      <c r="N16" s="272">
        <f t="shared" si="1"/>
        <v>81379</v>
      </c>
      <c r="O16" s="5"/>
    </row>
    <row r="17" spans="1:15" ht="12" thickBot="1" x14ac:dyDescent="0.25">
      <c r="A17" s="9" t="s">
        <v>122</v>
      </c>
      <c r="B17" s="74">
        <f>SUM(B10:B16)</f>
        <v>148888</v>
      </c>
      <c r="C17" s="74">
        <f t="shared" ref="C17:M17" si="2">SUM(C10:C16)</f>
        <v>142009</v>
      </c>
      <c r="D17" s="74">
        <f t="shared" si="2"/>
        <v>92147</v>
      </c>
      <c r="E17" s="74">
        <f>SUM(E10:E16)</f>
        <v>72948</v>
      </c>
      <c r="F17" s="74">
        <f>SUM(F10:F16)</f>
        <v>68663</v>
      </c>
      <c r="G17" s="74">
        <f t="shared" si="2"/>
        <v>54173</v>
      </c>
      <c r="H17" s="74">
        <f t="shared" si="2"/>
        <v>80924</v>
      </c>
      <c r="I17" s="74">
        <f t="shared" si="2"/>
        <v>64662</v>
      </c>
      <c r="J17" s="74">
        <f t="shared" si="2"/>
        <v>63079</v>
      </c>
      <c r="K17" s="74">
        <f t="shared" si="2"/>
        <v>82196</v>
      </c>
      <c r="L17" s="74">
        <f t="shared" si="2"/>
        <v>88997</v>
      </c>
      <c r="M17" s="74">
        <f t="shared" si="2"/>
        <v>105974</v>
      </c>
      <c r="N17" s="75">
        <f t="shared" si="1"/>
        <v>1064660</v>
      </c>
      <c r="O17" s="5"/>
    </row>
    <row r="18" spans="1:15" x14ac:dyDescent="0.2">
      <c r="A18" s="43" t="s">
        <v>20</v>
      </c>
      <c r="B18" s="269"/>
      <c r="C18" s="269"/>
      <c r="D18" s="269"/>
      <c r="E18" s="269"/>
      <c r="F18" s="269"/>
      <c r="G18" s="269"/>
      <c r="H18" s="269"/>
      <c r="I18" s="270"/>
      <c r="J18" s="269"/>
      <c r="K18" s="269"/>
      <c r="L18" s="269"/>
      <c r="M18" s="271"/>
      <c r="N18" s="272"/>
      <c r="O18" s="5"/>
    </row>
    <row r="19" spans="1:15" x14ac:dyDescent="0.2">
      <c r="A19" s="14" t="s">
        <v>48</v>
      </c>
      <c r="B19" s="269">
        <v>3789</v>
      </c>
      <c r="C19" s="269">
        <v>3457</v>
      </c>
      <c r="D19" s="269">
        <v>2703</v>
      </c>
      <c r="E19" s="269">
        <v>2603</v>
      </c>
      <c r="F19" s="269">
        <v>2575</v>
      </c>
      <c r="G19" s="269">
        <v>2378</v>
      </c>
      <c r="H19" s="269">
        <v>3521</v>
      </c>
      <c r="I19" s="270">
        <v>2200</v>
      </c>
      <c r="J19" s="269">
        <v>3159</v>
      </c>
      <c r="K19" s="269">
        <v>3188</v>
      </c>
      <c r="L19" s="269">
        <v>3130</v>
      </c>
      <c r="M19" s="269">
        <v>3130</v>
      </c>
      <c r="N19" s="272">
        <f t="shared" ref="N19:N24" si="3">SUM(B19:M19)</f>
        <v>35833</v>
      </c>
      <c r="O19" s="5"/>
    </row>
    <row r="20" spans="1:15" x14ac:dyDescent="0.2">
      <c r="A20" s="14" t="s">
        <v>49</v>
      </c>
      <c r="B20" s="269">
        <v>8876</v>
      </c>
      <c r="C20" s="269">
        <v>9116</v>
      </c>
      <c r="D20" s="269">
        <v>8594</v>
      </c>
      <c r="E20" s="269">
        <v>6791</v>
      </c>
      <c r="F20" s="269">
        <v>7706</v>
      </c>
      <c r="G20" s="269">
        <v>4762</v>
      </c>
      <c r="H20" s="269">
        <v>7779</v>
      </c>
      <c r="I20" s="270">
        <v>7173</v>
      </c>
      <c r="J20" s="269">
        <v>5850</v>
      </c>
      <c r="K20" s="269">
        <v>5776</v>
      </c>
      <c r="L20" s="269">
        <v>5019</v>
      </c>
      <c r="M20" s="269">
        <v>4971</v>
      </c>
      <c r="N20" s="272">
        <f t="shared" si="3"/>
        <v>82413</v>
      </c>
      <c r="O20" s="5"/>
    </row>
    <row r="21" spans="1:15" x14ac:dyDescent="0.2">
      <c r="A21" s="14" t="s">
        <v>50</v>
      </c>
      <c r="B21" s="269">
        <v>14722</v>
      </c>
      <c r="C21" s="269">
        <v>12653</v>
      </c>
      <c r="D21" s="269">
        <v>11661</v>
      </c>
      <c r="E21" s="269">
        <v>9528</v>
      </c>
      <c r="F21" s="269">
        <v>10743</v>
      </c>
      <c r="G21" s="269">
        <v>8586</v>
      </c>
      <c r="H21" s="269">
        <v>12738</v>
      </c>
      <c r="I21" s="270">
        <v>11095</v>
      </c>
      <c r="J21" s="269">
        <v>10297</v>
      </c>
      <c r="K21" s="269">
        <v>9348</v>
      </c>
      <c r="L21" s="269">
        <v>7501</v>
      </c>
      <c r="M21" s="269">
        <v>11133</v>
      </c>
      <c r="N21" s="272">
        <f t="shared" si="3"/>
        <v>130005</v>
      </c>
      <c r="O21" s="5"/>
    </row>
    <row r="22" spans="1:15" x14ac:dyDescent="0.2">
      <c r="A22" s="14" t="s">
        <v>123</v>
      </c>
      <c r="B22" s="270">
        <v>22322</v>
      </c>
      <c r="C22" s="269">
        <v>16576</v>
      </c>
      <c r="D22" s="269">
        <v>9058</v>
      </c>
      <c r="E22" s="269">
        <v>9668</v>
      </c>
      <c r="F22" s="269">
        <v>9469</v>
      </c>
      <c r="G22" s="269">
        <v>8291</v>
      </c>
      <c r="H22" s="269">
        <v>16713</v>
      </c>
      <c r="I22" s="270">
        <v>9932</v>
      </c>
      <c r="J22" s="269">
        <v>8694</v>
      </c>
      <c r="K22" s="269">
        <v>11809</v>
      </c>
      <c r="L22" s="269">
        <v>12221</v>
      </c>
      <c r="M22" s="269">
        <v>9733</v>
      </c>
      <c r="N22" s="272">
        <f t="shared" si="3"/>
        <v>144486</v>
      </c>
      <c r="O22" s="5"/>
    </row>
    <row r="23" spans="1:15" ht="12" thickBot="1" x14ac:dyDescent="0.25">
      <c r="A23" s="14" t="s">
        <v>124</v>
      </c>
      <c r="B23" s="270">
        <v>11553</v>
      </c>
      <c r="C23" s="269">
        <v>7891</v>
      </c>
      <c r="D23" s="269">
        <v>3728</v>
      </c>
      <c r="E23" s="269">
        <v>3908</v>
      </c>
      <c r="F23" s="269">
        <v>4287</v>
      </c>
      <c r="G23" s="269">
        <v>4049</v>
      </c>
      <c r="H23" s="269">
        <v>8304</v>
      </c>
      <c r="I23" s="270">
        <v>4558</v>
      </c>
      <c r="J23" s="269">
        <v>3550</v>
      </c>
      <c r="K23" s="269">
        <v>5338</v>
      </c>
      <c r="L23" s="269">
        <v>5759</v>
      </c>
      <c r="M23" s="269">
        <v>3896</v>
      </c>
      <c r="N23" s="272">
        <f>SUM(B23:M23)</f>
        <v>66821</v>
      </c>
      <c r="O23" s="5"/>
    </row>
    <row r="24" spans="1:15" ht="12" thickBot="1" x14ac:dyDescent="0.25">
      <c r="A24" s="9" t="s">
        <v>125</v>
      </c>
      <c r="B24" s="74">
        <f>SUM(B19:B23)</f>
        <v>61262</v>
      </c>
      <c r="C24" s="74">
        <f>SUM(C19:C23)</f>
        <v>49693</v>
      </c>
      <c r="D24" s="74">
        <f>SUM(D19:D23)</f>
        <v>35744</v>
      </c>
      <c r="E24" s="74">
        <f>SUM(E19:E23)</f>
        <v>32498</v>
      </c>
      <c r="F24" s="74">
        <f>SUM(F19:F23)</f>
        <v>34780</v>
      </c>
      <c r="G24" s="74">
        <f t="shared" ref="G24:M24" si="4">SUM(G19:G23)</f>
        <v>28066</v>
      </c>
      <c r="H24" s="74">
        <f t="shared" si="4"/>
        <v>49055</v>
      </c>
      <c r="I24" s="74">
        <f t="shared" si="4"/>
        <v>34958</v>
      </c>
      <c r="J24" s="74">
        <f t="shared" si="4"/>
        <v>31550</v>
      </c>
      <c r="K24" s="74">
        <f t="shared" si="4"/>
        <v>35459</v>
      </c>
      <c r="L24" s="74">
        <f>SUM(L19:L23)</f>
        <v>33630</v>
      </c>
      <c r="M24" s="74">
        <f t="shared" si="4"/>
        <v>32863</v>
      </c>
      <c r="N24" s="75">
        <f t="shared" si="3"/>
        <v>459558</v>
      </c>
      <c r="O24" s="5"/>
    </row>
    <row r="25" spans="1:15" s="11" customFormat="1" x14ac:dyDescent="0.2">
      <c r="A25" s="82" t="s">
        <v>36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273"/>
    </row>
    <row r="26" spans="1:15" s="11" customFormat="1" x14ac:dyDescent="0.2">
      <c r="A26" s="35" t="s">
        <v>35</v>
      </c>
      <c r="B26" s="270">
        <v>7287</v>
      </c>
      <c r="C26" s="270">
        <v>4699</v>
      </c>
      <c r="D26" s="270">
        <v>1840</v>
      </c>
      <c r="E26" s="270">
        <v>1160</v>
      </c>
      <c r="F26" s="270">
        <v>536</v>
      </c>
      <c r="G26" s="269">
        <v>146</v>
      </c>
      <c r="H26" s="269">
        <v>1962</v>
      </c>
      <c r="I26" s="270">
        <v>535</v>
      </c>
      <c r="J26" s="269">
        <v>736</v>
      </c>
      <c r="K26" s="269">
        <v>876</v>
      </c>
      <c r="L26" s="269">
        <v>1778</v>
      </c>
      <c r="M26" s="270">
        <v>1272</v>
      </c>
      <c r="N26" s="272">
        <f>SUM(B26:M26)</f>
        <v>22827</v>
      </c>
    </row>
    <row r="27" spans="1:15" s="11" customFormat="1" ht="12" thickBot="1" x14ac:dyDescent="0.25">
      <c r="A27" s="35" t="s">
        <v>126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274"/>
    </row>
    <row r="28" spans="1:15" s="18" customFormat="1" ht="12" thickBot="1" x14ac:dyDescent="0.25">
      <c r="A28" s="9" t="s">
        <v>34</v>
      </c>
      <c r="B28" s="74">
        <f>SUM(B26:B27)</f>
        <v>7287</v>
      </c>
      <c r="C28" s="74">
        <f t="shared" ref="C28:M28" si="5">SUM(C26:C27)</f>
        <v>4699</v>
      </c>
      <c r="D28" s="74">
        <f t="shared" si="5"/>
        <v>1840</v>
      </c>
      <c r="E28" s="74">
        <f t="shared" si="5"/>
        <v>1160</v>
      </c>
      <c r="F28" s="74">
        <f t="shared" si="5"/>
        <v>536</v>
      </c>
      <c r="G28" s="74">
        <f t="shared" si="5"/>
        <v>146</v>
      </c>
      <c r="H28" s="74">
        <f t="shared" si="5"/>
        <v>1962</v>
      </c>
      <c r="I28" s="74">
        <f t="shared" si="5"/>
        <v>535</v>
      </c>
      <c r="J28" s="74">
        <f t="shared" si="5"/>
        <v>736</v>
      </c>
      <c r="K28" s="74">
        <f t="shared" si="5"/>
        <v>876</v>
      </c>
      <c r="L28" s="74">
        <f t="shared" si="5"/>
        <v>1778</v>
      </c>
      <c r="M28" s="74">
        <f t="shared" si="5"/>
        <v>1272</v>
      </c>
      <c r="N28" s="75">
        <f>SUM(B28:M28)</f>
        <v>22827</v>
      </c>
    </row>
    <row r="29" spans="1:15" s="57" customFormat="1" x14ac:dyDescent="0.2">
      <c r="A29" s="49" t="s">
        <v>127</v>
      </c>
      <c r="B29" s="269"/>
      <c r="C29" s="269"/>
      <c r="D29" s="269"/>
      <c r="E29" s="269"/>
      <c r="F29" s="269"/>
      <c r="G29" s="269"/>
      <c r="H29" s="269"/>
      <c r="I29" s="270"/>
      <c r="J29" s="269"/>
      <c r="K29" s="269"/>
      <c r="L29" s="269"/>
      <c r="M29" s="269"/>
      <c r="N29" s="275"/>
      <c r="O29" s="6"/>
    </row>
    <row r="30" spans="1:15" s="57" customFormat="1" x14ac:dyDescent="0.2">
      <c r="A30" s="20" t="s">
        <v>128</v>
      </c>
      <c r="B30" s="270">
        <v>5365</v>
      </c>
      <c r="C30" s="270">
        <v>4377</v>
      </c>
      <c r="D30" s="269">
        <v>4225</v>
      </c>
      <c r="E30" s="269">
        <v>2487</v>
      </c>
      <c r="F30" s="269">
        <v>2682</v>
      </c>
      <c r="G30" s="269">
        <v>2830</v>
      </c>
      <c r="H30" s="269">
        <v>3851</v>
      </c>
      <c r="I30" s="270">
        <v>3385</v>
      </c>
      <c r="J30" s="269">
        <v>3416</v>
      </c>
      <c r="K30" s="269">
        <v>5305</v>
      </c>
      <c r="L30" s="269">
        <v>4976</v>
      </c>
      <c r="M30" s="269">
        <v>5517</v>
      </c>
      <c r="N30" s="275">
        <f>SUM(B30:M30)</f>
        <v>48416</v>
      </c>
      <c r="O30" s="6"/>
    </row>
    <row r="31" spans="1:15" s="57" customFormat="1" ht="12" thickBot="1" x14ac:dyDescent="0.25">
      <c r="A31" s="20" t="s">
        <v>129</v>
      </c>
      <c r="B31" s="268"/>
      <c r="C31" s="268">
        <v>0</v>
      </c>
      <c r="D31" s="268">
        <v>0</v>
      </c>
      <c r="E31" s="268">
        <v>0</v>
      </c>
      <c r="F31" s="268">
        <v>0</v>
      </c>
      <c r="G31" s="268">
        <v>0</v>
      </c>
      <c r="H31" s="268">
        <v>0</v>
      </c>
      <c r="I31" s="270">
        <v>0</v>
      </c>
      <c r="J31" s="269">
        <v>0</v>
      </c>
      <c r="K31" s="269">
        <v>0</v>
      </c>
      <c r="L31" s="269">
        <v>0</v>
      </c>
      <c r="M31" s="269">
        <v>0</v>
      </c>
      <c r="N31" s="275">
        <f>SUM(B31:M31)</f>
        <v>0</v>
      </c>
      <c r="O31" s="6"/>
    </row>
    <row r="32" spans="1:15" s="57" customFormat="1" ht="12" thickBot="1" x14ac:dyDescent="0.25">
      <c r="A32" s="15" t="s">
        <v>130</v>
      </c>
      <c r="B32" s="74">
        <f t="shared" ref="B32:G32" si="6">SUM(B30:B31)</f>
        <v>5365</v>
      </c>
      <c r="C32" s="74">
        <f t="shared" si="6"/>
        <v>4377</v>
      </c>
      <c r="D32" s="74">
        <f t="shared" si="6"/>
        <v>4225</v>
      </c>
      <c r="E32" s="74">
        <f t="shared" si="6"/>
        <v>2487</v>
      </c>
      <c r="F32" s="74">
        <f t="shared" si="6"/>
        <v>2682</v>
      </c>
      <c r="G32" s="74">
        <f t="shared" si="6"/>
        <v>2830</v>
      </c>
      <c r="H32" s="74">
        <f t="shared" ref="H32:M32" si="7">SUM(H30:H31)</f>
        <v>3851</v>
      </c>
      <c r="I32" s="74">
        <f t="shared" si="7"/>
        <v>3385</v>
      </c>
      <c r="J32" s="74">
        <f t="shared" si="7"/>
        <v>3416</v>
      </c>
      <c r="K32" s="74">
        <f t="shared" si="7"/>
        <v>5305</v>
      </c>
      <c r="L32" s="74">
        <f t="shared" si="7"/>
        <v>4976</v>
      </c>
      <c r="M32" s="74">
        <f t="shared" si="7"/>
        <v>5517</v>
      </c>
      <c r="N32" s="77">
        <f>SUM(B32:M32)</f>
        <v>48416</v>
      </c>
      <c r="O32" s="6"/>
    </row>
    <row r="33" spans="1:15" s="57" customFormat="1" x14ac:dyDescent="0.2">
      <c r="A33" s="49" t="s">
        <v>131</v>
      </c>
      <c r="B33" s="269"/>
      <c r="C33" s="269"/>
      <c r="D33" s="269"/>
      <c r="E33" s="269"/>
      <c r="F33" s="269"/>
      <c r="G33" s="269"/>
      <c r="H33" s="269"/>
      <c r="I33" s="270"/>
      <c r="J33" s="269"/>
      <c r="K33" s="269"/>
      <c r="L33" s="269"/>
      <c r="M33" s="269"/>
      <c r="N33" s="275"/>
      <c r="O33" s="6"/>
    </row>
    <row r="34" spans="1:15" s="57" customFormat="1" x14ac:dyDescent="0.2">
      <c r="A34" s="20" t="s">
        <v>59</v>
      </c>
      <c r="B34" s="269">
        <v>0</v>
      </c>
      <c r="C34" s="269">
        <v>0</v>
      </c>
      <c r="D34" s="269">
        <v>0</v>
      </c>
      <c r="E34" s="269">
        <v>0</v>
      </c>
      <c r="F34" s="269">
        <v>0</v>
      </c>
      <c r="G34" s="269">
        <v>0</v>
      </c>
      <c r="H34" s="269">
        <v>0</v>
      </c>
      <c r="I34" s="269">
        <v>0</v>
      </c>
      <c r="J34" s="269">
        <v>0</v>
      </c>
      <c r="K34" s="269">
        <v>0</v>
      </c>
      <c r="L34" s="269">
        <v>0</v>
      </c>
      <c r="M34" s="269">
        <v>0</v>
      </c>
      <c r="N34" s="275">
        <f>SUM(B34:M34)</f>
        <v>0</v>
      </c>
      <c r="O34" s="6"/>
    </row>
    <row r="35" spans="1:15" s="57" customFormat="1" x14ac:dyDescent="0.2">
      <c r="A35" s="20" t="s">
        <v>96</v>
      </c>
      <c r="B35" s="269">
        <v>0</v>
      </c>
      <c r="C35" s="269">
        <v>0</v>
      </c>
      <c r="D35" s="269">
        <v>0</v>
      </c>
      <c r="E35" s="269">
        <v>0</v>
      </c>
      <c r="F35" s="269">
        <v>0</v>
      </c>
      <c r="G35" s="269">
        <v>0</v>
      </c>
      <c r="H35" s="269">
        <v>0</v>
      </c>
      <c r="I35" s="269">
        <v>0</v>
      </c>
      <c r="J35" s="269">
        <v>0</v>
      </c>
      <c r="K35" s="269">
        <v>2300</v>
      </c>
      <c r="L35" s="269">
        <v>2200</v>
      </c>
      <c r="M35" s="269">
        <v>400</v>
      </c>
      <c r="N35" s="275">
        <f>SUM(B35:M35)</f>
        <v>4900</v>
      </c>
      <c r="O35" s="6"/>
    </row>
    <row r="36" spans="1:15" s="57" customFormat="1" x14ac:dyDescent="0.2">
      <c r="A36" s="20" t="s">
        <v>61</v>
      </c>
      <c r="B36" s="269">
        <v>0</v>
      </c>
      <c r="C36" s="269">
        <v>0</v>
      </c>
      <c r="D36" s="269">
        <v>0</v>
      </c>
      <c r="E36" s="269">
        <v>0</v>
      </c>
      <c r="F36" s="269">
        <v>0</v>
      </c>
      <c r="G36" s="269">
        <v>0</v>
      </c>
      <c r="H36" s="269">
        <v>0</v>
      </c>
      <c r="I36" s="269">
        <v>0</v>
      </c>
      <c r="J36" s="269">
        <v>0</v>
      </c>
      <c r="K36" s="269">
        <v>0</v>
      </c>
      <c r="L36" s="269">
        <v>0</v>
      </c>
      <c r="M36" s="269">
        <v>0</v>
      </c>
      <c r="N36" s="275">
        <f>SUM(B36:M36)</f>
        <v>0</v>
      </c>
      <c r="O36" s="6"/>
    </row>
    <row r="37" spans="1:15" s="57" customFormat="1" ht="12" thickBot="1" x14ac:dyDescent="0.25">
      <c r="A37" s="20" t="s">
        <v>62</v>
      </c>
      <c r="B37" s="269">
        <v>0</v>
      </c>
      <c r="C37" s="269">
        <v>0</v>
      </c>
      <c r="D37" s="269">
        <v>0</v>
      </c>
      <c r="E37" s="269">
        <v>0</v>
      </c>
      <c r="F37" s="269">
        <v>0</v>
      </c>
      <c r="G37" s="269">
        <v>0</v>
      </c>
      <c r="H37" s="269">
        <v>0</v>
      </c>
      <c r="I37" s="270">
        <v>121</v>
      </c>
      <c r="J37" s="269">
        <v>874</v>
      </c>
      <c r="K37" s="269">
        <v>306</v>
      </c>
      <c r="L37" s="269">
        <v>314</v>
      </c>
      <c r="M37" s="269">
        <v>497</v>
      </c>
      <c r="N37" s="275">
        <f>SUM(B37:M37)</f>
        <v>2112</v>
      </c>
      <c r="O37" s="6"/>
    </row>
    <row r="38" spans="1:15" s="57" customFormat="1" ht="12" thickBot="1" x14ac:dyDescent="0.25">
      <c r="A38" s="15" t="s">
        <v>132</v>
      </c>
      <c r="B38" s="74">
        <f>SUM(B34:B37)</f>
        <v>0</v>
      </c>
      <c r="C38" s="74">
        <f t="shared" ref="C38:M38" si="8">SUM(C34:C37)</f>
        <v>0</v>
      </c>
      <c r="D38" s="74">
        <f t="shared" si="8"/>
        <v>0</v>
      </c>
      <c r="E38" s="74">
        <f t="shared" si="8"/>
        <v>0</v>
      </c>
      <c r="F38" s="74">
        <f t="shared" si="8"/>
        <v>0</v>
      </c>
      <c r="G38" s="74">
        <f t="shared" si="8"/>
        <v>0</v>
      </c>
      <c r="H38" s="74">
        <f t="shared" si="8"/>
        <v>0</v>
      </c>
      <c r="I38" s="74">
        <f t="shared" si="8"/>
        <v>121</v>
      </c>
      <c r="J38" s="74">
        <f t="shared" si="8"/>
        <v>874</v>
      </c>
      <c r="K38" s="74">
        <f t="shared" si="8"/>
        <v>2606</v>
      </c>
      <c r="L38" s="74">
        <f t="shared" si="8"/>
        <v>2514</v>
      </c>
      <c r="M38" s="74">
        <f t="shared" si="8"/>
        <v>897</v>
      </c>
      <c r="N38" s="77">
        <f>SUM(B38:M38)</f>
        <v>7012</v>
      </c>
      <c r="O38" s="6"/>
    </row>
    <row r="39" spans="1:15" s="57" customFormat="1" x14ac:dyDescent="0.2">
      <c r="A39" s="49" t="s">
        <v>133</v>
      </c>
      <c r="B39" s="269"/>
      <c r="C39" s="269"/>
      <c r="D39" s="269"/>
      <c r="E39" s="269"/>
      <c r="F39" s="269"/>
      <c r="G39" s="269"/>
      <c r="H39" s="269"/>
      <c r="I39" s="270"/>
      <c r="J39" s="269"/>
      <c r="K39" s="269"/>
      <c r="L39" s="269"/>
      <c r="M39" s="269"/>
      <c r="N39" s="275"/>
      <c r="O39" s="6"/>
    </row>
    <row r="40" spans="1:15" s="57" customFormat="1" x14ac:dyDescent="0.2">
      <c r="A40" s="20" t="s">
        <v>134</v>
      </c>
      <c r="B40" s="269">
        <v>1020</v>
      </c>
      <c r="C40" s="269">
        <v>830</v>
      </c>
      <c r="D40" s="269">
        <v>956</v>
      </c>
      <c r="E40" s="269">
        <v>681</v>
      </c>
      <c r="F40" s="269">
        <v>859</v>
      </c>
      <c r="G40" s="269">
        <v>549</v>
      </c>
      <c r="H40" s="269">
        <v>948</v>
      </c>
      <c r="I40" s="270">
        <v>727</v>
      </c>
      <c r="J40" s="269">
        <v>699</v>
      </c>
      <c r="K40" s="269">
        <v>929</v>
      </c>
      <c r="L40" s="269">
        <v>916</v>
      </c>
      <c r="M40" s="269">
        <v>812</v>
      </c>
      <c r="N40" s="275">
        <f>SUM(B40:M40)</f>
        <v>9926</v>
      </c>
      <c r="O40" s="6"/>
    </row>
    <row r="41" spans="1:15" s="57" customFormat="1" ht="12" thickBot="1" x14ac:dyDescent="0.25">
      <c r="A41" s="20" t="s">
        <v>135</v>
      </c>
      <c r="B41" s="269">
        <v>698</v>
      </c>
      <c r="C41" s="269">
        <v>485</v>
      </c>
      <c r="D41" s="269">
        <v>673</v>
      </c>
      <c r="E41" s="269">
        <v>498</v>
      </c>
      <c r="F41" s="269">
        <v>792</v>
      </c>
      <c r="G41" s="269">
        <v>488</v>
      </c>
      <c r="H41" s="269">
        <v>687</v>
      </c>
      <c r="I41" s="270">
        <v>558</v>
      </c>
      <c r="J41" s="269">
        <v>532</v>
      </c>
      <c r="K41" s="269">
        <v>715</v>
      </c>
      <c r="L41" s="269">
        <v>705</v>
      </c>
      <c r="M41" s="269">
        <v>604</v>
      </c>
      <c r="N41" s="275">
        <f>SUM(B41:M41)</f>
        <v>7435</v>
      </c>
      <c r="O41" s="6"/>
    </row>
    <row r="42" spans="1:15" s="57" customFormat="1" ht="12" thickBot="1" x14ac:dyDescent="0.25">
      <c r="A42" s="15" t="s">
        <v>136</v>
      </c>
      <c r="B42" s="78">
        <f t="shared" ref="B42:M42" si="9">SUM(B40:B41)</f>
        <v>1718</v>
      </c>
      <c r="C42" s="78">
        <f t="shared" si="9"/>
        <v>1315</v>
      </c>
      <c r="D42" s="78">
        <f t="shared" si="9"/>
        <v>1629</v>
      </c>
      <c r="E42" s="78">
        <f t="shared" si="9"/>
        <v>1179</v>
      </c>
      <c r="F42" s="78">
        <f t="shared" si="9"/>
        <v>1651</v>
      </c>
      <c r="G42" s="78">
        <f t="shared" si="9"/>
        <v>1037</v>
      </c>
      <c r="H42" s="78">
        <f t="shared" si="9"/>
        <v>1635</v>
      </c>
      <c r="I42" s="78">
        <f t="shared" si="9"/>
        <v>1285</v>
      </c>
      <c r="J42" s="78">
        <f t="shared" si="9"/>
        <v>1231</v>
      </c>
      <c r="K42" s="78">
        <f t="shared" si="9"/>
        <v>1644</v>
      </c>
      <c r="L42" s="78">
        <f t="shared" si="9"/>
        <v>1621</v>
      </c>
      <c r="M42" s="78">
        <f t="shared" si="9"/>
        <v>1416</v>
      </c>
      <c r="N42" s="84">
        <f>SUM(B42:M42)</f>
        <v>17361</v>
      </c>
      <c r="O42" s="6"/>
    </row>
    <row r="43" spans="1:15" s="57" customFormat="1" ht="12" thickBot="1" x14ac:dyDescent="0.25">
      <c r="A43" s="15" t="s">
        <v>180</v>
      </c>
      <c r="B43" s="74">
        <v>3920</v>
      </c>
      <c r="C43" s="74">
        <v>3942</v>
      </c>
      <c r="D43" s="74">
        <v>2137</v>
      </c>
      <c r="E43" s="74">
        <v>1952</v>
      </c>
      <c r="F43" s="74">
        <v>1464</v>
      </c>
      <c r="G43" s="74">
        <v>1088</v>
      </c>
      <c r="H43" s="74">
        <v>2501</v>
      </c>
      <c r="I43" s="74">
        <v>1627</v>
      </c>
      <c r="J43" s="74">
        <v>1991</v>
      </c>
      <c r="K43" s="74">
        <v>2540</v>
      </c>
      <c r="L43" s="74">
        <v>2956</v>
      </c>
      <c r="M43" s="74">
        <v>3946</v>
      </c>
      <c r="N43" s="77">
        <f>SUM(B43:M43)</f>
        <v>30064</v>
      </c>
      <c r="O43" s="6"/>
    </row>
    <row r="44" spans="1:15" s="57" customFormat="1" ht="12" thickBot="1" x14ac:dyDescent="0.25">
      <c r="A44" s="15" t="s">
        <v>137</v>
      </c>
      <c r="B44" s="85"/>
      <c r="C44" s="85"/>
      <c r="D44" s="85">
        <v>389</v>
      </c>
      <c r="E44" s="85">
        <v>1679</v>
      </c>
      <c r="F44" s="85">
        <f>148+115+157+135+201+167+351+327+228</f>
        <v>1829</v>
      </c>
      <c r="G44" s="85">
        <f>85+156+128+173+171+211+136+198+196</f>
        <v>1454</v>
      </c>
      <c r="H44" s="85">
        <f>130+289+432+430+410+430+434+439+433+375+197</f>
        <v>3999</v>
      </c>
      <c r="I44" s="85">
        <v>2183</v>
      </c>
      <c r="J44" s="85">
        <v>2261</v>
      </c>
      <c r="K44" s="85">
        <f>309+323+363+273+373+326+251+411+281</f>
        <v>2910</v>
      </c>
      <c r="L44" s="85">
        <f>305+190+279+196+316+281+342+232</f>
        <v>2141</v>
      </c>
      <c r="M44" s="85">
        <f>215+142</f>
        <v>357</v>
      </c>
      <c r="N44" s="86">
        <f>SUM(B44:M44)</f>
        <v>19202</v>
      </c>
      <c r="O44" s="6"/>
    </row>
    <row r="45" spans="1:15" s="69" customFormat="1" ht="12" thickBot="1" x14ac:dyDescent="0.25">
      <c r="A45" s="16"/>
      <c r="B45" s="22"/>
      <c r="C45" s="22"/>
      <c r="D45" s="22"/>
      <c r="E45" s="22"/>
      <c r="F45" s="22"/>
      <c r="G45" s="22"/>
      <c r="H45" s="22"/>
      <c r="I45" s="17"/>
      <c r="J45" s="22"/>
      <c r="K45" s="22"/>
      <c r="L45" s="22"/>
      <c r="M45" s="22"/>
      <c r="N45" s="87"/>
      <c r="O45" s="22"/>
    </row>
    <row r="46" spans="1:15" ht="12" thickBot="1" x14ac:dyDescent="0.25">
      <c r="A46" s="88" t="s">
        <v>138</v>
      </c>
      <c r="B46" s="89">
        <f>B8+B17+B24+B28+B32+B33+B42+B43+B44</f>
        <v>255710</v>
      </c>
      <c r="C46" s="89">
        <f t="shared" ref="C46:M46" si="10">C8+C17+C24+C28+C32+C33+C42+C43+C44</f>
        <v>225436</v>
      </c>
      <c r="D46" s="89">
        <f t="shared" si="10"/>
        <v>172514</v>
      </c>
      <c r="E46" s="89">
        <f t="shared" si="10"/>
        <v>145054</v>
      </c>
      <c r="F46" s="89">
        <f t="shared" si="10"/>
        <v>152608</v>
      </c>
      <c r="G46" s="89">
        <f t="shared" si="10"/>
        <v>128692</v>
      </c>
      <c r="H46" s="89">
        <f t="shared" si="10"/>
        <v>189538</v>
      </c>
      <c r="I46" s="89">
        <f t="shared" si="10"/>
        <v>151170</v>
      </c>
      <c r="J46" s="89">
        <f t="shared" si="10"/>
        <v>147902</v>
      </c>
      <c r="K46" s="89">
        <f t="shared" si="10"/>
        <v>173181</v>
      </c>
      <c r="L46" s="89">
        <f t="shared" si="10"/>
        <v>178668</v>
      </c>
      <c r="M46" s="89">
        <f t="shared" si="10"/>
        <v>198552</v>
      </c>
      <c r="N46" s="93">
        <f>SUM(N8,N17,N24,N28,N32,N42+N43+N44)</f>
        <v>2119025</v>
      </c>
      <c r="O46" s="5"/>
    </row>
    <row r="47" spans="1:15" x14ac:dyDescent="0.2">
      <c r="K47" s="57"/>
      <c r="L47" s="57"/>
      <c r="M47" s="57"/>
      <c r="N47" s="59"/>
      <c r="O47" s="26"/>
    </row>
    <row r="48" spans="1:15" x14ac:dyDescent="0.2">
      <c r="A48" s="28" t="s">
        <v>27</v>
      </c>
      <c r="B48" s="57"/>
      <c r="C48" s="57"/>
      <c r="D48" s="57"/>
      <c r="E48" s="57"/>
      <c r="F48" s="57"/>
      <c r="G48" s="57"/>
      <c r="H48" s="57"/>
      <c r="I48" s="58"/>
      <c r="J48" s="57"/>
    </row>
    <row r="49" spans="1:15" x14ac:dyDescent="0.2">
      <c r="A49" s="28" t="s">
        <v>28</v>
      </c>
      <c r="O49" s="57"/>
    </row>
    <row r="50" spans="1:15" s="60" customFormat="1" x14ac:dyDescent="0.2">
      <c r="A50" s="28" t="s">
        <v>139</v>
      </c>
      <c r="B50" s="55"/>
      <c r="C50" s="55"/>
      <c r="D50" s="55"/>
      <c r="E50" s="55"/>
      <c r="F50" s="55"/>
      <c r="G50" s="55"/>
      <c r="H50" s="55"/>
      <c r="I50" s="56"/>
      <c r="J50" s="55"/>
    </row>
    <row r="51" spans="1:15" x14ac:dyDescent="0.2">
      <c r="A51" s="31" t="s">
        <v>140</v>
      </c>
      <c r="B51" s="60"/>
      <c r="C51" s="60"/>
      <c r="D51" s="60"/>
      <c r="E51" s="60"/>
      <c r="F51" s="60"/>
      <c r="G51" s="60"/>
      <c r="H51" s="60"/>
      <c r="I51" s="60"/>
      <c r="J51" s="60"/>
    </row>
    <row r="52" spans="1:15" x14ac:dyDescent="0.2">
      <c r="A52" s="31" t="s">
        <v>141</v>
      </c>
      <c r="B52" s="60"/>
      <c r="C52" s="60"/>
      <c r="D52" s="60"/>
      <c r="E52" s="60"/>
      <c r="F52" s="60"/>
      <c r="G52" s="60"/>
      <c r="H52" s="60"/>
      <c r="I52" s="60"/>
      <c r="J52" s="60"/>
    </row>
    <row r="53" spans="1:15" x14ac:dyDescent="0.2">
      <c r="I53" s="55"/>
    </row>
    <row r="54" spans="1:15" x14ac:dyDescent="0.2">
      <c r="I54" s="55"/>
    </row>
    <row r="55" spans="1:15" x14ac:dyDescent="0.2">
      <c r="I55" s="55"/>
    </row>
    <row r="56" spans="1:15" x14ac:dyDescent="0.2">
      <c r="I56" s="55"/>
    </row>
    <row r="57" spans="1:15" x14ac:dyDescent="0.2">
      <c r="I57" s="55"/>
    </row>
    <row r="58" spans="1:15" x14ac:dyDescent="0.2">
      <c r="I58" s="55"/>
    </row>
    <row r="59" spans="1:15" x14ac:dyDescent="0.2">
      <c r="I59" s="55"/>
    </row>
    <row r="60" spans="1:15" x14ac:dyDescent="0.2">
      <c r="I60" s="55"/>
    </row>
    <row r="61" spans="1:15" x14ac:dyDescent="0.2">
      <c r="I61" s="55"/>
    </row>
    <row r="62" spans="1:15" x14ac:dyDescent="0.2">
      <c r="I62" s="55"/>
    </row>
    <row r="63" spans="1:15" x14ac:dyDescent="0.2">
      <c r="I63" s="55"/>
    </row>
    <row r="64" spans="1:15" x14ac:dyDescent="0.2">
      <c r="I64" s="55"/>
    </row>
    <row r="65" spans="9:9" x14ac:dyDescent="0.2">
      <c r="I65" s="55"/>
    </row>
    <row r="66" spans="9:9" x14ac:dyDescent="0.2">
      <c r="I66" s="55"/>
    </row>
    <row r="67" spans="9:9" x14ac:dyDescent="0.2">
      <c r="I67" s="55"/>
    </row>
    <row r="68" spans="9:9" x14ac:dyDescent="0.2">
      <c r="I68" s="55"/>
    </row>
    <row r="69" spans="9:9" x14ac:dyDescent="0.2">
      <c r="I69" s="55"/>
    </row>
    <row r="70" spans="9:9" x14ac:dyDescent="0.2">
      <c r="I70" s="55"/>
    </row>
    <row r="71" spans="9:9" x14ac:dyDescent="0.2">
      <c r="I71" s="55"/>
    </row>
    <row r="72" spans="9:9" x14ac:dyDescent="0.2">
      <c r="I72" s="55"/>
    </row>
    <row r="73" spans="9:9" x14ac:dyDescent="0.2">
      <c r="I73" s="55"/>
    </row>
    <row r="74" spans="9:9" x14ac:dyDescent="0.2">
      <c r="I74" s="55"/>
    </row>
    <row r="75" spans="9:9" x14ac:dyDescent="0.2">
      <c r="I75" s="55"/>
    </row>
  </sheetData>
  <mergeCells count="1">
    <mergeCell ref="A2:N2"/>
  </mergeCells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82" fitToHeight="182" orientation="landscape" r:id="rId1"/>
  <headerFooter alignWithMargins="0"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4"/>
  <sheetViews>
    <sheetView showGridLines="0" showRowColHeaders="0" showRuler="0" view="pageLayout" topLeftCell="A16" zoomScaleNormal="100" workbookViewId="0">
      <selection activeCell="A14" sqref="A14"/>
    </sheetView>
  </sheetViews>
  <sheetFormatPr baseColWidth="10" defaultRowHeight="11.25" x14ac:dyDescent="0.2"/>
  <cols>
    <col min="1" max="1" width="57.5703125" style="4" customWidth="1"/>
    <col min="2" max="8" width="7.28515625" style="5" customWidth="1"/>
    <col min="9" max="9" width="7.28515625" style="7" customWidth="1"/>
    <col min="10" max="13" width="7.28515625" style="5" customWidth="1"/>
    <col min="14" max="14" width="9.28515625" style="4" customWidth="1"/>
    <col min="15" max="16384" width="11.42578125" style="5"/>
  </cols>
  <sheetData>
    <row r="2" spans="1:18" s="135" customFormat="1" ht="24.95" customHeight="1" x14ac:dyDescent="0.2">
      <c r="A2" s="420" t="s">
        <v>81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</row>
    <row r="3" spans="1:18" ht="12" thickBot="1" x14ac:dyDescent="0.25"/>
    <row r="4" spans="1:18" s="2" customFormat="1" ht="12" thickBot="1" x14ac:dyDescent="0.25">
      <c r="A4" s="9" t="s">
        <v>0</v>
      </c>
      <c r="B4" s="73" t="s">
        <v>1</v>
      </c>
      <c r="C4" s="73" t="s">
        <v>2</v>
      </c>
      <c r="D4" s="73" t="s">
        <v>3</v>
      </c>
      <c r="E4" s="73" t="s">
        <v>4</v>
      </c>
      <c r="F4" s="73" t="s">
        <v>5</v>
      </c>
      <c r="G4" s="73" t="s">
        <v>6</v>
      </c>
      <c r="H4" s="73" t="s">
        <v>7</v>
      </c>
      <c r="I4" s="73" t="s">
        <v>8</v>
      </c>
      <c r="J4" s="73" t="s">
        <v>9</v>
      </c>
      <c r="K4" s="73" t="s">
        <v>10</v>
      </c>
      <c r="L4" s="73" t="s">
        <v>11</v>
      </c>
      <c r="M4" s="73" t="s">
        <v>12</v>
      </c>
      <c r="N4" s="72" t="s">
        <v>13</v>
      </c>
      <c r="O4" s="3"/>
      <c r="P4" s="3"/>
      <c r="Q4" s="3"/>
      <c r="R4" s="3"/>
    </row>
    <row r="5" spans="1:18" x14ac:dyDescent="0.2">
      <c r="A5" s="43" t="s">
        <v>82</v>
      </c>
      <c r="B5" s="44"/>
      <c r="C5" s="6"/>
      <c r="D5" s="6"/>
      <c r="E5" s="6"/>
      <c r="F5" s="6"/>
      <c r="G5" s="6"/>
      <c r="H5" s="6"/>
      <c r="I5" s="12"/>
      <c r="J5" s="6"/>
      <c r="K5" s="6"/>
      <c r="L5" s="6"/>
      <c r="M5" s="45"/>
      <c r="N5" s="13"/>
    </row>
    <row r="6" spans="1:18" x14ac:dyDescent="0.2">
      <c r="A6" s="14" t="s">
        <v>15</v>
      </c>
      <c r="B6" s="12">
        <v>31636</v>
      </c>
      <c r="C6" s="6">
        <v>29759</v>
      </c>
      <c r="D6" s="6">
        <v>27108</v>
      </c>
      <c r="E6" s="6">
        <v>27446</v>
      </c>
      <c r="F6" s="6">
        <v>35696</v>
      </c>
      <c r="G6" s="6">
        <v>29681</v>
      </c>
      <c r="H6" s="6">
        <v>31046</v>
      </c>
      <c r="I6" s="12">
        <v>28531</v>
      </c>
      <c r="J6" s="6">
        <v>29329</v>
      </c>
      <c r="K6" s="6">
        <v>24705</v>
      </c>
      <c r="L6" s="6">
        <v>23531</v>
      </c>
      <c r="M6" s="6">
        <v>24164</v>
      </c>
      <c r="N6" s="13">
        <f>SUM(B6:M6)</f>
        <v>342632</v>
      </c>
    </row>
    <row r="7" spans="1:18" x14ac:dyDescent="0.2">
      <c r="A7" s="14" t="s">
        <v>16</v>
      </c>
      <c r="B7" s="12">
        <v>8587</v>
      </c>
      <c r="C7" s="6">
        <v>7053</v>
      </c>
      <c r="D7" s="6">
        <v>7472</v>
      </c>
      <c r="E7" s="6">
        <v>7991</v>
      </c>
      <c r="F7" s="6">
        <v>7727</v>
      </c>
      <c r="G7" s="6">
        <v>7246</v>
      </c>
      <c r="H7" s="6">
        <v>8082</v>
      </c>
      <c r="I7" s="12">
        <v>6906</v>
      </c>
      <c r="J7" s="6">
        <v>8281</v>
      </c>
      <c r="K7" s="6">
        <v>8020</v>
      </c>
      <c r="L7" s="6">
        <v>5375</v>
      </c>
      <c r="M7" s="6">
        <v>5472</v>
      </c>
      <c r="N7" s="13">
        <f>SUM(B7:M7)</f>
        <v>88212</v>
      </c>
    </row>
    <row r="8" spans="1:18" ht="12" thickBot="1" x14ac:dyDescent="0.25">
      <c r="A8" s="14" t="s">
        <v>38</v>
      </c>
      <c r="B8" s="12">
        <v>3966</v>
      </c>
      <c r="C8" s="6">
        <v>4865</v>
      </c>
      <c r="D8" s="6">
        <v>3638</v>
      </c>
      <c r="E8" s="6">
        <v>4465</v>
      </c>
      <c r="F8" s="6">
        <v>4022</v>
      </c>
      <c r="G8" s="6">
        <v>3745</v>
      </c>
      <c r="H8" s="6">
        <v>3920</v>
      </c>
      <c r="I8" s="12">
        <v>2840</v>
      </c>
      <c r="J8" s="6">
        <v>3409</v>
      </c>
      <c r="K8" s="6">
        <v>4516</v>
      </c>
      <c r="L8" s="6">
        <v>2907</v>
      </c>
      <c r="M8" s="6">
        <v>3725</v>
      </c>
      <c r="N8" s="13">
        <f>SUM(B8:M8)</f>
        <v>46018</v>
      </c>
    </row>
    <row r="9" spans="1:18" s="2" customFormat="1" ht="12" thickBot="1" x14ac:dyDescent="0.25">
      <c r="A9" s="9" t="s">
        <v>39</v>
      </c>
      <c r="B9" s="74">
        <f>SUM(B6:B8)</f>
        <v>44189</v>
      </c>
      <c r="C9" s="74">
        <f t="shared" ref="C9:M9" si="0">SUM(C6:C8)</f>
        <v>41677</v>
      </c>
      <c r="D9" s="74">
        <f t="shared" si="0"/>
        <v>38218</v>
      </c>
      <c r="E9" s="74">
        <f t="shared" si="0"/>
        <v>39902</v>
      </c>
      <c r="F9" s="74">
        <f t="shared" si="0"/>
        <v>47445</v>
      </c>
      <c r="G9" s="74">
        <f t="shared" si="0"/>
        <v>40672</v>
      </c>
      <c r="H9" s="74">
        <f t="shared" si="0"/>
        <v>43048</v>
      </c>
      <c r="I9" s="74">
        <f t="shared" si="0"/>
        <v>38277</v>
      </c>
      <c r="J9" s="74">
        <f t="shared" si="0"/>
        <v>41019</v>
      </c>
      <c r="K9" s="74">
        <f t="shared" si="0"/>
        <v>37241</v>
      </c>
      <c r="L9" s="74">
        <f t="shared" si="0"/>
        <v>31813</v>
      </c>
      <c r="M9" s="74">
        <f t="shared" si="0"/>
        <v>33361</v>
      </c>
      <c r="N9" s="75">
        <f>SUM(B9:M9)</f>
        <v>476862</v>
      </c>
    </row>
    <row r="10" spans="1:18" x14ac:dyDescent="0.2">
      <c r="A10" s="43" t="s">
        <v>18</v>
      </c>
      <c r="B10" s="6"/>
      <c r="C10" s="6"/>
      <c r="D10" s="6"/>
      <c r="E10" s="6"/>
      <c r="F10" s="6"/>
      <c r="G10" s="6"/>
      <c r="H10" s="6"/>
      <c r="I10" s="12"/>
      <c r="J10" s="6"/>
      <c r="K10" s="6"/>
      <c r="L10" s="6"/>
      <c r="M10" s="45"/>
      <c r="N10" s="13"/>
    </row>
    <row r="11" spans="1:18" x14ac:dyDescent="0.2">
      <c r="A11" s="14" t="s">
        <v>83</v>
      </c>
      <c r="B11" s="6">
        <v>81918</v>
      </c>
      <c r="C11" s="6">
        <v>70203</v>
      </c>
      <c r="D11" s="6">
        <f>42928+245</f>
        <v>43173</v>
      </c>
      <c r="E11" s="6">
        <v>20934</v>
      </c>
      <c r="F11" s="6">
        <v>17055</v>
      </c>
      <c r="G11" s="6">
        <v>15914</v>
      </c>
      <c r="H11" s="6">
        <v>23669</v>
      </c>
      <c r="I11" s="12">
        <v>18883</v>
      </c>
      <c r="J11" s="6">
        <v>19708</v>
      </c>
      <c r="K11" s="6">
        <v>23072</v>
      </c>
      <c r="L11" s="6">
        <v>28468</v>
      </c>
      <c r="M11" s="6">
        <v>27704</v>
      </c>
      <c r="N11" s="13">
        <f t="shared" ref="N11:N18" si="1">SUM(B11:M11)</f>
        <v>390701</v>
      </c>
    </row>
    <row r="12" spans="1:18" x14ac:dyDescent="0.2">
      <c r="A12" s="14" t="s">
        <v>84</v>
      </c>
      <c r="B12" s="6">
        <v>4061</v>
      </c>
      <c r="C12" s="6">
        <v>4220</v>
      </c>
      <c r="D12" s="6">
        <v>1181</v>
      </c>
      <c r="E12" s="6">
        <v>232</v>
      </c>
      <c r="F12" s="6">
        <v>0</v>
      </c>
      <c r="G12" s="6">
        <v>0</v>
      </c>
      <c r="H12" s="6">
        <v>0</v>
      </c>
      <c r="I12" s="12">
        <v>0</v>
      </c>
      <c r="J12" s="6">
        <v>0</v>
      </c>
      <c r="K12" s="6">
        <v>0</v>
      </c>
      <c r="L12" s="6">
        <v>0</v>
      </c>
      <c r="M12" s="6">
        <v>0</v>
      </c>
      <c r="N12" s="13">
        <f t="shared" si="1"/>
        <v>9694</v>
      </c>
    </row>
    <row r="13" spans="1:18" x14ac:dyDescent="0.2">
      <c r="A13" s="14" t="s">
        <v>85</v>
      </c>
      <c r="B13" s="6">
        <v>26638</v>
      </c>
      <c r="C13" s="6">
        <v>19902</v>
      </c>
      <c r="D13" s="6">
        <v>17226</v>
      </c>
      <c r="E13" s="6">
        <v>14753</v>
      </c>
      <c r="F13" s="6">
        <v>13513</v>
      </c>
      <c r="G13" s="6">
        <v>12326</v>
      </c>
      <c r="H13" s="6">
        <v>18513</v>
      </c>
      <c r="I13" s="12">
        <v>13737</v>
      </c>
      <c r="J13" s="6">
        <v>14373</v>
      </c>
      <c r="K13" s="6">
        <v>16163</v>
      </c>
      <c r="L13" s="6">
        <v>16861</v>
      </c>
      <c r="M13" s="6">
        <v>20236</v>
      </c>
      <c r="N13" s="13">
        <f t="shared" si="1"/>
        <v>204241</v>
      </c>
    </row>
    <row r="14" spans="1:18" x14ac:dyDescent="0.2">
      <c r="A14" s="14" t="s">
        <v>86</v>
      </c>
      <c r="B14" s="6">
        <v>3186</v>
      </c>
      <c r="C14" s="6">
        <v>2388</v>
      </c>
      <c r="D14" s="6">
        <v>1942</v>
      </c>
      <c r="E14" s="6">
        <v>1712</v>
      </c>
      <c r="F14" s="6">
        <v>1823</v>
      </c>
      <c r="G14" s="6">
        <v>1282</v>
      </c>
      <c r="H14" s="6">
        <v>1473</v>
      </c>
      <c r="I14" s="12">
        <v>1122</v>
      </c>
      <c r="J14" s="6">
        <v>1350</v>
      </c>
      <c r="K14" s="6">
        <v>1595</v>
      </c>
      <c r="L14" s="6">
        <v>2106</v>
      </c>
      <c r="M14" s="6">
        <v>3220</v>
      </c>
      <c r="N14" s="13">
        <f t="shared" si="1"/>
        <v>23199</v>
      </c>
    </row>
    <row r="15" spans="1:18" x14ac:dyDescent="0.2">
      <c r="A15" s="14" t="s">
        <v>44</v>
      </c>
      <c r="B15" s="6">
        <v>19443</v>
      </c>
      <c r="C15" s="6">
        <v>16404</v>
      </c>
      <c r="D15" s="6">
        <v>17454</v>
      </c>
      <c r="E15" s="6">
        <v>15318</v>
      </c>
      <c r="F15" s="6">
        <v>14436</v>
      </c>
      <c r="G15" s="6">
        <v>13904</v>
      </c>
      <c r="H15" s="6">
        <v>17443</v>
      </c>
      <c r="I15" s="12">
        <v>14622</v>
      </c>
      <c r="J15" s="6">
        <v>14986</v>
      </c>
      <c r="K15" s="6">
        <v>16825</v>
      </c>
      <c r="L15" s="6">
        <v>16247</v>
      </c>
      <c r="M15" s="6">
        <v>18561</v>
      </c>
      <c r="N15" s="13">
        <f t="shared" si="1"/>
        <v>195643</v>
      </c>
    </row>
    <row r="16" spans="1:18" x14ac:dyDescent="0.2">
      <c r="A16" s="14" t="s">
        <v>87</v>
      </c>
      <c r="B16" s="6">
        <v>4199</v>
      </c>
      <c r="C16" s="6">
        <v>4540</v>
      </c>
      <c r="D16" s="6">
        <v>4431</v>
      </c>
      <c r="E16" s="6">
        <v>4905</v>
      </c>
      <c r="F16" s="6">
        <v>4369</v>
      </c>
      <c r="G16" s="6">
        <v>4576</v>
      </c>
      <c r="H16" s="6">
        <v>4164</v>
      </c>
      <c r="I16" s="12">
        <v>4339</v>
      </c>
      <c r="J16" s="6">
        <v>4322</v>
      </c>
      <c r="K16" s="6">
        <v>4318</v>
      </c>
      <c r="L16" s="6">
        <v>4446</v>
      </c>
      <c r="M16" s="6">
        <v>3196</v>
      </c>
      <c r="N16" s="13">
        <f>SUM(B16:M16)</f>
        <v>51805</v>
      </c>
    </row>
    <row r="17" spans="1:14" ht="12" thickBot="1" x14ac:dyDescent="0.25">
      <c r="A17" s="14" t="s">
        <v>88</v>
      </c>
      <c r="B17" s="6">
        <v>9611</v>
      </c>
      <c r="C17" s="6">
        <v>6360</v>
      </c>
      <c r="D17" s="6">
        <v>0</v>
      </c>
      <c r="E17" s="6">
        <v>0</v>
      </c>
      <c r="F17" s="6">
        <v>0</v>
      </c>
      <c r="G17" s="6">
        <v>1844</v>
      </c>
      <c r="H17" s="6">
        <v>7299</v>
      </c>
      <c r="I17" s="12">
        <v>6096</v>
      </c>
      <c r="J17" s="6">
        <v>6353</v>
      </c>
      <c r="K17" s="6">
        <v>6417</v>
      </c>
      <c r="L17" s="6">
        <v>7076</v>
      </c>
      <c r="M17" s="6">
        <v>8239</v>
      </c>
      <c r="N17" s="13">
        <f t="shared" si="1"/>
        <v>59295</v>
      </c>
    </row>
    <row r="18" spans="1:14" s="2" customFormat="1" ht="12" thickBot="1" x14ac:dyDescent="0.25">
      <c r="A18" s="9" t="s">
        <v>89</v>
      </c>
      <c r="B18" s="74">
        <f>SUM(B11:B17)</f>
        <v>149056</v>
      </c>
      <c r="C18" s="74">
        <f t="shared" ref="C18:M18" si="2">SUM(C11:C17)</f>
        <v>124017</v>
      </c>
      <c r="D18" s="74">
        <f t="shared" si="2"/>
        <v>85407</v>
      </c>
      <c r="E18" s="74">
        <f>SUM(E11:E17)</f>
        <v>57854</v>
      </c>
      <c r="F18" s="74">
        <f>SUM(F11:F17)</f>
        <v>51196</v>
      </c>
      <c r="G18" s="74">
        <f t="shared" si="2"/>
        <v>49846</v>
      </c>
      <c r="H18" s="74">
        <f t="shared" si="2"/>
        <v>72561</v>
      </c>
      <c r="I18" s="74">
        <f t="shared" si="2"/>
        <v>58799</v>
      </c>
      <c r="J18" s="74">
        <f t="shared" si="2"/>
        <v>61092</v>
      </c>
      <c r="K18" s="74">
        <f t="shared" si="2"/>
        <v>68390</v>
      </c>
      <c r="L18" s="74">
        <f t="shared" si="2"/>
        <v>75204</v>
      </c>
      <c r="M18" s="74">
        <f t="shared" si="2"/>
        <v>81156</v>
      </c>
      <c r="N18" s="75">
        <f t="shared" si="1"/>
        <v>934578</v>
      </c>
    </row>
    <row r="19" spans="1:14" x14ac:dyDescent="0.2">
      <c r="A19" s="43" t="s">
        <v>20</v>
      </c>
      <c r="B19" s="6"/>
      <c r="C19" s="6"/>
      <c r="D19" s="6"/>
      <c r="E19" s="6"/>
      <c r="F19" s="6"/>
      <c r="G19" s="6"/>
      <c r="H19" s="6"/>
      <c r="I19" s="12"/>
      <c r="J19" s="6"/>
      <c r="K19" s="6"/>
      <c r="L19" s="6"/>
      <c r="M19" s="45"/>
      <c r="N19" s="13"/>
    </row>
    <row r="20" spans="1:14" x14ac:dyDescent="0.2">
      <c r="A20" s="14" t="s">
        <v>48</v>
      </c>
      <c r="B20" s="6">
        <v>4804</v>
      </c>
      <c r="C20" s="6">
        <v>4711</v>
      </c>
      <c r="D20" s="6">
        <v>3247</v>
      </c>
      <c r="E20" s="6">
        <v>3375</v>
      </c>
      <c r="F20" s="6">
        <v>2642</v>
      </c>
      <c r="G20" s="6">
        <v>2213</v>
      </c>
      <c r="H20" s="6">
        <v>4411</v>
      </c>
      <c r="I20" s="12">
        <v>2804</v>
      </c>
      <c r="J20" s="6">
        <v>3028</v>
      </c>
      <c r="K20" s="6">
        <v>4010</v>
      </c>
      <c r="L20" s="6">
        <v>3307</v>
      </c>
      <c r="M20" s="6">
        <v>3741</v>
      </c>
      <c r="N20" s="13">
        <f t="shared" ref="N20:N25" si="3">SUM(B20:M20)</f>
        <v>42293</v>
      </c>
    </row>
    <row r="21" spans="1:14" x14ac:dyDescent="0.2">
      <c r="A21" s="14" t="s">
        <v>49</v>
      </c>
      <c r="B21" s="6">
        <v>8253</v>
      </c>
      <c r="C21" s="6">
        <v>8752</v>
      </c>
      <c r="D21" s="6">
        <v>7323</v>
      </c>
      <c r="E21" s="6">
        <v>6921</v>
      </c>
      <c r="F21" s="6">
        <v>5634</v>
      </c>
      <c r="G21" s="6">
        <v>5885</v>
      </c>
      <c r="H21" s="6">
        <v>8331</v>
      </c>
      <c r="I21" s="12">
        <v>6001</v>
      </c>
      <c r="J21" s="6">
        <v>5022</v>
      </c>
      <c r="K21" s="6">
        <v>5589</v>
      </c>
      <c r="L21" s="6">
        <v>5222</v>
      </c>
      <c r="M21" s="6">
        <v>5606</v>
      </c>
      <c r="N21" s="13">
        <f t="shared" si="3"/>
        <v>78539</v>
      </c>
    </row>
    <row r="22" spans="1:14" x14ac:dyDescent="0.2">
      <c r="A22" s="14" t="s">
        <v>50</v>
      </c>
      <c r="B22" s="6">
        <v>16975</v>
      </c>
      <c r="C22" s="6">
        <v>14640</v>
      </c>
      <c r="D22" s="6">
        <v>10502</v>
      </c>
      <c r="E22" s="6">
        <v>9979</v>
      </c>
      <c r="F22" s="6">
        <v>8960</v>
      </c>
      <c r="G22" s="6">
        <v>8976</v>
      </c>
      <c r="H22" s="6">
        <v>15032</v>
      </c>
      <c r="I22" s="12">
        <v>10216</v>
      </c>
      <c r="J22" s="6">
        <v>8800</v>
      </c>
      <c r="K22" s="6">
        <v>9406</v>
      </c>
      <c r="L22" s="6">
        <v>7244</v>
      </c>
      <c r="M22" s="6">
        <v>12954</v>
      </c>
      <c r="N22" s="13">
        <f t="shared" si="3"/>
        <v>133684</v>
      </c>
    </row>
    <row r="23" spans="1:14" x14ac:dyDescent="0.2">
      <c r="A23" s="14" t="s">
        <v>90</v>
      </c>
      <c r="B23" s="12">
        <v>25087</v>
      </c>
      <c r="C23" s="6">
        <v>19695</v>
      </c>
      <c r="D23" s="6">
        <v>14389</v>
      </c>
      <c r="E23" s="6">
        <v>12423</v>
      </c>
      <c r="F23" s="6">
        <v>10750</v>
      </c>
      <c r="G23" s="6">
        <v>9260</v>
      </c>
      <c r="H23" s="6">
        <v>19662</v>
      </c>
      <c r="I23" s="12">
        <v>10202</v>
      </c>
      <c r="J23" s="6">
        <v>10637</v>
      </c>
      <c r="K23" s="6">
        <v>11800</v>
      </c>
      <c r="L23" s="6">
        <v>10933</v>
      </c>
      <c r="M23" s="6">
        <v>11666</v>
      </c>
      <c r="N23" s="13">
        <f t="shared" si="3"/>
        <v>166504</v>
      </c>
    </row>
    <row r="24" spans="1:14" ht="12" thickBot="1" x14ac:dyDescent="0.25">
      <c r="A24" s="14" t="s">
        <v>91</v>
      </c>
      <c r="B24" s="12">
        <v>13003</v>
      </c>
      <c r="C24" s="6">
        <v>9882</v>
      </c>
      <c r="D24" s="6">
        <v>6331</v>
      </c>
      <c r="E24" s="6">
        <v>4883</v>
      </c>
      <c r="F24" s="6">
        <v>3976</v>
      </c>
      <c r="G24" s="6">
        <v>3123</v>
      </c>
      <c r="H24" s="6">
        <v>9606</v>
      </c>
      <c r="I24" s="12">
        <v>3830</v>
      </c>
      <c r="J24" s="6">
        <v>4233</v>
      </c>
      <c r="K24" s="6">
        <v>5057</v>
      </c>
      <c r="L24" s="6">
        <v>5023</v>
      </c>
      <c r="M24" s="6">
        <v>5124</v>
      </c>
      <c r="N24" s="13">
        <f>SUM(B24:M24)</f>
        <v>74071</v>
      </c>
    </row>
    <row r="25" spans="1:14" s="2" customFormat="1" ht="12" thickBot="1" x14ac:dyDescent="0.25">
      <c r="A25" s="9" t="s">
        <v>53</v>
      </c>
      <c r="B25" s="74">
        <f t="shared" ref="B25:I25" si="4">SUM(B20:B24)</f>
        <v>68122</v>
      </c>
      <c r="C25" s="74">
        <f t="shared" si="4"/>
        <v>57680</v>
      </c>
      <c r="D25" s="74">
        <f t="shared" si="4"/>
        <v>41792</v>
      </c>
      <c r="E25" s="74">
        <f t="shared" si="4"/>
        <v>37581</v>
      </c>
      <c r="F25" s="74">
        <f t="shared" si="4"/>
        <v>31962</v>
      </c>
      <c r="G25" s="74">
        <f t="shared" si="4"/>
        <v>29457</v>
      </c>
      <c r="H25" s="74">
        <f t="shared" si="4"/>
        <v>57042</v>
      </c>
      <c r="I25" s="74">
        <f t="shared" si="4"/>
        <v>33053</v>
      </c>
      <c r="J25" s="74">
        <f>SUM(J20:J24)</f>
        <v>31720</v>
      </c>
      <c r="K25" s="74">
        <f>SUM(K20:K24)</f>
        <v>35862</v>
      </c>
      <c r="L25" s="74">
        <f>SUM(L20:L24)</f>
        <v>31729</v>
      </c>
      <c r="M25" s="74">
        <f>SUM(M20:M24)</f>
        <v>39091</v>
      </c>
      <c r="N25" s="75">
        <f t="shared" si="3"/>
        <v>495091</v>
      </c>
    </row>
    <row r="26" spans="1:14" s="11" customFormat="1" x14ac:dyDescent="0.2">
      <c r="A26" s="46" t="s">
        <v>36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</row>
    <row r="27" spans="1:14" s="11" customFormat="1" x14ac:dyDescent="0.2">
      <c r="A27" s="35" t="s">
        <v>92</v>
      </c>
      <c r="B27" s="37">
        <v>7568</v>
      </c>
      <c r="C27" s="37">
        <v>4662</v>
      </c>
      <c r="D27" s="37">
        <v>2164</v>
      </c>
      <c r="E27" s="37">
        <v>1164</v>
      </c>
      <c r="F27" s="37">
        <v>0</v>
      </c>
      <c r="G27" s="37">
        <v>0</v>
      </c>
      <c r="H27" s="37">
        <v>0</v>
      </c>
      <c r="I27" s="37">
        <v>235</v>
      </c>
      <c r="J27" s="37">
        <v>308</v>
      </c>
      <c r="K27" s="37">
        <v>1061</v>
      </c>
      <c r="L27" s="37">
        <v>1220</v>
      </c>
      <c r="M27" s="37">
        <v>762</v>
      </c>
      <c r="N27" s="38">
        <f>SUM(B27:M27)</f>
        <v>19144</v>
      </c>
    </row>
    <row r="28" spans="1:14" s="11" customFormat="1" ht="12" thickBot="1" x14ac:dyDescent="0.25">
      <c r="A28" s="32" t="s">
        <v>93</v>
      </c>
      <c r="B28" s="34">
        <v>1756</v>
      </c>
      <c r="C28" s="34">
        <v>2604</v>
      </c>
      <c r="D28" s="34">
        <v>450</v>
      </c>
      <c r="E28" s="34">
        <v>205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123</v>
      </c>
      <c r="N28" s="33">
        <f>SUM(B28:M28)</f>
        <v>5138</v>
      </c>
    </row>
    <row r="29" spans="1:14" s="18" customFormat="1" ht="12" thickBot="1" x14ac:dyDescent="0.25">
      <c r="A29" s="9" t="s">
        <v>34</v>
      </c>
      <c r="B29" s="74">
        <f>SUM(B27:B28)</f>
        <v>9324</v>
      </c>
      <c r="C29" s="74">
        <f t="shared" ref="C29:M29" si="5">SUM(C27:C28)</f>
        <v>7266</v>
      </c>
      <c r="D29" s="74">
        <f t="shared" si="5"/>
        <v>2614</v>
      </c>
      <c r="E29" s="74">
        <f t="shared" si="5"/>
        <v>1369</v>
      </c>
      <c r="F29" s="74">
        <f t="shared" si="5"/>
        <v>0</v>
      </c>
      <c r="G29" s="74">
        <f t="shared" si="5"/>
        <v>0</v>
      </c>
      <c r="H29" s="74">
        <f t="shared" si="5"/>
        <v>0</v>
      </c>
      <c r="I29" s="74">
        <f t="shared" si="5"/>
        <v>235</v>
      </c>
      <c r="J29" s="74">
        <f t="shared" si="5"/>
        <v>308</v>
      </c>
      <c r="K29" s="74">
        <f t="shared" si="5"/>
        <v>1061</v>
      </c>
      <c r="L29" s="74">
        <f t="shared" si="5"/>
        <v>1220</v>
      </c>
      <c r="M29" s="74">
        <f t="shared" si="5"/>
        <v>885</v>
      </c>
      <c r="N29" s="76">
        <f>SUM(B29:M29)</f>
        <v>24282</v>
      </c>
    </row>
    <row r="30" spans="1:14" s="6" customFormat="1" x14ac:dyDescent="0.2">
      <c r="A30" s="49" t="s">
        <v>21</v>
      </c>
      <c r="I30" s="12"/>
      <c r="N30" s="19"/>
    </row>
    <row r="31" spans="1:14" s="6" customFormat="1" x14ac:dyDescent="0.2">
      <c r="A31" s="20" t="s">
        <v>94</v>
      </c>
      <c r="B31" s="12">
        <v>5701</v>
      </c>
      <c r="C31" s="12">
        <v>4600</v>
      </c>
      <c r="D31" s="6">
        <v>4452</v>
      </c>
      <c r="E31" s="6">
        <v>3866</v>
      </c>
      <c r="F31" s="6">
        <v>2870</v>
      </c>
      <c r="G31" s="6">
        <v>827</v>
      </c>
      <c r="H31" s="6">
        <v>1401</v>
      </c>
      <c r="I31" s="12">
        <v>2172</v>
      </c>
      <c r="J31" s="6">
        <v>2499</v>
      </c>
      <c r="K31" s="6">
        <v>3598</v>
      </c>
      <c r="L31" s="6">
        <v>3848</v>
      </c>
      <c r="M31" s="6">
        <v>3508</v>
      </c>
      <c r="N31" s="19">
        <f>SUM(B31:M31)</f>
        <v>39342</v>
      </c>
    </row>
    <row r="32" spans="1:14" s="6" customFormat="1" ht="12" thickBot="1" x14ac:dyDescent="0.25">
      <c r="A32" s="20" t="s">
        <v>95</v>
      </c>
      <c r="B32" s="44"/>
      <c r="C32" s="44"/>
      <c r="D32" s="44"/>
      <c r="E32" s="44"/>
      <c r="F32" s="44"/>
      <c r="G32" s="44"/>
      <c r="H32" s="44"/>
      <c r="I32" s="12"/>
      <c r="J32" s="6">
        <v>235</v>
      </c>
      <c r="K32" s="6">
        <v>226</v>
      </c>
      <c r="N32" s="19">
        <f>SUM(B32:M32)</f>
        <v>461</v>
      </c>
    </row>
    <row r="33" spans="1:14" s="8" customFormat="1" ht="12" thickBot="1" x14ac:dyDescent="0.25">
      <c r="A33" s="15" t="s">
        <v>58</v>
      </c>
      <c r="B33" s="74">
        <f t="shared" ref="B33:G33" si="6">SUM(B31:B32)</f>
        <v>5701</v>
      </c>
      <c r="C33" s="74">
        <f t="shared" si="6"/>
        <v>4600</v>
      </c>
      <c r="D33" s="74">
        <f t="shared" si="6"/>
        <v>4452</v>
      </c>
      <c r="E33" s="74">
        <f>SUM(E31:E32)</f>
        <v>3866</v>
      </c>
      <c r="F33" s="74">
        <f t="shared" si="6"/>
        <v>2870</v>
      </c>
      <c r="G33" s="74">
        <f t="shared" si="6"/>
        <v>827</v>
      </c>
      <c r="H33" s="74">
        <f t="shared" ref="H33:M33" si="7">SUM(H31:H32)</f>
        <v>1401</v>
      </c>
      <c r="I33" s="74">
        <f t="shared" si="7"/>
        <v>2172</v>
      </c>
      <c r="J33" s="74">
        <f t="shared" si="7"/>
        <v>2734</v>
      </c>
      <c r="K33" s="74">
        <f t="shared" si="7"/>
        <v>3824</v>
      </c>
      <c r="L33" s="74">
        <v>3848</v>
      </c>
      <c r="M33" s="74">
        <f t="shared" si="7"/>
        <v>3508</v>
      </c>
      <c r="N33" s="77">
        <f>SUM(B33:M33)</f>
        <v>39803</v>
      </c>
    </row>
    <row r="34" spans="1:14" s="6" customFormat="1" x14ac:dyDescent="0.2">
      <c r="A34" s="49" t="s">
        <v>22</v>
      </c>
      <c r="I34" s="12"/>
      <c r="N34" s="19"/>
    </row>
    <row r="35" spans="1:14" s="6" customFormat="1" x14ac:dyDescent="0.2">
      <c r="A35" s="20" t="s">
        <v>59</v>
      </c>
      <c r="B35" s="6">
        <v>500</v>
      </c>
      <c r="C35" s="6">
        <v>800</v>
      </c>
      <c r="D35" s="6">
        <v>800</v>
      </c>
      <c r="E35" s="6">
        <v>600</v>
      </c>
      <c r="F35" s="6">
        <v>900</v>
      </c>
      <c r="G35" s="6">
        <v>700</v>
      </c>
      <c r="H35" s="6">
        <v>1000</v>
      </c>
      <c r="I35" s="12">
        <v>800</v>
      </c>
      <c r="J35" s="6">
        <v>1200</v>
      </c>
      <c r="K35" s="6">
        <v>700</v>
      </c>
      <c r="L35" s="6">
        <v>700</v>
      </c>
      <c r="M35" s="6">
        <v>400</v>
      </c>
      <c r="N35" s="19">
        <f>SUM(B35:M35)</f>
        <v>9100</v>
      </c>
    </row>
    <row r="36" spans="1:14" s="6" customFormat="1" x14ac:dyDescent="0.2">
      <c r="A36" s="20" t="s">
        <v>96</v>
      </c>
      <c r="B36" s="6">
        <v>0</v>
      </c>
      <c r="C36" s="6">
        <v>1200</v>
      </c>
      <c r="D36" s="6">
        <v>400</v>
      </c>
      <c r="E36" s="6">
        <v>1100</v>
      </c>
      <c r="F36" s="6">
        <v>900</v>
      </c>
      <c r="G36" s="6">
        <v>1400</v>
      </c>
      <c r="H36" s="6">
        <v>4300</v>
      </c>
      <c r="I36" s="12">
        <v>1300</v>
      </c>
      <c r="J36" s="6">
        <v>2000</v>
      </c>
      <c r="K36" s="6">
        <v>1700</v>
      </c>
      <c r="L36" s="6">
        <v>1400</v>
      </c>
      <c r="M36" s="6">
        <v>200</v>
      </c>
      <c r="N36" s="19">
        <f>SUM(B36:M36)</f>
        <v>15900</v>
      </c>
    </row>
    <row r="37" spans="1:14" s="6" customFormat="1" x14ac:dyDescent="0.2">
      <c r="A37" s="20" t="s">
        <v>61</v>
      </c>
      <c r="B37" s="6">
        <v>0</v>
      </c>
      <c r="C37" s="6">
        <v>0</v>
      </c>
      <c r="D37" s="6">
        <v>0</v>
      </c>
      <c r="E37" s="6">
        <v>0</v>
      </c>
      <c r="F37" s="6">
        <v>900</v>
      </c>
      <c r="G37" s="6">
        <v>850</v>
      </c>
      <c r="H37" s="6">
        <v>1100</v>
      </c>
      <c r="I37" s="12">
        <v>800</v>
      </c>
      <c r="J37" s="6">
        <v>750</v>
      </c>
      <c r="K37" s="6">
        <v>850</v>
      </c>
      <c r="L37" s="6">
        <v>850</v>
      </c>
      <c r="M37" s="6">
        <v>920</v>
      </c>
      <c r="N37" s="19">
        <f>SUM(B37:M37)</f>
        <v>7020</v>
      </c>
    </row>
    <row r="38" spans="1:14" s="6" customFormat="1" ht="12" thickBot="1" x14ac:dyDescent="0.25">
      <c r="A38" s="20" t="s">
        <v>62</v>
      </c>
      <c r="B38" s="6">
        <v>155</v>
      </c>
      <c r="C38" s="6">
        <v>775</v>
      </c>
      <c r="D38" s="6">
        <v>473</v>
      </c>
      <c r="E38" s="6">
        <v>632</v>
      </c>
      <c r="F38" s="6">
        <v>384</v>
      </c>
      <c r="G38" s="6">
        <v>368</v>
      </c>
      <c r="H38" s="6">
        <v>588</v>
      </c>
      <c r="I38" s="12">
        <v>146</v>
      </c>
      <c r="J38" s="6">
        <v>975</v>
      </c>
      <c r="K38" s="6">
        <v>426</v>
      </c>
      <c r="L38" s="6">
        <v>568</v>
      </c>
      <c r="M38" s="6">
        <v>417</v>
      </c>
      <c r="N38" s="19">
        <f>SUM(B38:M38)</f>
        <v>5907</v>
      </c>
    </row>
    <row r="39" spans="1:14" s="8" customFormat="1" ht="12" thickBot="1" x14ac:dyDescent="0.25">
      <c r="A39" s="15" t="s">
        <v>97</v>
      </c>
      <c r="B39" s="74">
        <f t="shared" ref="B39:H39" si="8">SUM(B35:B38)</f>
        <v>655</v>
      </c>
      <c r="C39" s="74">
        <f t="shared" si="8"/>
        <v>2775</v>
      </c>
      <c r="D39" s="74">
        <f t="shared" si="8"/>
        <v>1673</v>
      </c>
      <c r="E39" s="74">
        <f t="shared" si="8"/>
        <v>2332</v>
      </c>
      <c r="F39" s="74">
        <f t="shared" si="8"/>
        <v>3084</v>
      </c>
      <c r="G39" s="74">
        <f t="shared" si="8"/>
        <v>3318</v>
      </c>
      <c r="H39" s="74">
        <f t="shared" si="8"/>
        <v>6988</v>
      </c>
      <c r="I39" s="74">
        <f>SUM(I35:I38)</f>
        <v>3046</v>
      </c>
      <c r="J39" s="74">
        <f>SUM(J35:J38)</f>
        <v>4925</v>
      </c>
      <c r="K39" s="74">
        <f>SUM(K35:K38)</f>
        <v>3676</v>
      </c>
      <c r="L39" s="74">
        <f>SUM(L35:L38)</f>
        <v>3518</v>
      </c>
      <c r="M39" s="74">
        <f>SUM(M35:M38)</f>
        <v>1937</v>
      </c>
      <c r="N39" s="77">
        <f>SUM(B39:M39)</f>
        <v>37927</v>
      </c>
    </row>
    <row r="40" spans="1:14" s="6" customFormat="1" x14ac:dyDescent="0.2">
      <c r="A40" s="49" t="s">
        <v>24</v>
      </c>
      <c r="I40" s="12"/>
      <c r="N40" s="19"/>
    </row>
    <row r="41" spans="1:14" s="6" customFormat="1" x14ac:dyDescent="0.2">
      <c r="A41" s="20" t="s">
        <v>63</v>
      </c>
      <c r="B41" s="6">
        <v>1222</v>
      </c>
      <c r="C41" s="6">
        <v>1045</v>
      </c>
      <c r="D41" s="6">
        <v>899</v>
      </c>
      <c r="E41" s="6">
        <v>1098</v>
      </c>
      <c r="F41" s="6">
        <v>995</v>
      </c>
      <c r="G41" s="6">
        <v>744</v>
      </c>
      <c r="H41" s="6">
        <v>1023</v>
      </c>
      <c r="I41" s="12">
        <v>892</v>
      </c>
      <c r="J41" s="6">
        <v>811</v>
      </c>
      <c r="K41" s="6">
        <v>1098</v>
      </c>
      <c r="L41" s="6">
        <v>811</v>
      </c>
      <c r="M41" s="6">
        <v>1215</v>
      </c>
      <c r="N41" s="19">
        <f t="shared" ref="N41:N48" si="9">SUM(B41:M41)</f>
        <v>11853</v>
      </c>
    </row>
    <row r="42" spans="1:14" s="6" customFormat="1" ht="12" thickBot="1" x14ac:dyDescent="0.25">
      <c r="A42" s="20" t="s">
        <v>64</v>
      </c>
      <c r="B42" s="6">
        <v>973</v>
      </c>
      <c r="C42" s="6">
        <v>805</v>
      </c>
      <c r="D42" s="6">
        <v>692</v>
      </c>
      <c r="E42" s="6">
        <v>743</v>
      </c>
      <c r="F42" s="6">
        <v>565</v>
      </c>
      <c r="G42" s="6">
        <v>505</v>
      </c>
      <c r="H42" s="6">
        <v>840</v>
      </c>
      <c r="I42" s="12">
        <v>698</v>
      </c>
      <c r="J42" s="6">
        <v>751</v>
      </c>
      <c r="K42" s="6">
        <v>905</v>
      </c>
      <c r="L42" s="6">
        <v>623</v>
      </c>
      <c r="M42" s="6">
        <v>888</v>
      </c>
      <c r="N42" s="19">
        <f t="shared" si="9"/>
        <v>8988</v>
      </c>
    </row>
    <row r="43" spans="1:14" s="8" customFormat="1" ht="12" thickBot="1" x14ac:dyDescent="0.25">
      <c r="A43" s="15" t="s">
        <v>98</v>
      </c>
      <c r="B43" s="74">
        <f t="shared" ref="B43:M43" si="10">SUM(B41:B42)</f>
        <v>2195</v>
      </c>
      <c r="C43" s="74">
        <f t="shared" si="10"/>
        <v>1850</v>
      </c>
      <c r="D43" s="74">
        <f t="shared" si="10"/>
        <v>1591</v>
      </c>
      <c r="E43" s="74">
        <f t="shared" si="10"/>
        <v>1841</v>
      </c>
      <c r="F43" s="74">
        <f>SUM(F41:F42)</f>
        <v>1560</v>
      </c>
      <c r="G43" s="74">
        <f t="shared" si="10"/>
        <v>1249</v>
      </c>
      <c r="H43" s="74">
        <f t="shared" si="10"/>
        <v>1863</v>
      </c>
      <c r="I43" s="74">
        <f t="shared" si="10"/>
        <v>1590</v>
      </c>
      <c r="J43" s="74">
        <f t="shared" si="10"/>
        <v>1562</v>
      </c>
      <c r="K43" s="74">
        <f t="shared" si="10"/>
        <v>2003</v>
      </c>
      <c r="L43" s="74">
        <f t="shared" si="10"/>
        <v>1434</v>
      </c>
      <c r="M43" s="74">
        <f t="shared" si="10"/>
        <v>2103</v>
      </c>
      <c r="N43" s="77">
        <f t="shared" si="9"/>
        <v>20841</v>
      </c>
    </row>
    <row r="44" spans="1:14" s="8" customFormat="1" ht="12" thickBot="1" x14ac:dyDescent="0.25">
      <c r="A44" s="39" t="s">
        <v>99</v>
      </c>
      <c r="B44" s="78">
        <v>4598</v>
      </c>
      <c r="C44" s="78">
        <v>3569</v>
      </c>
      <c r="D44" s="78">
        <v>2843</v>
      </c>
      <c r="E44" s="78">
        <v>2409</v>
      </c>
      <c r="F44" s="78">
        <v>1997</v>
      </c>
      <c r="G44" s="78">
        <v>2070</v>
      </c>
      <c r="H44" s="78">
        <v>3431</v>
      </c>
      <c r="I44" s="78">
        <v>2141</v>
      </c>
      <c r="J44" s="78">
        <v>2418</v>
      </c>
      <c r="K44" s="78">
        <v>1497</v>
      </c>
      <c r="L44" s="78">
        <v>1714</v>
      </c>
      <c r="M44" s="78">
        <v>3312</v>
      </c>
      <c r="N44" s="79">
        <f t="shared" si="9"/>
        <v>31999</v>
      </c>
    </row>
    <row r="45" spans="1:14" s="8" customFormat="1" ht="12" thickBot="1" x14ac:dyDescent="0.25">
      <c r="A45" s="15" t="s">
        <v>100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>
        <v>405</v>
      </c>
      <c r="N45" s="77">
        <f>SUM(B45:M45)</f>
        <v>405</v>
      </c>
    </row>
    <row r="46" spans="1:14" s="8" customFormat="1" ht="12" thickBot="1" x14ac:dyDescent="0.25">
      <c r="A46" s="39" t="s">
        <v>101</v>
      </c>
      <c r="B46" s="78"/>
      <c r="C46" s="78"/>
      <c r="D46" s="78"/>
      <c r="E46" s="78"/>
      <c r="F46" s="78"/>
      <c r="G46" s="78"/>
      <c r="H46" s="78"/>
      <c r="I46" s="78"/>
      <c r="J46" s="78">
        <v>48</v>
      </c>
      <c r="K46" s="78">
        <v>420</v>
      </c>
      <c r="L46" s="78">
        <v>391</v>
      </c>
      <c r="M46" s="78">
        <v>708</v>
      </c>
      <c r="N46" s="79">
        <f>SUM(J46:M46)</f>
        <v>1567</v>
      </c>
    </row>
    <row r="47" spans="1:14" s="8" customFormat="1" ht="12" thickBot="1" x14ac:dyDescent="0.25">
      <c r="A47" s="15" t="s">
        <v>102</v>
      </c>
      <c r="B47" s="74"/>
      <c r="C47" s="74"/>
      <c r="D47" s="74"/>
      <c r="E47" s="74">
        <f>314+281+221+299+300+435+437+222+228</f>
        <v>2737</v>
      </c>
      <c r="F47" s="74">
        <v>1743</v>
      </c>
      <c r="G47" s="74">
        <f>280+108+177+163+212+298+164+291+190</f>
        <v>1883</v>
      </c>
      <c r="H47" s="74">
        <v>5284</v>
      </c>
      <c r="I47" s="74">
        <f>275+207+228+276+336+436+331+221</f>
        <v>2310</v>
      </c>
      <c r="J47" s="74">
        <v>2690</v>
      </c>
      <c r="K47" s="74">
        <v>2718</v>
      </c>
      <c r="L47" s="74">
        <v>2284</v>
      </c>
      <c r="M47" s="74">
        <v>476</v>
      </c>
      <c r="N47" s="77">
        <f t="shared" si="9"/>
        <v>22125</v>
      </c>
    </row>
    <row r="48" spans="1:14" s="8" customFormat="1" ht="12" thickBot="1" x14ac:dyDescent="0.25">
      <c r="A48" s="39" t="s">
        <v>103</v>
      </c>
      <c r="B48" s="78"/>
      <c r="C48" s="78"/>
      <c r="D48" s="78"/>
      <c r="E48" s="78"/>
      <c r="F48" s="78"/>
      <c r="G48" s="78">
        <v>118</v>
      </c>
      <c r="H48" s="78">
        <v>1692</v>
      </c>
      <c r="I48" s="78">
        <v>793</v>
      </c>
      <c r="J48" s="78">
        <v>823</v>
      </c>
      <c r="K48" s="78">
        <v>1045</v>
      </c>
      <c r="L48" s="78">
        <v>961</v>
      </c>
      <c r="M48" s="78">
        <v>940</v>
      </c>
      <c r="N48" s="79">
        <f t="shared" si="9"/>
        <v>6372</v>
      </c>
    </row>
    <row r="49" spans="1:16" s="8" customFormat="1" ht="12" thickBot="1" x14ac:dyDescent="0.25">
      <c r="A49" s="15" t="s">
        <v>104</v>
      </c>
      <c r="B49" s="74"/>
      <c r="C49" s="74"/>
      <c r="D49" s="74"/>
      <c r="E49" s="74"/>
      <c r="F49" s="74"/>
      <c r="G49" s="74"/>
      <c r="H49" s="74">
        <v>169</v>
      </c>
      <c r="I49" s="74">
        <v>667</v>
      </c>
      <c r="J49" s="74">
        <v>873</v>
      </c>
      <c r="K49" s="74">
        <v>1191</v>
      </c>
      <c r="L49" s="74">
        <v>1851</v>
      </c>
      <c r="M49" s="74">
        <v>5688</v>
      </c>
      <c r="N49" s="77">
        <f>SUM(B49:M49)</f>
        <v>10439</v>
      </c>
    </row>
    <row r="50" spans="1:16" s="16" customFormat="1" ht="12" thickBot="1" x14ac:dyDescent="0.25">
      <c r="A50" s="67"/>
      <c r="B50" s="21"/>
      <c r="C50" s="21"/>
      <c r="D50" s="21"/>
      <c r="E50" s="21"/>
      <c r="F50" s="21"/>
      <c r="G50" s="21"/>
      <c r="H50" s="21"/>
      <c r="I50" s="36"/>
      <c r="J50" s="21"/>
      <c r="K50" s="21"/>
      <c r="L50" s="21"/>
      <c r="M50" s="21"/>
      <c r="N50" s="68"/>
    </row>
    <row r="51" spans="1:16" s="23" customFormat="1" ht="12.75" thickBot="1" x14ac:dyDescent="0.25">
      <c r="A51" s="88" t="s">
        <v>26</v>
      </c>
      <c r="B51" s="133">
        <f>B9+B18+B25+B29+B33+B34+B39+B43+B44+B47+B45+B46+B48+B49</f>
        <v>283840</v>
      </c>
      <c r="C51" s="133">
        <f t="shared" ref="C51:M51" si="11">C9+C18+C25+C29+C33+C34+C39+C43+C44+C47+C45+C46+C48+C49</f>
        <v>243434</v>
      </c>
      <c r="D51" s="133">
        <f t="shared" si="11"/>
        <v>178590</v>
      </c>
      <c r="E51" s="133">
        <f t="shared" si="11"/>
        <v>149891</v>
      </c>
      <c r="F51" s="133">
        <f t="shared" si="11"/>
        <v>141857</v>
      </c>
      <c r="G51" s="133">
        <f t="shared" si="11"/>
        <v>129440</v>
      </c>
      <c r="H51" s="133">
        <f t="shared" si="11"/>
        <v>193479</v>
      </c>
      <c r="I51" s="133">
        <f t="shared" si="11"/>
        <v>143083</v>
      </c>
      <c r="J51" s="133">
        <f t="shared" si="11"/>
        <v>150212</v>
      </c>
      <c r="K51" s="133">
        <f t="shared" si="11"/>
        <v>158928</v>
      </c>
      <c r="L51" s="133">
        <f t="shared" si="11"/>
        <v>155967</v>
      </c>
      <c r="M51" s="133">
        <f t="shared" si="11"/>
        <v>173570</v>
      </c>
      <c r="N51" s="134">
        <f>N9+N18+N25+N29+N33+N39+N43+N44++N45+N46+N47+N48+N49</f>
        <v>2102291</v>
      </c>
    </row>
    <row r="52" spans="1:16" x14ac:dyDescent="0.2">
      <c r="L52" s="24"/>
      <c r="N52" s="1"/>
      <c r="O52" s="26"/>
      <c r="P52" s="6"/>
    </row>
    <row r="53" spans="1:16" s="28" customFormat="1" ht="9.9499999999999993" customHeight="1" x14ac:dyDescent="0.15">
      <c r="A53" s="25" t="s">
        <v>27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7"/>
      <c r="O53" s="26"/>
    </row>
    <row r="54" spans="1:16" s="28" customFormat="1" ht="9.9499999999999993" customHeight="1" x14ac:dyDescent="0.15">
      <c r="A54" s="25" t="s">
        <v>28</v>
      </c>
      <c r="I54" s="29"/>
      <c r="N54" s="25"/>
      <c r="O54" s="26"/>
    </row>
    <row r="55" spans="1:16" s="28" customFormat="1" ht="9.9499999999999993" customHeight="1" x14ac:dyDescent="0.15">
      <c r="A55" s="421" t="s">
        <v>105</v>
      </c>
      <c r="B55" s="421"/>
      <c r="C55" s="421"/>
      <c r="D55" s="421"/>
      <c r="E55" s="421"/>
      <c r="F55" s="421"/>
      <c r="G55" s="421"/>
      <c r="H55" s="421"/>
      <c r="I55" s="29"/>
      <c r="N55" s="25"/>
    </row>
    <row r="56" spans="1:16" s="28" customFormat="1" ht="9.9499999999999993" customHeight="1" x14ac:dyDescent="0.15">
      <c r="A56" s="418" t="s">
        <v>106</v>
      </c>
      <c r="B56" s="418"/>
      <c r="C56" s="418"/>
      <c r="D56" s="418"/>
      <c r="E56" s="418"/>
      <c r="F56" s="418"/>
      <c r="G56" s="418"/>
      <c r="H56" s="418"/>
      <c r="I56" s="418"/>
      <c r="J56" s="418"/>
      <c r="N56" s="42"/>
      <c r="O56" s="26"/>
    </row>
    <row r="57" spans="1:16" s="31" customFormat="1" ht="9.9499999999999993" customHeight="1" x14ac:dyDescent="0.15">
      <c r="A57" s="418" t="s">
        <v>107</v>
      </c>
      <c r="B57" s="418"/>
      <c r="C57" s="418"/>
      <c r="D57" s="418"/>
      <c r="E57" s="418"/>
      <c r="F57" s="418"/>
      <c r="G57" s="418"/>
      <c r="H57" s="418"/>
      <c r="I57" s="29"/>
      <c r="N57" s="30"/>
    </row>
    <row r="58" spans="1:16" s="28" customFormat="1" ht="9.9499999999999993" customHeight="1" x14ac:dyDescent="0.15">
      <c r="A58" s="418" t="s">
        <v>108</v>
      </c>
      <c r="B58" s="418"/>
      <c r="C58" s="418"/>
      <c r="D58" s="418"/>
      <c r="E58" s="418"/>
      <c r="F58" s="418"/>
      <c r="G58" s="418"/>
      <c r="H58" s="418"/>
      <c r="I58" s="29"/>
      <c r="N58" s="25"/>
    </row>
    <row r="59" spans="1:16" ht="9.9499999999999993" customHeight="1" x14ac:dyDescent="0.2">
      <c r="A59" s="30" t="s">
        <v>109</v>
      </c>
      <c r="B59" s="31"/>
      <c r="C59" s="31"/>
      <c r="D59" s="31"/>
      <c r="E59" s="31"/>
      <c r="F59" s="31"/>
      <c r="G59" s="31"/>
      <c r="H59" s="31"/>
    </row>
    <row r="60" spans="1:16" ht="9.9499999999999993" customHeight="1" x14ac:dyDescent="0.2">
      <c r="A60" s="418" t="s">
        <v>110</v>
      </c>
      <c r="B60" s="418"/>
      <c r="C60" s="418"/>
      <c r="D60" s="418"/>
      <c r="E60" s="418"/>
      <c r="F60" s="418"/>
      <c r="G60" s="418"/>
    </row>
    <row r="61" spans="1:16" ht="9.9499999999999993" customHeight="1" x14ac:dyDescent="0.2">
      <c r="A61" s="25" t="s">
        <v>111</v>
      </c>
    </row>
    <row r="62" spans="1:16" ht="9.9499999999999993" customHeight="1" x14ac:dyDescent="0.2">
      <c r="A62" s="25" t="s">
        <v>112</v>
      </c>
    </row>
    <row r="63" spans="1:16" x14ac:dyDescent="0.2">
      <c r="A63" s="25" t="s">
        <v>113</v>
      </c>
    </row>
    <row r="64" spans="1:16" x14ac:dyDescent="0.2">
      <c r="A64" s="25" t="s">
        <v>114</v>
      </c>
    </row>
  </sheetData>
  <mergeCells count="6">
    <mergeCell ref="A2:N2"/>
    <mergeCell ref="A60:G60"/>
    <mergeCell ref="A55:H55"/>
    <mergeCell ref="A56:J56"/>
    <mergeCell ref="A57:H57"/>
    <mergeCell ref="A58:H58"/>
  </mergeCells>
  <phoneticPr fontId="0" type="noConversion"/>
  <printOptions horizontalCentered="1" verticalCentered="1"/>
  <pageMargins left="0.98425196850393704" right="0.98425196850393704" top="0.98425196850393704" bottom="0.98425196850393704" header="0.51181102362204722" footer="0.51181102362204722"/>
  <pageSetup paperSize="9" scale="63" orientation="landscape" r:id="rId1"/>
  <headerFooter alignWithMargins="0"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showGridLines="0" showRowColHeaders="0" showRuler="0" view="pageLayout" zoomScaleNormal="100" workbookViewId="0">
      <selection activeCell="E21" sqref="E21"/>
    </sheetView>
  </sheetViews>
  <sheetFormatPr baseColWidth="10" defaultRowHeight="11.25" x14ac:dyDescent="0.2"/>
  <cols>
    <col min="1" max="1" width="57" style="4" customWidth="1"/>
    <col min="2" max="2" width="7.5703125" style="5" customWidth="1"/>
    <col min="3" max="7" width="7.28515625" style="5" customWidth="1"/>
    <col min="8" max="8" width="7.7109375" style="5" customWidth="1"/>
    <col min="9" max="9" width="7.28515625" style="7" customWidth="1"/>
    <col min="10" max="13" width="7.28515625" style="5" customWidth="1"/>
    <col min="14" max="14" width="9.7109375" style="4" customWidth="1"/>
    <col min="15" max="16384" width="11.42578125" style="5"/>
  </cols>
  <sheetData>
    <row r="1" spans="1:18" x14ac:dyDescent="0.2">
      <c r="G1" s="6"/>
    </row>
    <row r="2" spans="1:18" s="2" customFormat="1" ht="24.95" customHeight="1" x14ac:dyDescent="0.2">
      <c r="A2" s="420" t="s">
        <v>37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</row>
    <row r="3" spans="1:18" ht="12" thickBot="1" x14ac:dyDescent="0.25">
      <c r="G3" s="6"/>
    </row>
    <row r="4" spans="1:18" s="11" customFormat="1" ht="12" thickBot="1" x14ac:dyDescent="0.25">
      <c r="A4" s="9" t="s">
        <v>0</v>
      </c>
      <c r="B4" s="73" t="s">
        <v>1</v>
      </c>
      <c r="C4" s="73" t="s">
        <v>2</v>
      </c>
      <c r="D4" s="73" t="s">
        <v>3</v>
      </c>
      <c r="E4" s="73" t="s">
        <v>4</v>
      </c>
      <c r="F4" s="73" t="s">
        <v>5</v>
      </c>
      <c r="G4" s="73" t="s">
        <v>6</v>
      </c>
      <c r="H4" s="73" t="s">
        <v>7</v>
      </c>
      <c r="I4" s="73" t="s">
        <v>8</v>
      </c>
      <c r="J4" s="73" t="s">
        <v>9</v>
      </c>
      <c r="K4" s="73" t="s">
        <v>10</v>
      </c>
      <c r="L4" s="73" t="s">
        <v>11</v>
      </c>
      <c r="M4" s="73" t="s">
        <v>12</v>
      </c>
      <c r="N4" s="81" t="s">
        <v>13</v>
      </c>
      <c r="O4" s="10"/>
      <c r="P4" s="10"/>
      <c r="Q4" s="10"/>
      <c r="R4" s="10"/>
    </row>
    <row r="5" spans="1:18" x14ac:dyDescent="0.2">
      <c r="A5" s="43" t="s">
        <v>14</v>
      </c>
      <c r="B5" s="44"/>
      <c r="C5" s="6"/>
      <c r="D5" s="6"/>
      <c r="E5" s="6"/>
      <c r="F5" s="6"/>
      <c r="G5" s="6"/>
      <c r="H5" s="6"/>
      <c r="I5" s="12"/>
      <c r="J5" s="6"/>
      <c r="K5" s="6"/>
      <c r="L5" s="6"/>
      <c r="M5" s="45"/>
      <c r="N5" s="13"/>
    </row>
    <row r="6" spans="1:18" x14ac:dyDescent="0.2">
      <c r="A6" s="14" t="s">
        <v>15</v>
      </c>
      <c r="B6" s="12">
        <v>27530</v>
      </c>
      <c r="C6" s="6">
        <v>24579</v>
      </c>
      <c r="D6" s="6">
        <v>28170</v>
      </c>
      <c r="E6" s="6">
        <v>25367</v>
      </c>
      <c r="F6" s="6">
        <v>28248</v>
      </c>
      <c r="G6" s="6">
        <v>28673</v>
      </c>
      <c r="H6" s="12">
        <v>33571</v>
      </c>
      <c r="I6" s="12">
        <v>30307</v>
      </c>
      <c r="J6" s="6">
        <v>28752</v>
      </c>
      <c r="K6" s="6">
        <v>31396</v>
      </c>
      <c r="L6" s="6">
        <v>40810</v>
      </c>
      <c r="M6" s="6">
        <v>31963</v>
      </c>
      <c r="N6" s="13">
        <f t="shared" ref="N6:N12" si="0">SUM(B6:M6)</f>
        <v>359366</v>
      </c>
    </row>
    <row r="7" spans="1:18" x14ac:dyDescent="0.2">
      <c r="A7" s="14" t="s">
        <v>16</v>
      </c>
      <c r="B7" s="12">
        <v>5152</v>
      </c>
      <c r="C7" s="6">
        <v>7528</v>
      </c>
      <c r="D7" s="6">
        <v>8567</v>
      </c>
      <c r="E7" s="6">
        <v>9361</v>
      </c>
      <c r="F7" s="6">
        <v>8671</v>
      </c>
      <c r="G7" s="6">
        <v>9108</v>
      </c>
      <c r="H7" s="12">
        <v>10219</v>
      </c>
      <c r="I7" s="12">
        <v>9364</v>
      </c>
      <c r="J7" s="6">
        <v>9185</v>
      </c>
      <c r="K7" s="6">
        <v>8940</v>
      </c>
      <c r="L7" s="6">
        <v>10023</v>
      </c>
      <c r="M7" s="6">
        <v>11036</v>
      </c>
      <c r="N7" s="13">
        <f>SUM(B7:M7)</f>
        <v>107154</v>
      </c>
    </row>
    <row r="8" spans="1:18" ht="12" thickBot="1" x14ac:dyDescent="0.25">
      <c r="A8" s="14" t="s">
        <v>38</v>
      </c>
      <c r="B8" s="12">
        <v>3787</v>
      </c>
      <c r="C8" s="6">
        <v>3845</v>
      </c>
      <c r="D8" s="6">
        <v>3451</v>
      </c>
      <c r="E8" s="6">
        <v>3994</v>
      </c>
      <c r="F8" s="6">
        <v>3379</v>
      </c>
      <c r="G8" s="6">
        <v>3384</v>
      </c>
      <c r="H8" s="12">
        <v>3730</v>
      </c>
      <c r="I8" s="12">
        <v>2988</v>
      </c>
      <c r="J8" s="6">
        <v>3216</v>
      </c>
      <c r="K8" s="6">
        <v>4141</v>
      </c>
      <c r="L8" s="6">
        <v>3644</v>
      </c>
      <c r="M8" s="6">
        <v>4825</v>
      </c>
      <c r="N8" s="13">
        <f>SUM(B8:M8)</f>
        <v>44384</v>
      </c>
    </row>
    <row r="9" spans="1:18" s="11" customFormat="1" ht="12" thickBot="1" x14ac:dyDescent="0.25">
      <c r="A9" s="9" t="s">
        <v>39</v>
      </c>
      <c r="B9" s="74">
        <f>SUM(B6:B8)</f>
        <v>36469</v>
      </c>
      <c r="C9" s="74">
        <f t="shared" ref="C9:M9" si="1">SUM(C6:C8)</f>
        <v>35952</v>
      </c>
      <c r="D9" s="74">
        <f t="shared" si="1"/>
        <v>40188</v>
      </c>
      <c r="E9" s="74">
        <f t="shared" si="1"/>
        <v>38722</v>
      </c>
      <c r="F9" s="74">
        <f t="shared" si="1"/>
        <v>40298</v>
      </c>
      <c r="G9" s="74">
        <f t="shared" si="1"/>
        <v>41165</v>
      </c>
      <c r="H9" s="74">
        <f t="shared" si="1"/>
        <v>47520</v>
      </c>
      <c r="I9" s="74">
        <f t="shared" si="1"/>
        <v>42659</v>
      </c>
      <c r="J9" s="74">
        <f t="shared" si="1"/>
        <v>41153</v>
      </c>
      <c r="K9" s="74">
        <f t="shared" si="1"/>
        <v>44477</v>
      </c>
      <c r="L9" s="74">
        <f t="shared" si="1"/>
        <v>54477</v>
      </c>
      <c r="M9" s="74">
        <f t="shared" si="1"/>
        <v>47824</v>
      </c>
      <c r="N9" s="76">
        <f t="shared" si="0"/>
        <v>510904</v>
      </c>
    </row>
    <row r="10" spans="1:18" s="16" customFormat="1" ht="12" thickBot="1" x14ac:dyDescent="0.25">
      <c r="A10" s="15" t="s">
        <v>103</v>
      </c>
      <c r="B10" s="74">
        <v>1511</v>
      </c>
      <c r="C10" s="74">
        <v>1287</v>
      </c>
      <c r="D10" s="74">
        <v>1031</v>
      </c>
      <c r="E10" s="74">
        <v>923</v>
      </c>
      <c r="F10" s="74">
        <v>831</v>
      </c>
      <c r="G10" s="74">
        <v>935</v>
      </c>
      <c r="H10" s="74">
        <v>1291</v>
      </c>
      <c r="I10" s="74">
        <v>707</v>
      </c>
      <c r="J10" s="74">
        <v>1052</v>
      </c>
      <c r="K10" s="74">
        <v>897</v>
      </c>
      <c r="L10" s="74">
        <v>691</v>
      </c>
      <c r="M10" s="74">
        <v>1251</v>
      </c>
      <c r="N10" s="80">
        <f t="shared" si="0"/>
        <v>12407</v>
      </c>
    </row>
    <row r="11" spans="1:18" s="16" customFormat="1" ht="12" thickBot="1" x14ac:dyDescent="0.25">
      <c r="A11" s="15" t="s">
        <v>298</v>
      </c>
      <c r="B11" s="74"/>
      <c r="C11" s="74"/>
      <c r="D11" s="74"/>
      <c r="E11" s="74"/>
      <c r="F11" s="74"/>
      <c r="G11" s="74"/>
      <c r="H11" s="74">
        <v>3116</v>
      </c>
      <c r="I11" s="74">
        <v>4397</v>
      </c>
      <c r="J11" s="74">
        <v>8370</v>
      </c>
      <c r="K11" s="74">
        <v>7006</v>
      </c>
      <c r="L11" s="74">
        <v>6768</v>
      </c>
      <c r="M11" s="74">
        <v>6043</v>
      </c>
      <c r="N11" s="80">
        <f t="shared" si="0"/>
        <v>35700</v>
      </c>
    </row>
    <row r="12" spans="1:18" s="16" customFormat="1" ht="12" thickBot="1" x14ac:dyDescent="0.25">
      <c r="A12" s="15" t="s">
        <v>17</v>
      </c>
      <c r="B12" s="74">
        <v>12520</v>
      </c>
      <c r="C12" s="74">
        <v>11968</v>
      </c>
      <c r="D12" s="74">
        <v>6193</v>
      </c>
      <c r="E12" s="74">
        <v>3239</v>
      </c>
      <c r="F12" s="74">
        <v>2090</v>
      </c>
      <c r="G12" s="74">
        <v>1261</v>
      </c>
      <c r="H12" s="74">
        <v>4319</v>
      </c>
      <c r="I12" s="74">
        <v>767</v>
      </c>
      <c r="J12" s="74">
        <v>962</v>
      </c>
      <c r="K12" s="74">
        <v>1011</v>
      </c>
      <c r="L12" s="74">
        <v>0</v>
      </c>
      <c r="M12" s="74">
        <v>0</v>
      </c>
      <c r="N12" s="80">
        <f t="shared" si="0"/>
        <v>44330</v>
      </c>
    </row>
    <row r="13" spans="1:18" x14ac:dyDescent="0.2">
      <c r="A13" s="43" t="s">
        <v>18</v>
      </c>
      <c r="B13" s="6"/>
      <c r="C13" s="6"/>
      <c r="D13" s="6"/>
      <c r="E13" s="6"/>
      <c r="F13" s="6"/>
      <c r="G13" s="6"/>
      <c r="H13" s="6"/>
      <c r="I13" s="12"/>
      <c r="J13" s="6"/>
      <c r="K13" s="6"/>
      <c r="L13" s="6"/>
      <c r="M13" s="45"/>
      <c r="N13" s="13"/>
    </row>
    <row r="14" spans="1:18" x14ac:dyDescent="0.2">
      <c r="A14" s="14" t="s">
        <v>40</v>
      </c>
      <c r="B14" s="6">
        <v>33411</v>
      </c>
      <c r="C14" s="6">
        <v>37135</v>
      </c>
      <c r="D14" s="6">
        <v>25275</v>
      </c>
      <c r="E14" s="6">
        <v>20578</v>
      </c>
      <c r="F14" s="6">
        <v>16582</v>
      </c>
      <c r="G14" s="6">
        <v>13412</v>
      </c>
      <c r="H14" s="6">
        <v>22202</v>
      </c>
      <c r="I14" s="17">
        <v>15883</v>
      </c>
      <c r="J14" s="6">
        <v>17865</v>
      </c>
      <c r="K14" s="6">
        <v>20482</v>
      </c>
      <c r="L14" s="6">
        <v>26452</v>
      </c>
      <c r="M14" s="6">
        <v>31352</v>
      </c>
      <c r="N14" s="13">
        <f t="shared" ref="N14:N21" si="2">SUM(B14:M14)</f>
        <v>280629</v>
      </c>
    </row>
    <row r="15" spans="1:18" x14ac:dyDescent="0.2">
      <c r="A15" s="14" t="s">
        <v>41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12">
        <v>0</v>
      </c>
      <c r="J15" s="6">
        <v>0</v>
      </c>
      <c r="K15" s="6">
        <v>0</v>
      </c>
      <c r="L15" s="6">
        <v>0</v>
      </c>
      <c r="M15" s="6">
        <v>0</v>
      </c>
      <c r="N15" s="13">
        <f t="shared" si="2"/>
        <v>0</v>
      </c>
    </row>
    <row r="16" spans="1:18" x14ac:dyDescent="0.2">
      <c r="A16" s="14" t="s">
        <v>42</v>
      </c>
      <c r="B16" s="6">
        <v>25997</v>
      </c>
      <c r="C16" s="6">
        <v>22621</v>
      </c>
      <c r="D16" s="6">
        <v>15057</v>
      </c>
      <c r="E16" s="6">
        <v>15513</v>
      </c>
      <c r="F16" s="6">
        <v>14230</v>
      </c>
      <c r="G16" s="6">
        <v>10257</v>
      </c>
      <c r="H16" s="6">
        <v>18623</v>
      </c>
      <c r="I16" s="12">
        <v>11844</v>
      </c>
      <c r="J16" s="6">
        <v>12436</v>
      </c>
      <c r="K16" s="6">
        <v>15069</v>
      </c>
      <c r="L16" s="6">
        <v>15000</v>
      </c>
      <c r="M16" s="6">
        <v>16010</v>
      </c>
      <c r="N16" s="13">
        <f t="shared" si="2"/>
        <v>192657</v>
      </c>
    </row>
    <row r="17" spans="1:14" x14ac:dyDescent="0.2">
      <c r="A17" s="14" t="s">
        <v>43</v>
      </c>
      <c r="B17" s="6">
        <v>3812</v>
      </c>
      <c r="C17" s="6">
        <v>1219</v>
      </c>
      <c r="D17" s="6">
        <v>801</v>
      </c>
      <c r="E17" s="6">
        <v>1398</v>
      </c>
      <c r="F17" s="6">
        <v>1133</v>
      </c>
      <c r="G17" s="6">
        <v>900</v>
      </c>
      <c r="H17" s="6">
        <v>1132</v>
      </c>
      <c r="I17" s="12">
        <v>793</v>
      </c>
      <c r="J17" s="6">
        <v>328</v>
      </c>
      <c r="K17" s="6">
        <v>0</v>
      </c>
      <c r="L17" s="6">
        <v>288</v>
      </c>
      <c r="M17" s="6">
        <v>107</v>
      </c>
      <c r="N17" s="13">
        <f t="shared" si="2"/>
        <v>11911</v>
      </c>
    </row>
    <row r="18" spans="1:14" x14ac:dyDescent="0.2">
      <c r="A18" s="14" t="s">
        <v>44</v>
      </c>
      <c r="B18" s="6">
        <v>17804</v>
      </c>
      <c r="C18" s="6">
        <v>17520</v>
      </c>
      <c r="D18" s="6">
        <v>14926</v>
      </c>
      <c r="E18" s="6">
        <v>11543</v>
      </c>
      <c r="F18" s="6">
        <v>10711</v>
      </c>
      <c r="G18" s="6">
        <v>10638</v>
      </c>
      <c r="H18" s="6">
        <v>13966</v>
      </c>
      <c r="I18" s="12">
        <v>8762</v>
      </c>
      <c r="J18" s="6">
        <v>8852</v>
      </c>
      <c r="K18" s="6">
        <v>11099</v>
      </c>
      <c r="L18" s="6">
        <v>9926</v>
      </c>
      <c r="M18" s="6">
        <v>11451</v>
      </c>
      <c r="N18" s="13">
        <f t="shared" si="2"/>
        <v>147198</v>
      </c>
    </row>
    <row r="19" spans="1:14" x14ac:dyDescent="0.2">
      <c r="A19" s="14" t="s">
        <v>45</v>
      </c>
      <c r="B19" s="6">
        <v>2718</v>
      </c>
      <c r="C19" s="6">
        <v>2964</v>
      </c>
      <c r="D19" s="6">
        <v>2979</v>
      </c>
      <c r="E19" s="6">
        <v>2735</v>
      </c>
      <c r="F19" s="6">
        <v>3347</v>
      </c>
      <c r="G19" s="6">
        <v>2926</v>
      </c>
      <c r="H19" s="6">
        <v>1333</v>
      </c>
      <c r="I19" s="12">
        <v>1446</v>
      </c>
      <c r="J19" s="6">
        <v>2879</v>
      </c>
      <c r="K19" s="6">
        <v>3245</v>
      </c>
      <c r="L19" s="6">
        <v>2836</v>
      </c>
      <c r="M19" s="6">
        <v>1915</v>
      </c>
      <c r="N19" s="13">
        <f>SUM(B19:M19)</f>
        <v>31323</v>
      </c>
    </row>
    <row r="20" spans="1:14" x14ac:dyDescent="0.2">
      <c r="A20" s="14" t="s">
        <v>46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12">
        <v>1013</v>
      </c>
      <c r="J20" s="6">
        <v>1041</v>
      </c>
      <c r="K20" s="6">
        <v>1144</v>
      </c>
      <c r="L20" s="6">
        <v>1017</v>
      </c>
      <c r="M20" s="6">
        <v>1342</v>
      </c>
      <c r="N20" s="13">
        <f>SUM(B20:M20)</f>
        <v>5557</v>
      </c>
    </row>
    <row r="21" spans="1:14" ht="12" thickBot="1" x14ac:dyDescent="0.25">
      <c r="A21" s="14" t="s">
        <v>47</v>
      </c>
      <c r="B21" s="6">
        <v>8557</v>
      </c>
      <c r="C21" s="6">
        <v>8195</v>
      </c>
      <c r="D21" s="6">
        <v>6198</v>
      </c>
      <c r="E21" s="6">
        <v>5776</v>
      </c>
      <c r="F21" s="6">
        <v>5285</v>
      </c>
      <c r="G21" s="6">
        <v>5053</v>
      </c>
      <c r="H21" s="6">
        <v>7651</v>
      </c>
      <c r="I21" s="12">
        <v>5637</v>
      </c>
      <c r="J21" s="6">
        <v>2347</v>
      </c>
      <c r="K21" s="6">
        <v>5722</v>
      </c>
      <c r="L21" s="6">
        <v>5416</v>
      </c>
      <c r="M21" s="6">
        <v>6828</v>
      </c>
      <c r="N21" s="13">
        <f t="shared" si="2"/>
        <v>72665</v>
      </c>
    </row>
    <row r="22" spans="1:14" s="11" customFormat="1" ht="12" thickBot="1" x14ac:dyDescent="0.25">
      <c r="A22" s="9" t="s">
        <v>19</v>
      </c>
      <c r="B22" s="74">
        <f>SUM(B14:B21)</f>
        <v>92299</v>
      </c>
      <c r="C22" s="74">
        <f t="shared" ref="C22:M22" si="3">SUM(C14:C21)</f>
        <v>89654</v>
      </c>
      <c r="D22" s="74">
        <f t="shared" si="3"/>
        <v>65236</v>
      </c>
      <c r="E22" s="74">
        <f>SUM(E14:E21)</f>
        <v>57543</v>
      </c>
      <c r="F22" s="74">
        <f>SUM(F14:F21)</f>
        <v>51288</v>
      </c>
      <c r="G22" s="74">
        <f t="shared" si="3"/>
        <v>43186</v>
      </c>
      <c r="H22" s="74">
        <f t="shared" si="3"/>
        <v>64907</v>
      </c>
      <c r="I22" s="74">
        <f>SUM(I14:I21)</f>
        <v>45378</v>
      </c>
      <c r="J22" s="74">
        <f>SUM(J14:J21)</f>
        <v>45748</v>
      </c>
      <c r="K22" s="74">
        <f t="shared" si="3"/>
        <v>56761</v>
      </c>
      <c r="L22" s="74">
        <f t="shared" si="3"/>
        <v>60935</v>
      </c>
      <c r="M22" s="74">
        <f t="shared" si="3"/>
        <v>69005</v>
      </c>
      <c r="N22" s="76">
        <f>SUM(B22:M22)</f>
        <v>741940</v>
      </c>
    </row>
    <row r="23" spans="1:14" x14ac:dyDescent="0.2">
      <c r="A23" s="43" t="s">
        <v>20</v>
      </c>
      <c r="B23" s="6"/>
      <c r="C23" s="6"/>
      <c r="D23" s="6"/>
      <c r="E23" s="6"/>
      <c r="F23" s="6"/>
      <c r="G23" s="6"/>
      <c r="H23" s="6"/>
      <c r="I23" s="12"/>
      <c r="J23" s="6"/>
      <c r="K23" s="6"/>
      <c r="L23" s="6"/>
      <c r="M23" s="45"/>
      <c r="N23" s="13"/>
    </row>
    <row r="24" spans="1:14" x14ac:dyDescent="0.2">
      <c r="A24" s="14" t="s">
        <v>48</v>
      </c>
      <c r="B24" s="6">
        <v>5022</v>
      </c>
      <c r="C24" s="6">
        <v>3939</v>
      </c>
      <c r="D24" s="6">
        <v>3058</v>
      </c>
      <c r="E24" s="6">
        <v>3029</v>
      </c>
      <c r="F24" s="6">
        <f>1325+1314</f>
        <v>2639</v>
      </c>
      <c r="G24" s="6">
        <f>1237+1241</f>
        <v>2478</v>
      </c>
      <c r="H24" s="6">
        <f>2164+1939</f>
        <v>4103</v>
      </c>
      <c r="I24" s="12">
        <f>1282+978</f>
        <v>2260</v>
      </c>
      <c r="J24" s="6">
        <f>1421+1277</f>
        <v>2698</v>
      </c>
      <c r="K24" s="6">
        <f>1288+1246</f>
        <v>2534</v>
      </c>
      <c r="L24" s="6">
        <f>792+1236</f>
        <v>2028</v>
      </c>
      <c r="M24" s="6">
        <v>2069</v>
      </c>
      <c r="N24" s="13">
        <f t="shared" ref="N24:N29" si="4">SUM(B24:M24)</f>
        <v>35857</v>
      </c>
    </row>
    <row r="25" spans="1:14" x14ac:dyDescent="0.2">
      <c r="A25" s="14" t="s">
        <v>49</v>
      </c>
      <c r="B25" s="6">
        <v>7320</v>
      </c>
      <c r="C25" s="6">
        <v>4771</v>
      </c>
      <c r="D25" s="6">
        <v>5005</v>
      </c>
      <c r="E25" s="6">
        <v>5588</v>
      </c>
      <c r="F25" s="6">
        <f>2800+2354</f>
        <v>5154</v>
      </c>
      <c r="G25" s="6">
        <f>2666+3036</f>
        <v>5702</v>
      </c>
      <c r="H25" s="6">
        <f>3573+3423</f>
        <v>6996</v>
      </c>
      <c r="I25" s="12">
        <f>1690+1241+494+213+1612+1208+483+196</f>
        <v>7137</v>
      </c>
      <c r="J25" s="6">
        <f>3601+3311</f>
        <v>6912</v>
      </c>
      <c r="K25" s="6">
        <f>3461+3492</f>
        <v>6953</v>
      </c>
      <c r="L25" s="6">
        <f>3320+3277</f>
        <v>6597</v>
      </c>
      <c r="M25" s="6">
        <v>4172</v>
      </c>
      <c r="N25" s="13">
        <f t="shared" si="4"/>
        <v>72307</v>
      </c>
    </row>
    <row r="26" spans="1:14" x14ac:dyDescent="0.2">
      <c r="A26" s="14" t="s">
        <v>50</v>
      </c>
      <c r="B26" s="6">
        <v>23405</v>
      </c>
      <c r="C26" s="6">
        <v>17457</v>
      </c>
      <c r="D26" s="6">
        <v>9741</v>
      </c>
      <c r="E26" s="6">
        <v>9797</v>
      </c>
      <c r="F26" s="6">
        <f>4470+4912</f>
        <v>9382</v>
      </c>
      <c r="G26" s="6">
        <f>4842+4482</f>
        <v>9324</v>
      </c>
      <c r="H26" s="6">
        <f>6664+6163</f>
        <v>12827</v>
      </c>
      <c r="I26" s="12">
        <f>2627+1306+416+191+2942+1293+419+209</f>
        <v>9403</v>
      </c>
      <c r="J26" s="6">
        <f>4300+4836</f>
        <v>9136</v>
      </c>
      <c r="K26" s="6">
        <f>4669+4927</f>
        <v>9596</v>
      </c>
      <c r="L26" s="6">
        <f>4346+4268</f>
        <v>8614</v>
      </c>
      <c r="M26" s="6">
        <v>13687</v>
      </c>
      <c r="N26" s="13">
        <f t="shared" si="4"/>
        <v>142369</v>
      </c>
    </row>
    <row r="27" spans="1:14" x14ac:dyDescent="0.2">
      <c r="A27" s="14" t="s">
        <v>51</v>
      </c>
      <c r="B27" s="12">
        <v>27506</v>
      </c>
      <c r="C27" s="6">
        <v>17688</v>
      </c>
      <c r="D27" s="6">
        <v>4418</v>
      </c>
      <c r="E27" s="6">
        <v>3966</v>
      </c>
      <c r="F27" s="6">
        <f>1254+1734</f>
        <v>2988</v>
      </c>
      <c r="G27" s="6">
        <f>1274+1603</f>
        <v>2877</v>
      </c>
      <c r="H27" s="6">
        <f>6391+5494</f>
        <v>11885</v>
      </c>
      <c r="I27" s="12">
        <f>3903+3583</f>
        <v>7486</v>
      </c>
      <c r="J27" s="6">
        <f>4731+4656</f>
        <v>9387</v>
      </c>
      <c r="K27" s="6">
        <f>4666+3685</f>
        <v>8351</v>
      </c>
      <c r="L27" s="6">
        <f>5092+4719</f>
        <v>9811</v>
      </c>
      <c r="M27" s="6">
        <v>8968</v>
      </c>
      <c r="N27" s="13">
        <f t="shared" si="4"/>
        <v>115331</v>
      </c>
    </row>
    <row r="28" spans="1:14" ht="12" thickBot="1" x14ac:dyDescent="0.25">
      <c r="A28" s="14" t="s">
        <v>52</v>
      </c>
      <c r="B28" s="12">
        <v>13759</v>
      </c>
      <c r="C28" s="6">
        <v>7855</v>
      </c>
      <c r="D28" s="6">
        <v>1658</v>
      </c>
      <c r="E28" s="6">
        <v>1477</v>
      </c>
      <c r="F28" s="6">
        <f>487+862</f>
        <v>1349</v>
      </c>
      <c r="G28" s="6">
        <f>385+662</f>
        <v>1047</v>
      </c>
      <c r="H28" s="6">
        <v>0</v>
      </c>
      <c r="I28" s="12">
        <v>0</v>
      </c>
      <c r="J28" s="6">
        <v>0</v>
      </c>
      <c r="K28" s="6">
        <v>0</v>
      </c>
      <c r="L28" s="6">
        <v>0</v>
      </c>
      <c r="M28" s="6">
        <v>0</v>
      </c>
      <c r="N28" s="13">
        <f>SUM(B28:M28)</f>
        <v>27145</v>
      </c>
    </row>
    <row r="29" spans="1:14" s="11" customFormat="1" ht="12" thickBot="1" x14ac:dyDescent="0.25">
      <c r="A29" s="9" t="s">
        <v>53</v>
      </c>
      <c r="B29" s="74">
        <f t="shared" ref="B29:I29" si="5">SUM(B24:B28)</f>
        <v>77012</v>
      </c>
      <c r="C29" s="74">
        <f t="shared" si="5"/>
        <v>51710</v>
      </c>
      <c r="D29" s="74">
        <f t="shared" si="5"/>
        <v>23880</v>
      </c>
      <c r="E29" s="74">
        <f t="shared" si="5"/>
        <v>23857</v>
      </c>
      <c r="F29" s="74">
        <f t="shared" si="5"/>
        <v>21512</v>
      </c>
      <c r="G29" s="74">
        <f t="shared" si="5"/>
        <v>21428</v>
      </c>
      <c r="H29" s="74">
        <f t="shared" si="5"/>
        <v>35811</v>
      </c>
      <c r="I29" s="74">
        <f t="shared" si="5"/>
        <v>26286</v>
      </c>
      <c r="J29" s="74">
        <f>SUM(J24:J28)</f>
        <v>28133</v>
      </c>
      <c r="K29" s="74">
        <f>SUM(K24:K28)</f>
        <v>27434</v>
      </c>
      <c r="L29" s="74">
        <f>SUM(L24:L28)</f>
        <v>27050</v>
      </c>
      <c r="M29" s="74">
        <f>SUM(M24:M28)</f>
        <v>28896</v>
      </c>
      <c r="N29" s="76">
        <f t="shared" si="4"/>
        <v>393009</v>
      </c>
    </row>
    <row r="30" spans="1:14" s="11" customFormat="1" x14ac:dyDescent="0.2">
      <c r="A30" s="46" t="s">
        <v>36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4" s="11" customFormat="1" x14ac:dyDescent="0.2">
      <c r="A31" s="35" t="s">
        <v>54</v>
      </c>
      <c r="B31" s="37">
        <v>5050</v>
      </c>
      <c r="C31" s="37">
        <v>3646</v>
      </c>
      <c r="D31" s="37">
        <v>1118</v>
      </c>
      <c r="E31" s="37">
        <v>1202</v>
      </c>
      <c r="F31" s="37">
        <v>462</v>
      </c>
      <c r="G31" s="37">
        <v>128</v>
      </c>
      <c r="H31" s="37">
        <v>2260</v>
      </c>
      <c r="I31" s="37">
        <v>512</v>
      </c>
      <c r="J31" s="37">
        <v>1141</v>
      </c>
      <c r="K31" s="37">
        <v>1437</v>
      </c>
      <c r="L31" s="37">
        <v>1415</v>
      </c>
      <c r="M31" s="37">
        <v>630</v>
      </c>
      <c r="N31" s="38">
        <f>SUM(B31:M31)</f>
        <v>19001</v>
      </c>
    </row>
    <row r="32" spans="1:14" s="11" customFormat="1" ht="12" thickBot="1" x14ac:dyDescent="0.25">
      <c r="A32" s="32" t="s">
        <v>55</v>
      </c>
      <c r="B32" s="34">
        <v>1106</v>
      </c>
      <c r="C32" s="34">
        <v>744</v>
      </c>
      <c r="D32" s="34">
        <v>33</v>
      </c>
      <c r="E32" s="34">
        <v>205</v>
      </c>
      <c r="F32" s="34">
        <v>0</v>
      </c>
      <c r="G32" s="34">
        <v>0</v>
      </c>
      <c r="H32" s="34">
        <v>191</v>
      </c>
      <c r="I32" s="34">
        <v>10</v>
      </c>
      <c r="J32" s="34">
        <v>37</v>
      </c>
      <c r="K32" s="34">
        <v>104</v>
      </c>
      <c r="L32" s="34">
        <v>122</v>
      </c>
      <c r="M32" s="34">
        <v>218</v>
      </c>
      <c r="N32" s="38">
        <f>SUM(B32:M32)</f>
        <v>2770</v>
      </c>
    </row>
    <row r="33" spans="1:14" s="18" customFormat="1" ht="12" thickBot="1" x14ac:dyDescent="0.25">
      <c r="A33" s="9" t="s">
        <v>34</v>
      </c>
      <c r="B33" s="74">
        <f>SUM(B31:B32)</f>
        <v>6156</v>
      </c>
      <c r="C33" s="74">
        <f t="shared" ref="C33:M33" si="6">SUM(C31:C32)</f>
        <v>4390</v>
      </c>
      <c r="D33" s="74">
        <f t="shared" si="6"/>
        <v>1151</v>
      </c>
      <c r="E33" s="74">
        <f t="shared" si="6"/>
        <v>1407</v>
      </c>
      <c r="F33" s="74">
        <f t="shared" si="6"/>
        <v>462</v>
      </c>
      <c r="G33" s="74">
        <f t="shared" si="6"/>
        <v>128</v>
      </c>
      <c r="H33" s="74">
        <f t="shared" si="6"/>
        <v>2451</v>
      </c>
      <c r="I33" s="74">
        <f t="shared" si="6"/>
        <v>522</v>
      </c>
      <c r="J33" s="74">
        <f t="shared" si="6"/>
        <v>1178</v>
      </c>
      <c r="K33" s="74">
        <f t="shared" si="6"/>
        <v>1541</v>
      </c>
      <c r="L33" s="74">
        <f t="shared" si="6"/>
        <v>1537</v>
      </c>
      <c r="M33" s="74">
        <f t="shared" si="6"/>
        <v>848</v>
      </c>
      <c r="N33" s="76">
        <f>SUM(B33:M33)</f>
        <v>21771</v>
      </c>
    </row>
    <row r="34" spans="1:14" s="6" customFormat="1" x14ac:dyDescent="0.2">
      <c r="A34" s="49" t="s">
        <v>21</v>
      </c>
      <c r="I34" s="12"/>
      <c r="N34" s="19"/>
    </row>
    <row r="35" spans="1:14" s="6" customFormat="1" x14ac:dyDescent="0.2">
      <c r="A35" s="20" t="s">
        <v>56</v>
      </c>
      <c r="B35" s="12">
        <v>2593</v>
      </c>
      <c r="C35" s="12">
        <v>0</v>
      </c>
      <c r="D35" s="6">
        <v>0</v>
      </c>
      <c r="E35" s="6">
        <v>180</v>
      </c>
      <c r="F35" s="6">
        <v>160</v>
      </c>
      <c r="G35" s="6">
        <v>2025</v>
      </c>
      <c r="H35" s="6">
        <f>1318+1458</f>
        <v>2776</v>
      </c>
      <c r="I35" s="12">
        <f>1058+1262</f>
        <v>2320</v>
      </c>
      <c r="J35" s="6">
        <f>903+1100</f>
        <v>2003</v>
      </c>
      <c r="K35" s="6">
        <f>1502+1585</f>
        <v>3087</v>
      </c>
      <c r="L35" s="6">
        <f>1380+1302</f>
        <v>2682</v>
      </c>
      <c r="M35" s="6">
        <f>1684+1266</f>
        <v>2950</v>
      </c>
      <c r="N35" s="19">
        <f>SUM(B35:M35)</f>
        <v>20776</v>
      </c>
    </row>
    <row r="36" spans="1:14" s="6" customFormat="1" ht="12" thickBot="1" x14ac:dyDescent="0.25">
      <c r="A36" s="20" t="s">
        <v>57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6">
        <v>0</v>
      </c>
      <c r="K36" s="6">
        <v>0</v>
      </c>
      <c r="L36" s="6">
        <v>0</v>
      </c>
      <c r="M36" s="6">
        <v>0</v>
      </c>
      <c r="N36" s="19">
        <f>SUM(B36:M36)</f>
        <v>0</v>
      </c>
    </row>
    <row r="37" spans="1:14" s="21" customFormat="1" ht="12" thickBot="1" x14ac:dyDescent="0.25">
      <c r="A37" s="15" t="s">
        <v>58</v>
      </c>
      <c r="B37" s="74">
        <f t="shared" ref="B37:G37" si="7">SUM(B35:B36)</f>
        <v>2593</v>
      </c>
      <c r="C37" s="74">
        <f t="shared" si="7"/>
        <v>0</v>
      </c>
      <c r="D37" s="74">
        <f t="shared" si="7"/>
        <v>0</v>
      </c>
      <c r="E37" s="74">
        <f>SUM(E35:E36)</f>
        <v>180</v>
      </c>
      <c r="F37" s="74">
        <f t="shared" si="7"/>
        <v>160</v>
      </c>
      <c r="G37" s="74">
        <f t="shared" si="7"/>
        <v>2025</v>
      </c>
      <c r="H37" s="74">
        <f t="shared" ref="H37:M37" si="8">SUM(H35:H36)</f>
        <v>2776</v>
      </c>
      <c r="I37" s="74">
        <f t="shared" si="8"/>
        <v>2320</v>
      </c>
      <c r="J37" s="74">
        <f t="shared" si="8"/>
        <v>2003</v>
      </c>
      <c r="K37" s="74">
        <f t="shared" si="8"/>
        <v>3087</v>
      </c>
      <c r="L37" s="74">
        <f t="shared" si="8"/>
        <v>2682</v>
      </c>
      <c r="M37" s="74">
        <f t="shared" si="8"/>
        <v>2950</v>
      </c>
      <c r="N37" s="80">
        <f>SUM(B37:M37)</f>
        <v>20776</v>
      </c>
    </row>
    <row r="38" spans="1:14" s="6" customFormat="1" x14ac:dyDescent="0.2">
      <c r="A38" s="49" t="s">
        <v>22</v>
      </c>
      <c r="I38" s="12"/>
      <c r="N38" s="19"/>
    </row>
    <row r="39" spans="1:14" s="6" customFormat="1" x14ac:dyDescent="0.2">
      <c r="A39" s="20" t="s">
        <v>59</v>
      </c>
      <c r="B39" s="6">
        <v>1200</v>
      </c>
      <c r="C39" s="6">
        <v>920</v>
      </c>
      <c r="D39" s="6">
        <v>930</v>
      </c>
      <c r="E39" s="6">
        <v>385</v>
      </c>
      <c r="F39" s="6">
        <v>460</v>
      </c>
      <c r="G39" s="6">
        <v>530</v>
      </c>
      <c r="H39" s="6">
        <v>1040</v>
      </c>
      <c r="I39" s="12">
        <v>1082</v>
      </c>
      <c r="J39" s="6">
        <v>990</v>
      </c>
      <c r="K39" s="6">
        <v>815</v>
      </c>
      <c r="L39" s="6">
        <v>910</v>
      </c>
      <c r="M39" s="6">
        <v>934</v>
      </c>
      <c r="N39" s="19">
        <f>SUM(B39:M39)</f>
        <v>10196</v>
      </c>
    </row>
    <row r="40" spans="1:14" s="6" customFormat="1" x14ac:dyDescent="0.2">
      <c r="A40" s="20" t="s">
        <v>60</v>
      </c>
      <c r="B40" s="22">
        <v>300</v>
      </c>
      <c r="C40" s="6">
        <v>50</v>
      </c>
      <c r="D40" s="6">
        <v>50</v>
      </c>
      <c r="E40" s="6">
        <v>100</v>
      </c>
      <c r="F40" s="6">
        <v>600</v>
      </c>
      <c r="G40" s="6">
        <v>430</v>
      </c>
      <c r="H40" s="6">
        <v>3447</v>
      </c>
      <c r="I40" s="12">
        <v>1145</v>
      </c>
      <c r="J40" s="6">
        <v>802</v>
      </c>
      <c r="K40" s="6">
        <v>1067</v>
      </c>
      <c r="L40" s="6">
        <v>1395</v>
      </c>
      <c r="M40" s="6">
        <v>449</v>
      </c>
      <c r="N40" s="19">
        <f>SUM(B40:M40)</f>
        <v>9835</v>
      </c>
    </row>
    <row r="41" spans="1:14" s="6" customFormat="1" x14ac:dyDescent="0.2">
      <c r="A41" s="20" t="s">
        <v>61</v>
      </c>
      <c r="B41" s="6">
        <v>250</v>
      </c>
      <c r="C41" s="6">
        <v>280</v>
      </c>
      <c r="D41" s="6">
        <v>450</v>
      </c>
      <c r="E41" s="6">
        <v>450</v>
      </c>
      <c r="F41" s="6">
        <v>450</v>
      </c>
      <c r="G41" s="6">
        <v>1350</v>
      </c>
      <c r="H41" s="6">
        <v>8578</v>
      </c>
      <c r="I41" s="12">
        <v>5995</v>
      </c>
      <c r="J41" s="6">
        <v>4584</v>
      </c>
      <c r="K41" s="6">
        <v>6169</v>
      </c>
      <c r="L41" s="6">
        <v>5085</v>
      </c>
      <c r="M41" s="6">
        <v>4624</v>
      </c>
      <c r="N41" s="19">
        <f>SUM(B41:M41)</f>
        <v>38265</v>
      </c>
    </row>
    <row r="42" spans="1:14" s="6" customFormat="1" ht="12" thickBot="1" x14ac:dyDescent="0.25">
      <c r="A42" s="20" t="s">
        <v>62</v>
      </c>
      <c r="B42" s="6">
        <v>300</v>
      </c>
      <c r="C42" s="6">
        <v>707</v>
      </c>
      <c r="D42" s="6">
        <v>677</v>
      </c>
      <c r="E42" s="6">
        <v>617</v>
      </c>
      <c r="F42" s="6">
        <v>683</v>
      </c>
      <c r="G42" s="6">
        <v>854</v>
      </c>
      <c r="H42" s="6">
        <v>1403</v>
      </c>
      <c r="I42" s="12">
        <v>1096</v>
      </c>
      <c r="J42" s="6">
        <v>1273</v>
      </c>
      <c r="K42" s="6">
        <v>648</v>
      </c>
      <c r="L42" s="6">
        <v>1045</v>
      </c>
      <c r="M42" s="6">
        <v>574</v>
      </c>
      <c r="N42" s="19">
        <f>SUM(B42:M42)</f>
        <v>9877</v>
      </c>
    </row>
    <row r="43" spans="1:14" s="21" customFormat="1" ht="12" thickBot="1" x14ac:dyDescent="0.25">
      <c r="A43" s="15" t="s">
        <v>23</v>
      </c>
      <c r="B43" s="74">
        <f t="shared" ref="B43:G43" si="9">SUM(B39:B42)</f>
        <v>2050</v>
      </c>
      <c r="C43" s="74">
        <f t="shared" si="9"/>
        <v>1957</v>
      </c>
      <c r="D43" s="74">
        <f t="shared" si="9"/>
        <v>2107</v>
      </c>
      <c r="E43" s="74">
        <f t="shared" si="9"/>
        <v>1552</v>
      </c>
      <c r="F43" s="74">
        <f t="shared" si="9"/>
        <v>2193</v>
      </c>
      <c r="G43" s="74">
        <f t="shared" si="9"/>
        <v>3164</v>
      </c>
      <c r="H43" s="74">
        <f t="shared" ref="H43:M43" si="10">SUM(H39:H42)</f>
        <v>14468</v>
      </c>
      <c r="I43" s="74">
        <f t="shared" si="10"/>
        <v>9318</v>
      </c>
      <c r="J43" s="74">
        <f t="shared" si="10"/>
        <v>7649</v>
      </c>
      <c r="K43" s="74">
        <f t="shared" si="10"/>
        <v>8699</v>
      </c>
      <c r="L43" s="74">
        <f t="shared" si="10"/>
        <v>8435</v>
      </c>
      <c r="M43" s="74">
        <f t="shared" si="10"/>
        <v>6581</v>
      </c>
      <c r="N43" s="80">
        <f>SUM(B43:M43)</f>
        <v>68173</v>
      </c>
    </row>
    <row r="44" spans="1:14" s="6" customFormat="1" x14ac:dyDescent="0.2">
      <c r="A44" s="49" t="s">
        <v>24</v>
      </c>
      <c r="I44" s="12"/>
      <c r="N44" s="19"/>
    </row>
    <row r="45" spans="1:14" s="6" customFormat="1" x14ac:dyDescent="0.2">
      <c r="A45" s="20" t="s">
        <v>63</v>
      </c>
      <c r="B45" s="6">
        <v>1264</v>
      </c>
      <c r="C45" s="6">
        <v>1163</v>
      </c>
      <c r="D45" s="6">
        <v>1150</v>
      </c>
      <c r="E45" s="6">
        <v>1150</v>
      </c>
      <c r="F45" s="6">
        <v>884</v>
      </c>
      <c r="G45" s="6">
        <v>924</v>
      </c>
      <c r="H45" s="6">
        <v>1329</v>
      </c>
      <c r="I45" s="12">
        <v>730</v>
      </c>
      <c r="J45" s="6">
        <v>961</v>
      </c>
      <c r="K45" s="6">
        <v>1145</v>
      </c>
      <c r="L45" s="6">
        <v>1095</v>
      </c>
      <c r="M45" s="6">
        <v>1391</v>
      </c>
      <c r="N45" s="19">
        <f>SUM(B45:M45)</f>
        <v>13186</v>
      </c>
    </row>
    <row r="46" spans="1:14" s="6" customFormat="1" ht="12" thickBot="1" x14ac:dyDescent="0.25">
      <c r="A46" s="20" t="s">
        <v>64</v>
      </c>
      <c r="B46" s="6">
        <v>938</v>
      </c>
      <c r="C46" s="6">
        <v>865</v>
      </c>
      <c r="D46" s="6">
        <v>782</v>
      </c>
      <c r="E46" s="6">
        <v>913</v>
      </c>
      <c r="F46" s="6">
        <v>695</v>
      </c>
      <c r="G46" s="6">
        <v>739</v>
      </c>
      <c r="H46" s="6">
        <v>793</v>
      </c>
      <c r="I46" s="12">
        <v>635</v>
      </c>
      <c r="J46" s="6">
        <v>861</v>
      </c>
      <c r="K46" s="6">
        <v>851</v>
      </c>
      <c r="L46" s="6">
        <v>789</v>
      </c>
      <c r="M46" s="6">
        <v>1168</v>
      </c>
      <c r="N46" s="19">
        <f>SUM(B46:M46)</f>
        <v>10029</v>
      </c>
    </row>
    <row r="47" spans="1:14" s="16" customFormat="1" ht="12" thickBot="1" x14ac:dyDescent="0.25">
      <c r="A47" s="15" t="s">
        <v>25</v>
      </c>
      <c r="B47" s="74">
        <f t="shared" ref="B47:M47" si="11">SUM(B45:B46)</f>
        <v>2202</v>
      </c>
      <c r="C47" s="74">
        <f t="shared" si="11"/>
        <v>2028</v>
      </c>
      <c r="D47" s="74">
        <f t="shared" si="11"/>
        <v>1932</v>
      </c>
      <c r="E47" s="74">
        <f t="shared" si="11"/>
        <v>2063</v>
      </c>
      <c r="F47" s="74">
        <f>SUM(F45:F46)</f>
        <v>1579</v>
      </c>
      <c r="G47" s="74">
        <f t="shared" si="11"/>
        <v>1663</v>
      </c>
      <c r="H47" s="74">
        <f t="shared" si="11"/>
        <v>2122</v>
      </c>
      <c r="I47" s="74">
        <f t="shared" si="11"/>
        <v>1365</v>
      </c>
      <c r="J47" s="74">
        <f t="shared" si="11"/>
        <v>1822</v>
      </c>
      <c r="K47" s="74">
        <f t="shared" si="11"/>
        <v>1996</v>
      </c>
      <c r="L47" s="74">
        <f t="shared" si="11"/>
        <v>1884</v>
      </c>
      <c r="M47" s="74">
        <f t="shared" si="11"/>
        <v>2559</v>
      </c>
      <c r="N47" s="80">
        <f>SUM(B47:M47)</f>
        <v>23215</v>
      </c>
    </row>
    <row r="48" spans="1:14" s="21" customFormat="1" ht="12" thickBot="1" x14ac:dyDescent="0.25">
      <c r="A48" s="15" t="s">
        <v>65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80"/>
    </row>
    <row r="49" spans="1:16" s="16" customFormat="1" x14ac:dyDescent="0.2">
      <c r="A49" s="50" t="s">
        <v>66</v>
      </c>
      <c r="B49" s="41">
        <v>5985</v>
      </c>
      <c r="C49" s="41">
        <v>3926</v>
      </c>
      <c r="D49" s="41">
        <v>1956</v>
      </c>
      <c r="E49" s="41">
        <v>1887</v>
      </c>
      <c r="F49" s="41">
        <v>0</v>
      </c>
      <c r="G49" s="41">
        <v>1437</v>
      </c>
      <c r="H49" s="41">
        <v>2790</v>
      </c>
      <c r="I49" s="37">
        <v>1560</v>
      </c>
      <c r="J49" s="41">
        <v>1260</v>
      </c>
      <c r="K49" s="41">
        <v>2074</v>
      </c>
      <c r="L49" s="41">
        <v>1786</v>
      </c>
      <c r="M49" s="41">
        <v>1703</v>
      </c>
      <c r="N49" s="51">
        <f>SUM(B49:M49)</f>
        <v>26364</v>
      </c>
    </row>
    <row r="50" spans="1:16" s="16" customFormat="1" x14ac:dyDescent="0.2">
      <c r="A50" s="50" t="s">
        <v>67</v>
      </c>
      <c r="B50" s="41">
        <v>2437</v>
      </c>
      <c r="C50" s="41">
        <v>2098</v>
      </c>
      <c r="D50" s="41">
        <f>654+81</f>
        <v>735</v>
      </c>
      <c r="E50" s="41">
        <v>627</v>
      </c>
      <c r="F50" s="41">
        <v>292</v>
      </c>
      <c r="G50" s="41">
        <v>0</v>
      </c>
      <c r="H50" s="41">
        <v>0</v>
      </c>
      <c r="I50" s="37">
        <v>0</v>
      </c>
      <c r="J50" s="41">
        <v>0</v>
      </c>
      <c r="K50" s="41">
        <v>0</v>
      </c>
      <c r="L50" s="41">
        <v>0</v>
      </c>
      <c r="M50" s="41">
        <v>0</v>
      </c>
      <c r="N50" s="51">
        <f>SUM(B50:M50)</f>
        <v>6189</v>
      </c>
    </row>
    <row r="51" spans="1:16" s="16" customFormat="1" ht="12" thickBot="1" x14ac:dyDescent="0.25">
      <c r="A51" s="50" t="s">
        <v>68</v>
      </c>
      <c r="B51" s="41">
        <f>1140-121-87</f>
        <v>932</v>
      </c>
      <c r="C51" s="41">
        <v>781</v>
      </c>
      <c r="D51" s="41">
        <f>270+44</f>
        <v>314</v>
      </c>
      <c r="E51" s="41">
        <v>422</v>
      </c>
      <c r="F51" s="41">
        <v>180</v>
      </c>
      <c r="G51" s="41">
        <v>0</v>
      </c>
      <c r="H51" s="41">
        <v>0</v>
      </c>
      <c r="I51" s="37">
        <v>0</v>
      </c>
      <c r="J51" s="41">
        <v>0</v>
      </c>
      <c r="K51" s="41">
        <v>0</v>
      </c>
      <c r="L51" s="41">
        <v>0</v>
      </c>
      <c r="M51" s="41">
        <v>0</v>
      </c>
      <c r="N51" s="51">
        <f>SUM(B51:M51)</f>
        <v>2629</v>
      </c>
    </row>
    <row r="52" spans="1:16" s="21" customFormat="1" ht="12" thickBot="1" x14ac:dyDescent="0.25">
      <c r="A52" s="15" t="s">
        <v>69</v>
      </c>
      <c r="B52" s="74">
        <f t="shared" ref="B52:M52" si="12">SUM(B49:B51)</f>
        <v>9354</v>
      </c>
      <c r="C52" s="74">
        <f t="shared" si="12"/>
        <v>6805</v>
      </c>
      <c r="D52" s="74">
        <f t="shared" si="12"/>
        <v>3005</v>
      </c>
      <c r="E52" s="74">
        <f t="shared" si="12"/>
        <v>2936</v>
      </c>
      <c r="F52" s="74">
        <f t="shared" si="12"/>
        <v>472</v>
      </c>
      <c r="G52" s="74">
        <f t="shared" si="12"/>
        <v>1437</v>
      </c>
      <c r="H52" s="74">
        <f t="shared" si="12"/>
        <v>2790</v>
      </c>
      <c r="I52" s="74">
        <f t="shared" si="12"/>
        <v>1560</v>
      </c>
      <c r="J52" s="74">
        <f t="shared" si="12"/>
        <v>1260</v>
      </c>
      <c r="K52" s="74">
        <f t="shared" si="12"/>
        <v>2074</v>
      </c>
      <c r="L52" s="74">
        <f t="shared" si="12"/>
        <v>1786</v>
      </c>
      <c r="M52" s="74">
        <f t="shared" si="12"/>
        <v>1703</v>
      </c>
      <c r="N52" s="80">
        <f>SUM(B52:M52)</f>
        <v>35182</v>
      </c>
    </row>
    <row r="53" spans="1:16" s="16" customFormat="1" ht="12" thickBot="1" x14ac:dyDescent="0.25">
      <c r="A53" s="15" t="s">
        <v>70</v>
      </c>
      <c r="B53" s="74">
        <v>0</v>
      </c>
      <c r="C53" s="74">
        <v>0</v>
      </c>
      <c r="D53" s="74">
        <v>472</v>
      </c>
      <c r="E53" s="74">
        <f>478+388+398+212+367</f>
        <v>1843</v>
      </c>
      <c r="F53" s="74">
        <f>257+170+242+266+331+157</f>
        <v>1423</v>
      </c>
      <c r="G53" s="74">
        <f>202+203+148+206+231+268</f>
        <v>1258</v>
      </c>
      <c r="H53" s="74">
        <f>313+312+266+332+476+479+481+484+480+488</f>
        <v>4111</v>
      </c>
      <c r="I53" s="74">
        <f>358+318+333+419+383+286</f>
        <v>2097</v>
      </c>
      <c r="J53" s="74">
        <f>283+13+445+10+336+10+435+17+326+14</f>
        <v>1889</v>
      </c>
      <c r="K53" s="74">
        <f>198+7+291+13+337+11+318+10+341+13</f>
        <v>1539</v>
      </c>
      <c r="L53" s="74">
        <f>161+14+120+3+189+10+328+13+190+5+189+16+146+12</f>
        <v>1396</v>
      </c>
      <c r="M53" s="74">
        <f>147+10</f>
        <v>157</v>
      </c>
      <c r="N53" s="80">
        <f>SUM(B53:M53)</f>
        <v>16185</v>
      </c>
    </row>
    <row r="54" spans="1:16" s="8" customFormat="1" ht="12" thickBot="1" x14ac:dyDescent="0.25">
      <c r="A54" s="49"/>
      <c r="B54" s="40"/>
      <c r="C54" s="40"/>
      <c r="D54" s="40"/>
      <c r="E54" s="40"/>
      <c r="F54" s="40"/>
      <c r="G54" s="40"/>
      <c r="H54" s="40"/>
      <c r="I54" s="52"/>
      <c r="J54" s="40"/>
      <c r="K54" s="40"/>
      <c r="L54" s="40"/>
      <c r="M54" s="40"/>
      <c r="N54" s="19"/>
    </row>
    <row r="55" spans="1:16" s="23" customFormat="1" ht="12.75" thickBot="1" x14ac:dyDescent="0.25">
      <c r="A55" s="88" t="s">
        <v>26</v>
      </c>
      <c r="B55" s="133">
        <f t="shared" ref="B55:N55" si="13">B9+B10+B12+B22+B29+B33+B37+B43+B47+B52+B53+B11</f>
        <v>242166</v>
      </c>
      <c r="C55" s="133">
        <f t="shared" si="13"/>
        <v>205751</v>
      </c>
      <c r="D55" s="133">
        <f t="shared" si="13"/>
        <v>145195</v>
      </c>
      <c r="E55" s="133">
        <f t="shared" si="13"/>
        <v>134265</v>
      </c>
      <c r="F55" s="133">
        <f t="shared" si="13"/>
        <v>122308</v>
      </c>
      <c r="G55" s="133">
        <f t="shared" si="13"/>
        <v>117650</v>
      </c>
      <c r="H55" s="133">
        <f t="shared" si="13"/>
        <v>185682</v>
      </c>
      <c r="I55" s="133">
        <f t="shared" si="13"/>
        <v>137376</v>
      </c>
      <c r="J55" s="133">
        <f t="shared" si="13"/>
        <v>141219</v>
      </c>
      <c r="K55" s="133">
        <f t="shared" si="13"/>
        <v>156522</v>
      </c>
      <c r="L55" s="133">
        <f t="shared" si="13"/>
        <v>167641</v>
      </c>
      <c r="M55" s="133">
        <f t="shared" si="13"/>
        <v>167817</v>
      </c>
      <c r="N55" s="134">
        <f t="shared" si="13"/>
        <v>1923592</v>
      </c>
    </row>
    <row r="56" spans="1:16" x14ac:dyDescent="0.2">
      <c r="L56" s="24"/>
      <c r="N56" s="1"/>
      <c r="O56" s="26"/>
      <c r="P56" s="6"/>
    </row>
    <row r="57" spans="1:16" s="28" customFormat="1" ht="9.9499999999999993" customHeight="1" x14ac:dyDescent="0.15">
      <c r="A57" s="25" t="s">
        <v>27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7"/>
      <c r="O57" s="26"/>
    </row>
    <row r="58" spans="1:16" s="28" customFormat="1" ht="9.9499999999999993" customHeight="1" x14ac:dyDescent="0.15">
      <c r="A58" s="25" t="s">
        <v>28</v>
      </c>
      <c r="I58" s="29"/>
      <c r="N58" s="25"/>
      <c r="O58" s="26"/>
    </row>
    <row r="59" spans="1:16" s="28" customFormat="1" ht="9.9499999999999993" customHeight="1" x14ac:dyDescent="0.15">
      <c r="A59" s="25" t="s">
        <v>71</v>
      </c>
      <c r="I59" s="29"/>
      <c r="N59" s="25"/>
      <c r="O59" s="26"/>
    </row>
    <row r="60" spans="1:16" s="28" customFormat="1" ht="9.9499999999999993" customHeight="1" x14ac:dyDescent="0.15">
      <c r="A60" s="423" t="s">
        <v>72</v>
      </c>
      <c r="B60" s="423"/>
      <c r="C60" s="423"/>
      <c r="D60" s="423"/>
      <c r="E60" s="423"/>
      <c r="I60" s="29"/>
      <c r="N60" s="25"/>
    </row>
    <row r="61" spans="1:16" s="31" customFormat="1" ht="9.9499999999999993" customHeight="1" x14ac:dyDescent="0.15">
      <c r="A61" s="31" t="s">
        <v>73</v>
      </c>
      <c r="N61" s="30"/>
    </row>
    <row r="62" spans="1:16" s="31" customFormat="1" ht="9.9499999999999993" customHeight="1" x14ac:dyDescent="0.15">
      <c r="A62" s="418" t="s">
        <v>74</v>
      </c>
      <c r="B62" s="418"/>
      <c r="C62" s="418"/>
      <c r="D62" s="418"/>
      <c r="E62" s="418"/>
      <c r="F62" s="418"/>
      <c r="G62" s="418"/>
      <c r="H62" s="418"/>
      <c r="I62" s="29"/>
      <c r="N62" s="30"/>
    </row>
    <row r="63" spans="1:16" ht="20.25" customHeight="1" x14ac:dyDescent="0.2">
      <c r="A63" s="424" t="s">
        <v>75</v>
      </c>
      <c r="B63" s="424"/>
      <c r="C63" s="424"/>
      <c r="D63" s="424"/>
      <c r="E63" s="424"/>
      <c r="F63" s="424"/>
      <c r="G63" s="424"/>
      <c r="H63" s="424"/>
      <c r="I63" s="424"/>
      <c r="J63" s="424"/>
      <c r="K63" s="424"/>
      <c r="L63" s="424"/>
      <c r="M63" s="424"/>
      <c r="N63" s="424"/>
    </row>
    <row r="64" spans="1:16" ht="10.5" customHeight="1" x14ac:dyDescent="0.2">
      <c r="A64" s="422" t="s">
        <v>29</v>
      </c>
      <c r="B64" s="422"/>
      <c r="C64" s="422"/>
      <c r="D64" s="422"/>
      <c r="E64" s="422"/>
      <c r="F64" s="422"/>
      <c r="G64" s="422"/>
      <c r="H64" s="422"/>
      <c r="I64" s="422"/>
      <c r="J64" s="422"/>
      <c r="K64" s="422"/>
      <c r="L64" s="422"/>
      <c r="M64" s="422"/>
      <c r="N64" s="422"/>
      <c r="O64" s="422"/>
    </row>
    <row r="65" spans="1:15" ht="9" customHeight="1" x14ac:dyDescent="0.2">
      <c r="A65" s="422"/>
      <c r="B65" s="422"/>
      <c r="C65" s="422"/>
      <c r="D65" s="422"/>
      <c r="E65" s="422"/>
      <c r="F65" s="422"/>
      <c r="G65" s="422"/>
      <c r="H65" s="422"/>
      <c r="I65" s="422"/>
      <c r="J65" s="422"/>
      <c r="K65" s="422"/>
      <c r="L65" s="422"/>
      <c r="M65" s="422"/>
      <c r="N65" s="422"/>
      <c r="O65" s="422"/>
    </row>
    <row r="66" spans="1:15" x14ac:dyDescent="0.2">
      <c r="A66" s="25" t="s">
        <v>76</v>
      </c>
    </row>
    <row r="67" spans="1:15" x14ac:dyDescent="0.2">
      <c r="A67" s="25" t="s">
        <v>30</v>
      </c>
    </row>
    <row r="68" spans="1:15" x14ac:dyDescent="0.2">
      <c r="A68" s="25" t="s">
        <v>77</v>
      </c>
    </row>
    <row r="69" spans="1:15" x14ac:dyDescent="0.2">
      <c r="A69" s="25" t="s">
        <v>31</v>
      </c>
    </row>
    <row r="70" spans="1:15" s="28" customFormat="1" ht="9" x14ac:dyDescent="0.15">
      <c r="A70" s="25" t="s">
        <v>78</v>
      </c>
      <c r="I70" s="29"/>
      <c r="N70" s="25"/>
    </row>
    <row r="71" spans="1:15" x14ac:dyDescent="0.2">
      <c r="A71" s="25" t="s">
        <v>79</v>
      </c>
    </row>
    <row r="72" spans="1:15" x14ac:dyDescent="0.2">
      <c r="A72" s="25" t="s">
        <v>32</v>
      </c>
    </row>
    <row r="73" spans="1:15" x14ac:dyDescent="0.2">
      <c r="A73" s="25" t="s">
        <v>80</v>
      </c>
    </row>
    <row r="74" spans="1:15" x14ac:dyDescent="0.2">
      <c r="A74" s="25" t="s">
        <v>33</v>
      </c>
    </row>
  </sheetData>
  <mergeCells count="5">
    <mergeCell ref="A64:O65"/>
    <mergeCell ref="A2:N2"/>
    <mergeCell ref="A60:E60"/>
    <mergeCell ref="A62:H62"/>
    <mergeCell ref="A63:N63"/>
  </mergeCells>
  <phoneticPr fontId="0" type="noConversion"/>
  <pageMargins left="1" right="1" top="1" bottom="1" header="0.5" footer="0.5"/>
  <pageSetup paperSize="9" scale="72" orientation="landscape" r:id="rId1"/>
  <headerFooter alignWithMargins="0">
    <oddHeader>&amp;L&amp;G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7"/>
  <sheetViews>
    <sheetView showGridLines="0" showRowColHeaders="0" showRuler="0" view="pageLayout" topLeftCell="B22" zoomScaleNormal="100" workbookViewId="0">
      <selection activeCell="N37" sqref="N37"/>
    </sheetView>
  </sheetViews>
  <sheetFormatPr baseColWidth="10" defaultRowHeight="11.25" x14ac:dyDescent="0.2"/>
  <cols>
    <col min="1" max="1" width="57" style="4" customWidth="1"/>
    <col min="2" max="7" width="7.28515625" style="5" customWidth="1"/>
    <col min="8" max="8" width="7.7109375" style="5" customWidth="1"/>
    <col min="9" max="9" width="7.28515625" style="7" customWidth="1"/>
    <col min="10" max="12" width="7.28515625" style="5" customWidth="1"/>
    <col min="13" max="13" width="8.85546875" style="5" customWidth="1"/>
    <col min="14" max="14" width="8.7109375" style="4" customWidth="1"/>
    <col min="15" max="16384" width="11.42578125" style="5"/>
  </cols>
  <sheetData>
    <row r="2" spans="1:18" s="2" customFormat="1" x14ac:dyDescent="0.2">
      <c r="A2" s="139"/>
      <c r="B2" s="135"/>
      <c r="C2" s="135"/>
      <c r="D2" s="135"/>
      <c r="E2" s="135"/>
      <c r="F2" s="135"/>
      <c r="G2" s="135"/>
      <c r="H2" s="135"/>
      <c r="I2" s="140"/>
      <c r="J2" s="135"/>
      <c r="K2" s="135"/>
      <c r="L2" s="135"/>
      <c r="M2" s="135"/>
      <c r="N2" s="139"/>
    </row>
    <row r="3" spans="1:18" ht="12.75" x14ac:dyDescent="0.2">
      <c r="A3" s="420" t="s">
        <v>183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</row>
    <row r="4" spans="1:18" s="2" customFormat="1" x14ac:dyDescent="0.2">
      <c r="A4" s="139"/>
      <c r="B4" s="135"/>
      <c r="C4" s="135"/>
      <c r="D4" s="135"/>
      <c r="E4" s="135"/>
      <c r="F4" s="141"/>
      <c r="G4" s="135"/>
      <c r="H4" s="135"/>
      <c r="I4" s="140"/>
      <c r="J4" s="135"/>
      <c r="K4" s="135"/>
      <c r="L4" s="135"/>
      <c r="M4" s="135"/>
      <c r="N4" s="139"/>
    </row>
    <row r="5" spans="1:18" ht="12" thickBot="1" x14ac:dyDescent="0.25">
      <c r="A5" s="142"/>
      <c r="B5" s="143"/>
      <c r="C5" s="143"/>
      <c r="D5" s="143"/>
      <c r="E5" s="143"/>
      <c r="F5" s="143"/>
      <c r="G5" s="144"/>
      <c r="H5" s="143"/>
      <c r="I5" s="145"/>
      <c r="J5" s="143"/>
      <c r="K5" s="143"/>
      <c r="L5" s="143"/>
      <c r="M5" s="143"/>
      <c r="N5" s="142"/>
    </row>
    <row r="6" spans="1:18" s="11" customFormat="1" ht="12" thickBot="1" x14ac:dyDescent="0.25">
      <c r="A6" s="146" t="s">
        <v>0</v>
      </c>
      <c r="B6" s="147" t="s">
        <v>1</v>
      </c>
      <c r="C6" s="147" t="s">
        <v>2</v>
      </c>
      <c r="D6" s="147" t="s">
        <v>3</v>
      </c>
      <c r="E6" s="147" t="s">
        <v>4</v>
      </c>
      <c r="F6" s="147" t="s">
        <v>5</v>
      </c>
      <c r="G6" s="147" t="s">
        <v>6</v>
      </c>
      <c r="H6" s="147" t="s">
        <v>7</v>
      </c>
      <c r="I6" s="147" t="s">
        <v>8</v>
      </c>
      <c r="J6" s="147" t="s">
        <v>9</v>
      </c>
      <c r="K6" s="147" t="s">
        <v>10</v>
      </c>
      <c r="L6" s="147" t="s">
        <v>11</v>
      </c>
      <c r="M6" s="147" t="s">
        <v>12</v>
      </c>
      <c r="N6" s="148" t="s">
        <v>13</v>
      </c>
      <c r="O6" s="10"/>
      <c r="P6" s="10"/>
      <c r="Q6" s="10"/>
      <c r="R6" s="10"/>
    </row>
    <row r="7" spans="1:18" x14ac:dyDescent="0.2">
      <c r="A7" s="149" t="s">
        <v>82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</row>
    <row r="8" spans="1:18" x14ac:dyDescent="0.2">
      <c r="A8" s="152" t="s">
        <v>15</v>
      </c>
      <c r="B8" s="138">
        <v>33259</v>
      </c>
      <c r="C8" s="153">
        <v>32005</v>
      </c>
      <c r="D8" s="153">
        <v>31306</v>
      </c>
      <c r="E8" s="153">
        <v>28585</v>
      </c>
      <c r="F8" s="153">
        <v>36116</v>
      </c>
      <c r="G8" s="153">
        <v>29482</v>
      </c>
      <c r="H8" s="138">
        <v>32000</v>
      </c>
      <c r="I8" s="138">
        <v>30398</v>
      </c>
      <c r="J8" s="153">
        <v>33899</v>
      </c>
      <c r="K8" s="153">
        <v>30487</v>
      </c>
      <c r="L8" s="153">
        <v>26516</v>
      </c>
      <c r="M8" s="153">
        <v>26227</v>
      </c>
      <c r="N8" s="154">
        <f t="shared" ref="N8:N15" si="0">SUM(B8:M8)</f>
        <v>370280</v>
      </c>
    </row>
    <row r="9" spans="1:18" x14ac:dyDescent="0.2">
      <c r="A9" s="152" t="s">
        <v>16</v>
      </c>
      <c r="B9" s="138">
        <v>11511</v>
      </c>
      <c r="C9" s="153">
        <v>10670</v>
      </c>
      <c r="D9" s="153">
        <v>11257</v>
      </c>
      <c r="E9" s="153">
        <v>10715</v>
      </c>
      <c r="F9" s="153">
        <v>11114</v>
      </c>
      <c r="G9" s="153">
        <v>10470</v>
      </c>
      <c r="H9" s="138">
        <v>7830</v>
      </c>
      <c r="I9" s="138">
        <v>9144</v>
      </c>
      <c r="J9" s="153">
        <v>10255</v>
      </c>
      <c r="K9" s="153">
        <v>11655</v>
      </c>
      <c r="L9" s="153">
        <v>9802</v>
      </c>
      <c r="M9" s="153">
        <v>11520</v>
      </c>
      <c r="N9" s="154">
        <f t="shared" si="0"/>
        <v>125943</v>
      </c>
    </row>
    <row r="10" spans="1:18" ht="12" thickBot="1" x14ac:dyDescent="0.25">
      <c r="A10" s="152" t="s">
        <v>195</v>
      </c>
      <c r="B10" s="138">
        <v>4073</v>
      </c>
      <c r="C10" s="153">
        <v>4005</v>
      </c>
      <c r="D10" s="153">
        <v>5043</v>
      </c>
      <c r="E10" s="153">
        <v>4523</v>
      </c>
      <c r="F10" s="153">
        <v>4847</v>
      </c>
      <c r="G10" s="153">
        <v>5729</v>
      </c>
      <c r="H10" s="138">
        <v>5307</v>
      </c>
      <c r="I10" s="138">
        <v>3912</v>
      </c>
      <c r="J10" s="153">
        <v>4617</v>
      </c>
      <c r="K10" s="153">
        <v>5028</v>
      </c>
      <c r="L10" s="153">
        <v>5369</v>
      </c>
      <c r="M10" s="153">
        <v>6183</v>
      </c>
      <c r="N10" s="154">
        <f t="shared" si="0"/>
        <v>58636</v>
      </c>
    </row>
    <row r="11" spans="1:18" s="11" customFormat="1" ht="12" thickBot="1" x14ac:dyDescent="0.25">
      <c r="A11" s="163" t="s">
        <v>220</v>
      </c>
      <c r="B11" s="164">
        <f t="shared" ref="B11:M11" si="1">SUM(B8:B10)</f>
        <v>48843</v>
      </c>
      <c r="C11" s="164">
        <f t="shared" si="1"/>
        <v>46680</v>
      </c>
      <c r="D11" s="164">
        <f t="shared" si="1"/>
        <v>47606</v>
      </c>
      <c r="E11" s="164">
        <f t="shared" si="1"/>
        <v>43823</v>
      </c>
      <c r="F11" s="164">
        <f t="shared" si="1"/>
        <v>52077</v>
      </c>
      <c r="G11" s="164">
        <f t="shared" si="1"/>
        <v>45681</v>
      </c>
      <c r="H11" s="164">
        <f t="shared" si="1"/>
        <v>45137</v>
      </c>
      <c r="I11" s="164">
        <f t="shared" si="1"/>
        <v>43454</v>
      </c>
      <c r="J11" s="164">
        <f t="shared" si="1"/>
        <v>48771</v>
      </c>
      <c r="K11" s="164">
        <f t="shared" si="1"/>
        <v>47170</v>
      </c>
      <c r="L11" s="164">
        <f t="shared" si="1"/>
        <v>41687</v>
      </c>
      <c r="M11" s="164">
        <f t="shared" si="1"/>
        <v>43930</v>
      </c>
      <c r="N11" s="165">
        <f t="shared" si="0"/>
        <v>554859</v>
      </c>
      <c r="O11" s="21"/>
    </row>
    <row r="12" spans="1:18" s="16" customFormat="1" x14ac:dyDescent="0.2">
      <c r="A12" s="155" t="s">
        <v>221</v>
      </c>
      <c r="B12" s="156">
        <v>1588</v>
      </c>
      <c r="C12" s="156">
        <v>1459</v>
      </c>
      <c r="D12" s="156">
        <v>604</v>
      </c>
      <c r="E12" s="156">
        <v>460</v>
      </c>
      <c r="F12" s="156">
        <v>482</v>
      </c>
      <c r="G12" s="156">
        <v>582</v>
      </c>
      <c r="H12" s="156">
        <v>831</v>
      </c>
      <c r="I12" s="157">
        <v>589</v>
      </c>
      <c r="J12" s="156">
        <v>702</v>
      </c>
      <c r="K12" s="156">
        <v>311</v>
      </c>
      <c r="L12" s="156">
        <v>1229</v>
      </c>
      <c r="M12" s="156">
        <v>0</v>
      </c>
      <c r="N12" s="158">
        <f t="shared" si="0"/>
        <v>8837</v>
      </c>
    </row>
    <row r="13" spans="1:18" s="16" customFormat="1" x14ac:dyDescent="0.2">
      <c r="A13" s="159" t="s">
        <v>196</v>
      </c>
      <c r="B13" s="160"/>
      <c r="C13" s="160"/>
      <c r="D13" s="160"/>
      <c r="E13" s="160"/>
      <c r="F13" s="160"/>
      <c r="G13" s="160"/>
      <c r="H13" s="160"/>
      <c r="I13" s="161"/>
      <c r="J13" s="160"/>
      <c r="K13" s="160">
        <v>1387</v>
      </c>
      <c r="L13" s="160">
        <v>2063</v>
      </c>
      <c r="M13" s="160"/>
      <c r="N13" s="162">
        <f t="shared" si="0"/>
        <v>3450</v>
      </c>
    </row>
    <row r="14" spans="1:18" s="16" customFormat="1" x14ac:dyDescent="0.2">
      <c r="A14" s="159" t="s">
        <v>222</v>
      </c>
      <c r="B14" s="160">
        <v>9005</v>
      </c>
      <c r="C14" s="160">
        <v>7045</v>
      </c>
      <c r="D14" s="160">
        <v>5909</v>
      </c>
      <c r="E14" s="160">
        <v>6518</v>
      </c>
      <c r="F14" s="160">
        <v>7637</v>
      </c>
      <c r="G14" s="160">
        <v>6263</v>
      </c>
      <c r="H14" s="160">
        <v>9447</v>
      </c>
      <c r="I14" s="161">
        <v>5956</v>
      </c>
      <c r="J14" s="160">
        <v>5908</v>
      </c>
      <c r="K14" s="160">
        <v>5970</v>
      </c>
      <c r="L14" s="160">
        <v>6143</v>
      </c>
      <c r="M14" s="160">
        <v>5237</v>
      </c>
      <c r="N14" s="162">
        <f t="shared" si="0"/>
        <v>81038</v>
      </c>
    </row>
    <row r="15" spans="1:18" s="16" customFormat="1" ht="12" thickBot="1" x14ac:dyDescent="0.25">
      <c r="A15" s="159" t="s">
        <v>223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1">
        <v>0</v>
      </c>
      <c r="J15" s="160">
        <v>0</v>
      </c>
      <c r="K15" s="160">
        <v>0</v>
      </c>
      <c r="L15" s="160">
        <v>0</v>
      </c>
      <c r="M15" s="160">
        <v>0</v>
      </c>
      <c r="N15" s="162">
        <f t="shared" si="0"/>
        <v>0</v>
      </c>
    </row>
    <row r="16" spans="1:18" s="16" customFormat="1" ht="12" thickBot="1" x14ac:dyDescent="0.25">
      <c r="A16" s="163" t="s">
        <v>197</v>
      </c>
      <c r="B16" s="164">
        <f>+SUM(B12:B15)</f>
        <v>10593</v>
      </c>
      <c r="C16" s="164">
        <f t="shared" ref="C16:M16" si="2">+SUM(C12:C15)</f>
        <v>8504</v>
      </c>
      <c r="D16" s="164">
        <f t="shared" si="2"/>
        <v>6513</v>
      </c>
      <c r="E16" s="164">
        <f t="shared" si="2"/>
        <v>6978</v>
      </c>
      <c r="F16" s="164">
        <f t="shared" si="2"/>
        <v>8119</v>
      </c>
      <c r="G16" s="164">
        <f t="shared" si="2"/>
        <v>6845</v>
      </c>
      <c r="H16" s="164">
        <f t="shared" si="2"/>
        <v>10278</v>
      </c>
      <c r="I16" s="164">
        <f t="shared" si="2"/>
        <v>6545</v>
      </c>
      <c r="J16" s="164">
        <f t="shared" si="2"/>
        <v>6610</v>
      </c>
      <c r="K16" s="164">
        <f t="shared" si="2"/>
        <v>7668</v>
      </c>
      <c r="L16" s="164">
        <f t="shared" si="2"/>
        <v>9435</v>
      </c>
      <c r="M16" s="164">
        <f t="shared" si="2"/>
        <v>5237</v>
      </c>
      <c r="N16" s="165">
        <f>+SUM(N12:N15)</f>
        <v>93325</v>
      </c>
    </row>
    <row r="17" spans="1:16" x14ac:dyDescent="0.2">
      <c r="A17" s="428" t="s">
        <v>18</v>
      </c>
      <c r="B17" s="429"/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30"/>
    </row>
    <row r="18" spans="1:16" x14ac:dyDescent="0.2">
      <c r="A18" s="152" t="s">
        <v>224</v>
      </c>
      <c r="B18" s="153">
        <v>42679</v>
      </c>
      <c r="C18" s="153">
        <v>18701</v>
      </c>
      <c r="D18" s="153">
        <v>11540</v>
      </c>
      <c r="E18" s="153">
        <v>7233</v>
      </c>
      <c r="F18" s="153">
        <v>7564</v>
      </c>
      <c r="G18" s="153">
        <v>5562</v>
      </c>
      <c r="H18" s="153">
        <v>8060</v>
      </c>
      <c r="I18" s="161">
        <v>4766</v>
      </c>
      <c r="J18" s="153">
        <v>4305</v>
      </c>
      <c r="K18" s="153">
        <v>6398</v>
      </c>
      <c r="L18" s="153">
        <v>6800</v>
      </c>
      <c r="M18" s="153">
        <v>9205</v>
      </c>
      <c r="N18" s="154">
        <f t="shared" ref="N18:N25" si="3">SUM(B18:M18)</f>
        <v>132813</v>
      </c>
    </row>
    <row r="19" spans="1:16" x14ac:dyDescent="0.2">
      <c r="A19" s="152" t="s">
        <v>225</v>
      </c>
      <c r="B19" s="153">
        <v>0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38">
        <v>0</v>
      </c>
      <c r="J19" s="153">
        <v>0</v>
      </c>
      <c r="K19" s="153">
        <v>0</v>
      </c>
      <c r="L19" s="153">
        <v>0</v>
      </c>
      <c r="M19" s="153">
        <v>0</v>
      </c>
      <c r="N19" s="154">
        <f t="shared" si="3"/>
        <v>0</v>
      </c>
    </row>
    <row r="20" spans="1:16" x14ac:dyDescent="0.2">
      <c r="A20" s="152" t="s">
        <v>226</v>
      </c>
      <c r="B20" s="153">
        <v>22754</v>
      </c>
      <c r="C20" s="153">
        <v>17864</v>
      </c>
      <c r="D20" s="153">
        <v>14520</v>
      </c>
      <c r="E20" s="153">
        <v>11560</v>
      </c>
      <c r="F20" s="153">
        <v>11447</v>
      </c>
      <c r="G20" s="153">
        <v>9661</v>
      </c>
      <c r="H20" s="153">
        <v>13624</v>
      </c>
      <c r="I20" s="138">
        <v>9017</v>
      </c>
      <c r="J20" s="153">
        <v>7649</v>
      </c>
      <c r="K20" s="153">
        <v>11006</v>
      </c>
      <c r="L20" s="153">
        <v>10784</v>
      </c>
      <c r="M20" s="153">
        <v>13019</v>
      </c>
      <c r="N20" s="154">
        <f t="shared" si="3"/>
        <v>152905</v>
      </c>
    </row>
    <row r="21" spans="1:16" x14ac:dyDescent="0.2">
      <c r="A21" s="152" t="s">
        <v>227</v>
      </c>
      <c r="B21" s="153">
        <v>0</v>
      </c>
      <c r="C21" s="153">
        <v>0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38">
        <v>0</v>
      </c>
      <c r="J21" s="153">
        <v>0</v>
      </c>
      <c r="K21" s="153">
        <v>0</v>
      </c>
      <c r="L21" s="153">
        <v>0</v>
      </c>
      <c r="M21" s="153">
        <v>0</v>
      </c>
      <c r="N21" s="154">
        <f t="shared" si="3"/>
        <v>0</v>
      </c>
    </row>
    <row r="22" spans="1:16" x14ac:dyDescent="0.2">
      <c r="A22" s="152" t="s">
        <v>228</v>
      </c>
      <c r="B22" s="153">
        <v>2839</v>
      </c>
      <c r="C22" s="153">
        <v>1930</v>
      </c>
      <c r="D22" s="153">
        <v>1341</v>
      </c>
      <c r="E22" s="153">
        <v>925</v>
      </c>
      <c r="F22" s="153">
        <v>1188</v>
      </c>
      <c r="G22" s="153">
        <v>848</v>
      </c>
      <c r="H22" s="153">
        <v>1676</v>
      </c>
      <c r="I22" s="138">
        <v>1013</v>
      </c>
      <c r="J22" s="153">
        <v>702</v>
      </c>
      <c r="K22" s="153">
        <v>1019</v>
      </c>
      <c r="L22" s="153">
        <v>1240</v>
      </c>
      <c r="M22" s="153">
        <v>1114</v>
      </c>
      <c r="N22" s="154">
        <f t="shared" si="3"/>
        <v>15835</v>
      </c>
    </row>
    <row r="23" spans="1:16" x14ac:dyDescent="0.2">
      <c r="A23" s="152" t="s">
        <v>184</v>
      </c>
      <c r="B23" s="153">
        <v>13343</v>
      </c>
      <c r="C23" s="153">
        <v>11633</v>
      </c>
      <c r="D23" s="153">
        <v>10982</v>
      </c>
      <c r="E23" s="153">
        <v>9289</v>
      </c>
      <c r="F23" s="153">
        <v>8880</v>
      </c>
      <c r="G23" s="153">
        <v>6022</v>
      </c>
      <c r="H23" s="153">
        <v>9975</v>
      </c>
      <c r="I23" s="138">
        <v>7161</v>
      </c>
      <c r="J23" s="153">
        <v>4807</v>
      </c>
      <c r="K23" s="153">
        <v>7794</v>
      </c>
      <c r="L23" s="153">
        <v>6012</v>
      </c>
      <c r="M23" s="153">
        <v>787</v>
      </c>
      <c r="N23" s="154">
        <f t="shared" si="3"/>
        <v>96685</v>
      </c>
    </row>
    <row r="24" spans="1:16" x14ac:dyDescent="0.2">
      <c r="A24" s="152" t="s">
        <v>185</v>
      </c>
      <c r="B24" s="153">
        <v>909</v>
      </c>
      <c r="C24" s="153">
        <v>947</v>
      </c>
      <c r="D24" s="153">
        <v>1794</v>
      </c>
      <c r="E24" s="153">
        <v>1227</v>
      </c>
      <c r="F24" s="153">
        <v>659</v>
      </c>
      <c r="G24" s="153">
        <v>0</v>
      </c>
      <c r="H24" s="153">
        <v>0</v>
      </c>
      <c r="I24" s="138">
        <v>0</v>
      </c>
      <c r="J24" s="153">
        <v>0</v>
      </c>
      <c r="K24" s="153">
        <v>0</v>
      </c>
      <c r="L24" s="153">
        <v>0</v>
      </c>
      <c r="M24" s="153">
        <v>0</v>
      </c>
      <c r="N24" s="154">
        <f t="shared" si="3"/>
        <v>5536</v>
      </c>
    </row>
    <row r="25" spans="1:16" ht="12" thickBot="1" x14ac:dyDescent="0.25">
      <c r="A25" s="152" t="s">
        <v>186</v>
      </c>
      <c r="B25" s="153">
        <v>8848</v>
      </c>
      <c r="C25" s="153">
        <v>7931</v>
      </c>
      <c r="D25" s="153">
        <v>6705</v>
      </c>
      <c r="E25" s="153">
        <v>5741</v>
      </c>
      <c r="F25" s="153">
        <v>5110</v>
      </c>
      <c r="G25" s="153">
        <v>4900</v>
      </c>
      <c r="H25" s="153">
        <v>6339</v>
      </c>
      <c r="I25" s="138">
        <v>4515</v>
      </c>
      <c r="J25" s="153">
        <v>3228</v>
      </c>
      <c r="K25" s="153">
        <v>4824</v>
      </c>
      <c r="L25" s="153">
        <v>4615</v>
      </c>
      <c r="M25" s="153">
        <v>213</v>
      </c>
      <c r="N25" s="154">
        <f t="shared" si="3"/>
        <v>62969</v>
      </c>
    </row>
    <row r="26" spans="1:16" s="11" customFormat="1" ht="12" thickBot="1" x14ac:dyDescent="0.25">
      <c r="A26" s="146" t="s">
        <v>19</v>
      </c>
      <c r="B26" s="166">
        <f>SUM(B18:B25)</f>
        <v>91372</v>
      </c>
      <c r="C26" s="166">
        <f t="shared" ref="C26:M26" si="4">SUM(C18:C25)</f>
        <v>59006</v>
      </c>
      <c r="D26" s="166">
        <f t="shared" si="4"/>
        <v>46882</v>
      </c>
      <c r="E26" s="166">
        <f t="shared" si="4"/>
        <v>35975</v>
      </c>
      <c r="F26" s="166">
        <f t="shared" si="4"/>
        <v>34848</v>
      </c>
      <c r="G26" s="166">
        <f t="shared" si="4"/>
        <v>26993</v>
      </c>
      <c r="H26" s="166">
        <f t="shared" si="4"/>
        <v>39674</v>
      </c>
      <c r="I26" s="167">
        <f t="shared" si="4"/>
        <v>26472</v>
      </c>
      <c r="J26" s="166">
        <f t="shared" si="4"/>
        <v>20691</v>
      </c>
      <c r="K26" s="166">
        <f t="shared" si="4"/>
        <v>31041</v>
      </c>
      <c r="L26" s="166">
        <f t="shared" si="4"/>
        <v>29451</v>
      </c>
      <c r="M26" s="166">
        <f t="shared" si="4"/>
        <v>24338</v>
      </c>
      <c r="N26" s="168">
        <f>SUM(B26:M26)</f>
        <v>466743</v>
      </c>
    </row>
    <row r="27" spans="1:16" x14ac:dyDescent="0.2">
      <c r="A27" s="428" t="s">
        <v>20</v>
      </c>
      <c r="B27" s="429"/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30"/>
    </row>
    <row r="28" spans="1:16" x14ac:dyDescent="0.2">
      <c r="A28" s="152" t="s">
        <v>187</v>
      </c>
      <c r="B28" s="153">
        <f>1395+2102</f>
        <v>3497</v>
      </c>
      <c r="C28" s="153">
        <f>2016+2325</f>
        <v>4341</v>
      </c>
      <c r="D28" s="153">
        <f>1274+1299</f>
        <v>2573</v>
      </c>
      <c r="E28" s="153">
        <f>1082+1244</f>
        <v>2326</v>
      </c>
      <c r="F28" s="153">
        <v>2145</v>
      </c>
      <c r="G28" s="153">
        <v>2301</v>
      </c>
      <c r="H28" s="153">
        <v>2949</v>
      </c>
      <c r="I28" s="138">
        <v>2121</v>
      </c>
      <c r="J28" s="153">
        <v>2375</v>
      </c>
      <c r="K28" s="153">
        <v>2273</v>
      </c>
      <c r="L28" s="153">
        <v>2180</v>
      </c>
      <c r="M28" s="153">
        <v>1926</v>
      </c>
      <c r="N28" s="154">
        <f t="shared" ref="N28:N33" si="5">SUM(B28:M28)</f>
        <v>31007</v>
      </c>
    </row>
    <row r="29" spans="1:16" x14ac:dyDescent="0.2">
      <c r="A29" s="152" t="s">
        <v>188</v>
      </c>
      <c r="B29" s="153">
        <f>3044+3224</f>
        <v>6268</v>
      </c>
      <c r="C29" s="153">
        <f>2703+2625</f>
        <v>5328</v>
      </c>
      <c r="D29" s="153">
        <f>2635+2124</f>
        <v>4759</v>
      </c>
      <c r="E29" s="153">
        <f>2349+2629</f>
        <v>4978</v>
      </c>
      <c r="F29" s="153">
        <v>5609</v>
      </c>
      <c r="G29" s="153">
        <v>4957</v>
      </c>
      <c r="H29" s="153">
        <v>5206</v>
      </c>
      <c r="I29" s="138">
        <v>4762</v>
      </c>
      <c r="J29" s="153">
        <v>5329</v>
      </c>
      <c r="K29" s="153">
        <v>5169</v>
      </c>
      <c r="L29" s="153">
        <v>4535</v>
      </c>
      <c r="M29" s="153">
        <v>5964</v>
      </c>
      <c r="N29" s="154">
        <f t="shared" si="5"/>
        <v>62864</v>
      </c>
    </row>
    <row r="30" spans="1:16" x14ac:dyDescent="0.2">
      <c r="A30" s="152" t="s">
        <v>189</v>
      </c>
      <c r="B30" s="153">
        <f>10228+10534</f>
        <v>20762</v>
      </c>
      <c r="C30" s="153">
        <f>8029+8319</f>
        <v>16348</v>
      </c>
      <c r="D30" s="153">
        <f>5021+5243</f>
        <v>10264</v>
      </c>
      <c r="E30" s="153">
        <f>4909+4365</f>
        <v>9274</v>
      </c>
      <c r="F30" s="153">
        <v>9840</v>
      </c>
      <c r="G30" s="153">
        <v>9267</v>
      </c>
      <c r="H30" s="153">
        <v>12076</v>
      </c>
      <c r="I30" s="138">
        <v>9810</v>
      </c>
      <c r="J30" s="153">
        <v>9036</v>
      </c>
      <c r="K30" s="153">
        <v>7778</v>
      </c>
      <c r="L30" s="153">
        <v>7742</v>
      </c>
      <c r="M30" s="153">
        <v>14488</v>
      </c>
      <c r="N30" s="154">
        <f t="shared" si="5"/>
        <v>136685</v>
      </c>
    </row>
    <row r="31" spans="1:16" x14ac:dyDescent="0.2">
      <c r="A31" s="152" t="s">
        <v>229</v>
      </c>
      <c r="B31" s="138">
        <f>8945+13551</f>
        <v>22496</v>
      </c>
      <c r="C31" s="153">
        <f>6910+8832</f>
        <v>15742</v>
      </c>
      <c r="D31" s="153">
        <f>6585+5221</f>
        <v>11806</v>
      </c>
      <c r="E31" s="153">
        <f>5649+4718</f>
        <v>10367</v>
      </c>
      <c r="F31" s="153">
        <v>9995</v>
      </c>
      <c r="G31" s="153">
        <v>11576</v>
      </c>
      <c r="H31" s="153">
        <v>17319</v>
      </c>
      <c r="I31" s="138">
        <v>10197</v>
      </c>
      <c r="J31" s="153">
        <v>6258</v>
      </c>
      <c r="K31" s="153">
        <v>3716</v>
      </c>
      <c r="L31" s="153">
        <v>5790</v>
      </c>
      <c r="M31" s="153">
        <v>7964</v>
      </c>
      <c r="N31" s="154">
        <f t="shared" si="5"/>
        <v>133226</v>
      </c>
    </row>
    <row r="32" spans="1:16" ht="12" thickBot="1" x14ac:dyDescent="0.25">
      <c r="A32" s="152" t="s">
        <v>230</v>
      </c>
      <c r="B32" s="138">
        <v>0</v>
      </c>
      <c r="C32" s="153">
        <v>0</v>
      </c>
      <c r="D32" s="153">
        <v>0</v>
      </c>
      <c r="E32" s="153">
        <v>0</v>
      </c>
      <c r="F32" s="153">
        <v>0</v>
      </c>
      <c r="G32" s="153">
        <v>0</v>
      </c>
      <c r="H32" s="153">
        <v>0</v>
      </c>
      <c r="I32" s="138">
        <v>0</v>
      </c>
      <c r="J32" s="153">
        <v>0</v>
      </c>
      <c r="K32" s="153">
        <v>0</v>
      </c>
      <c r="L32" s="153">
        <v>0</v>
      </c>
      <c r="M32" s="153">
        <v>0</v>
      </c>
      <c r="N32" s="154">
        <f t="shared" si="5"/>
        <v>0</v>
      </c>
      <c r="P32" s="6"/>
    </row>
    <row r="33" spans="1:16" s="11" customFormat="1" ht="12" thickBot="1" x14ac:dyDescent="0.25">
      <c r="A33" s="146" t="s">
        <v>190</v>
      </c>
      <c r="B33" s="167">
        <f t="shared" ref="B33:M33" si="6">SUM(B28:B32)</f>
        <v>53023</v>
      </c>
      <c r="C33" s="167">
        <f t="shared" si="6"/>
        <v>41759</v>
      </c>
      <c r="D33" s="167">
        <f t="shared" si="6"/>
        <v>29402</v>
      </c>
      <c r="E33" s="167">
        <f t="shared" si="6"/>
        <v>26945</v>
      </c>
      <c r="F33" s="167">
        <f t="shared" si="6"/>
        <v>27589</v>
      </c>
      <c r="G33" s="167">
        <f t="shared" si="6"/>
        <v>28101</v>
      </c>
      <c r="H33" s="167">
        <f t="shared" si="6"/>
        <v>37550</v>
      </c>
      <c r="I33" s="167">
        <f t="shared" si="6"/>
        <v>26890</v>
      </c>
      <c r="J33" s="167">
        <f t="shared" si="6"/>
        <v>22998</v>
      </c>
      <c r="K33" s="167">
        <f t="shared" si="6"/>
        <v>18936</v>
      </c>
      <c r="L33" s="167">
        <f t="shared" si="6"/>
        <v>20247</v>
      </c>
      <c r="M33" s="167">
        <f t="shared" si="6"/>
        <v>30342</v>
      </c>
      <c r="N33" s="168">
        <f t="shared" si="5"/>
        <v>363782</v>
      </c>
      <c r="P33" s="21"/>
    </row>
    <row r="34" spans="1:16" s="11" customFormat="1" ht="12.75" customHeight="1" x14ac:dyDescent="0.2">
      <c r="A34" s="431" t="s">
        <v>36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3"/>
      <c r="P34" s="21"/>
    </row>
    <row r="35" spans="1:16" s="11" customFormat="1" x14ac:dyDescent="0.2">
      <c r="A35" s="169" t="s">
        <v>231</v>
      </c>
      <c r="B35" s="161">
        <v>0</v>
      </c>
      <c r="C35" s="161">
        <v>4203</v>
      </c>
      <c r="D35" s="161">
        <v>1244</v>
      </c>
      <c r="E35" s="161">
        <v>1192</v>
      </c>
      <c r="F35" s="161">
        <v>441</v>
      </c>
      <c r="G35" s="161">
        <v>497</v>
      </c>
      <c r="H35" s="161">
        <v>2119</v>
      </c>
      <c r="I35" s="161">
        <v>630</v>
      </c>
      <c r="J35" s="161">
        <v>1126</v>
      </c>
      <c r="K35" s="161">
        <v>1792</v>
      </c>
      <c r="L35" s="161">
        <v>1850</v>
      </c>
      <c r="M35" s="161">
        <v>688</v>
      </c>
      <c r="N35" s="170">
        <f>SUM(B35:M35)</f>
        <v>15782</v>
      </c>
      <c r="P35" s="21"/>
    </row>
    <row r="36" spans="1:16" s="11" customFormat="1" ht="12" thickBot="1" x14ac:dyDescent="0.25">
      <c r="A36" s="171" t="s">
        <v>232</v>
      </c>
      <c r="B36" s="172">
        <v>2467</v>
      </c>
      <c r="C36" s="172">
        <v>1970</v>
      </c>
      <c r="D36" s="172">
        <v>575</v>
      </c>
      <c r="E36" s="172">
        <v>258</v>
      </c>
      <c r="F36" s="172">
        <v>0</v>
      </c>
      <c r="G36" s="172">
        <v>43</v>
      </c>
      <c r="H36" s="172">
        <v>291</v>
      </c>
      <c r="I36" s="172">
        <v>0</v>
      </c>
      <c r="J36" s="172">
        <v>64</v>
      </c>
      <c r="K36" s="172">
        <v>261</v>
      </c>
      <c r="L36" s="172">
        <v>118</v>
      </c>
      <c r="M36" s="172">
        <v>0</v>
      </c>
      <c r="N36" s="173">
        <f>SUM(B36:M36)</f>
        <v>6047</v>
      </c>
      <c r="P36" s="21"/>
    </row>
    <row r="37" spans="1:16" s="18" customFormat="1" ht="12" thickBot="1" x14ac:dyDescent="0.25">
      <c r="A37" s="146" t="s">
        <v>233</v>
      </c>
      <c r="B37" s="167">
        <f t="shared" ref="B37:M37" si="7">SUM(B35:B36)</f>
        <v>2467</v>
      </c>
      <c r="C37" s="167">
        <f t="shared" si="7"/>
        <v>6173</v>
      </c>
      <c r="D37" s="167">
        <f t="shared" si="7"/>
        <v>1819</v>
      </c>
      <c r="E37" s="167">
        <f t="shared" si="7"/>
        <v>1450</v>
      </c>
      <c r="F37" s="167">
        <f t="shared" si="7"/>
        <v>441</v>
      </c>
      <c r="G37" s="167">
        <f t="shared" si="7"/>
        <v>540</v>
      </c>
      <c r="H37" s="167">
        <f t="shared" si="7"/>
        <v>2410</v>
      </c>
      <c r="I37" s="167">
        <f t="shared" si="7"/>
        <v>630</v>
      </c>
      <c r="J37" s="167">
        <f t="shared" si="7"/>
        <v>1190</v>
      </c>
      <c r="K37" s="167">
        <f t="shared" si="7"/>
        <v>2053</v>
      </c>
      <c r="L37" s="167">
        <f t="shared" si="7"/>
        <v>1968</v>
      </c>
      <c r="M37" s="167">
        <f t="shared" si="7"/>
        <v>688</v>
      </c>
      <c r="N37" s="168">
        <f>SUM(B37:M37)</f>
        <v>21829</v>
      </c>
      <c r="P37" s="16"/>
    </row>
    <row r="38" spans="1:16" s="6" customFormat="1" x14ac:dyDescent="0.2">
      <c r="A38" s="425" t="s">
        <v>21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7"/>
    </row>
    <row r="39" spans="1:16" s="6" customFormat="1" x14ac:dyDescent="0.2">
      <c r="A39" s="174" t="s">
        <v>198</v>
      </c>
      <c r="B39" s="138">
        <v>2537</v>
      </c>
      <c r="C39" s="138">
        <v>1289</v>
      </c>
      <c r="D39" s="153">
        <v>1344</v>
      </c>
      <c r="E39" s="153">
        <v>1496</v>
      </c>
      <c r="F39" s="153">
        <v>879</v>
      </c>
      <c r="G39" s="153">
        <v>1315</v>
      </c>
      <c r="H39" s="153">
        <v>2237</v>
      </c>
      <c r="I39" s="138">
        <v>1452</v>
      </c>
      <c r="J39" s="153">
        <v>1669</v>
      </c>
      <c r="K39" s="153">
        <v>2068</v>
      </c>
      <c r="L39" s="153">
        <v>3485</v>
      </c>
      <c r="M39" s="153">
        <v>1575</v>
      </c>
      <c r="N39" s="175">
        <f>SUM(B39:M39)</f>
        <v>21346</v>
      </c>
    </row>
    <row r="40" spans="1:16" s="6" customFormat="1" ht="12" thickBot="1" x14ac:dyDescent="0.25">
      <c r="A40" s="174" t="s">
        <v>234</v>
      </c>
      <c r="B40" s="138">
        <v>0</v>
      </c>
      <c r="C40" s="138">
        <v>0</v>
      </c>
      <c r="D40" s="138">
        <v>0</v>
      </c>
      <c r="E40" s="138">
        <v>0</v>
      </c>
      <c r="F40" s="138">
        <v>0</v>
      </c>
      <c r="G40" s="138">
        <v>0</v>
      </c>
      <c r="H40" s="138">
        <v>0</v>
      </c>
      <c r="I40" s="138">
        <v>0</v>
      </c>
      <c r="J40" s="153">
        <v>0</v>
      </c>
      <c r="K40" s="153">
        <v>0</v>
      </c>
      <c r="L40" s="153">
        <v>0</v>
      </c>
      <c r="M40" s="153">
        <v>0</v>
      </c>
      <c r="N40" s="175">
        <f>SUM(B40:M40)</f>
        <v>0</v>
      </c>
    </row>
    <row r="41" spans="1:16" s="21" customFormat="1" ht="12" thickBot="1" x14ac:dyDescent="0.25">
      <c r="A41" s="176" t="s">
        <v>191</v>
      </c>
      <c r="B41" s="166">
        <f t="shared" ref="B41:J41" si="8">SUM(B39:B40)</f>
        <v>2537</v>
      </c>
      <c r="C41" s="166">
        <f t="shared" si="8"/>
        <v>1289</v>
      </c>
      <c r="D41" s="166">
        <f t="shared" si="8"/>
        <v>1344</v>
      </c>
      <c r="E41" s="166">
        <f t="shared" si="8"/>
        <v>1496</v>
      </c>
      <c r="F41" s="166">
        <f t="shared" si="8"/>
        <v>879</v>
      </c>
      <c r="G41" s="166">
        <f t="shared" si="8"/>
        <v>1315</v>
      </c>
      <c r="H41" s="166">
        <f t="shared" si="8"/>
        <v>2237</v>
      </c>
      <c r="I41" s="167">
        <f t="shared" si="8"/>
        <v>1452</v>
      </c>
      <c r="J41" s="166">
        <f t="shared" si="8"/>
        <v>1669</v>
      </c>
      <c r="K41" s="166">
        <v>2068</v>
      </c>
      <c r="L41" s="166">
        <f>SUM(L39:L40)</f>
        <v>3485</v>
      </c>
      <c r="M41" s="166">
        <f>SUM(M39:M40)</f>
        <v>1575</v>
      </c>
      <c r="N41" s="177">
        <f>SUM(B41:M41)</f>
        <v>21346</v>
      </c>
    </row>
    <row r="42" spans="1:16" s="6" customFormat="1" x14ac:dyDescent="0.2">
      <c r="A42" s="425" t="s">
        <v>22</v>
      </c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7"/>
    </row>
    <row r="43" spans="1:16" s="6" customFormat="1" x14ac:dyDescent="0.2">
      <c r="A43" s="174" t="s">
        <v>192</v>
      </c>
      <c r="B43" s="153">
        <v>1028</v>
      </c>
      <c r="C43" s="153">
        <v>972</v>
      </c>
      <c r="D43" s="153">
        <v>955</v>
      </c>
      <c r="E43" s="153">
        <v>793</v>
      </c>
      <c r="F43" s="153">
        <v>804</v>
      </c>
      <c r="G43" s="153">
        <v>914</v>
      </c>
      <c r="H43" s="153">
        <v>744</v>
      </c>
      <c r="I43" s="138">
        <v>646</v>
      </c>
      <c r="J43" s="153">
        <v>721</v>
      </c>
      <c r="K43" s="153">
        <v>987</v>
      </c>
      <c r="L43" s="153">
        <v>1509</v>
      </c>
      <c r="M43" s="153">
        <v>1612</v>
      </c>
      <c r="N43" s="175">
        <f>SUM(B43:M43)</f>
        <v>11685</v>
      </c>
    </row>
    <row r="44" spans="1:16" s="6" customFormat="1" x14ac:dyDescent="0.2">
      <c r="A44" s="174" t="s">
        <v>235</v>
      </c>
      <c r="B44" s="160">
        <v>0</v>
      </c>
      <c r="C44" s="153">
        <v>490</v>
      </c>
      <c r="D44" s="153">
        <v>440</v>
      </c>
      <c r="E44" s="153">
        <v>352</v>
      </c>
      <c r="F44" s="153">
        <v>295</v>
      </c>
      <c r="G44" s="153">
        <v>513</v>
      </c>
      <c r="H44" s="153">
        <v>1487</v>
      </c>
      <c r="I44" s="138">
        <v>695</v>
      </c>
      <c r="J44" s="153">
        <v>672</v>
      </c>
      <c r="K44" s="153">
        <v>0</v>
      </c>
      <c r="L44" s="153">
        <v>0</v>
      </c>
      <c r="M44" s="153">
        <v>142</v>
      </c>
      <c r="N44" s="175">
        <f>SUM(B44:M44)</f>
        <v>5086</v>
      </c>
    </row>
    <row r="45" spans="1:16" s="6" customFormat="1" x14ac:dyDescent="0.2">
      <c r="A45" s="174" t="s">
        <v>236</v>
      </c>
      <c r="B45" s="153">
        <v>0</v>
      </c>
      <c r="C45" s="153">
        <v>3455</v>
      </c>
      <c r="D45" s="153">
        <v>5009</v>
      </c>
      <c r="E45" s="153">
        <v>4993</v>
      </c>
      <c r="F45" s="153">
        <v>4244</v>
      </c>
      <c r="G45" s="153">
        <v>4449</v>
      </c>
      <c r="H45" s="153">
        <v>5957</v>
      </c>
      <c r="I45" s="138">
        <v>5548</v>
      </c>
      <c r="J45" s="153">
        <v>5619</v>
      </c>
      <c r="K45" s="153">
        <v>6215</v>
      </c>
      <c r="L45" s="153">
        <v>5212</v>
      </c>
      <c r="M45" s="153">
        <v>3408</v>
      </c>
      <c r="N45" s="175">
        <f>SUM(B45:M45)</f>
        <v>54109</v>
      </c>
    </row>
    <row r="46" spans="1:16" s="6" customFormat="1" ht="12" thickBot="1" x14ac:dyDescent="0.25">
      <c r="A46" s="174" t="s">
        <v>237</v>
      </c>
      <c r="B46" s="153">
        <v>0</v>
      </c>
      <c r="C46" s="153">
        <v>883</v>
      </c>
      <c r="D46" s="153">
        <v>976</v>
      </c>
      <c r="E46" s="153">
        <v>1017</v>
      </c>
      <c r="F46" s="153">
        <v>1106</v>
      </c>
      <c r="G46" s="153">
        <v>1223</v>
      </c>
      <c r="H46" s="153">
        <v>1676</v>
      </c>
      <c r="I46" s="138">
        <v>1513</v>
      </c>
      <c r="J46" s="153">
        <v>1346</v>
      </c>
      <c r="K46" s="153">
        <v>1624</v>
      </c>
      <c r="L46" s="153">
        <v>1232</v>
      </c>
      <c r="M46" s="153">
        <v>859</v>
      </c>
      <c r="N46" s="175">
        <f>SUM(B46:M46)</f>
        <v>13455</v>
      </c>
    </row>
    <row r="47" spans="1:16" s="21" customFormat="1" ht="12" thickBot="1" x14ac:dyDescent="0.25">
      <c r="A47" s="176" t="s">
        <v>238</v>
      </c>
      <c r="B47" s="166">
        <f t="shared" ref="B47:M47" si="9">SUM(B43:B46)</f>
        <v>1028</v>
      </c>
      <c r="C47" s="166">
        <f t="shared" si="9"/>
        <v>5800</v>
      </c>
      <c r="D47" s="166">
        <f t="shared" si="9"/>
        <v>7380</v>
      </c>
      <c r="E47" s="166">
        <f t="shared" si="9"/>
        <v>7155</v>
      </c>
      <c r="F47" s="166">
        <f t="shared" si="9"/>
        <v>6449</v>
      </c>
      <c r="G47" s="166">
        <f t="shared" si="9"/>
        <v>7099</v>
      </c>
      <c r="H47" s="166">
        <f t="shared" si="9"/>
        <v>9864</v>
      </c>
      <c r="I47" s="167">
        <f t="shared" si="9"/>
        <v>8402</v>
      </c>
      <c r="J47" s="166">
        <f t="shared" si="9"/>
        <v>8358</v>
      </c>
      <c r="K47" s="166">
        <f t="shared" si="9"/>
        <v>8826</v>
      </c>
      <c r="L47" s="166">
        <f t="shared" si="9"/>
        <v>7953</v>
      </c>
      <c r="M47" s="166">
        <f t="shared" si="9"/>
        <v>6021</v>
      </c>
      <c r="N47" s="177">
        <f>SUM(B47:M47)</f>
        <v>84335</v>
      </c>
    </row>
    <row r="48" spans="1:16" s="6" customFormat="1" x14ac:dyDescent="0.2">
      <c r="A48" s="425" t="s">
        <v>24</v>
      </c>
      <c r="B48" s="426"/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7"/>
    </row>
    <row r="49" spans="1:17" s="6" customFormat="1" x14ac:dyDescent="0.2">
      <c r="A49" s="174" t="s">
        <v>193</v>
      </c>
      <c r="B49" s="153">
        <v>1429</v>
      </c>
      <c r="C49" s="153">
        <v>1220</v>
      </c>
      <c r="D49" s="153">
        <v>1259</v>
      </c>
      <c r="E49" s="153">
        <v>1076</v>
      </c>
      <c r="F49" s="153">
        <v>1161</v>
      </c>
      <c r="G49" s="153">
        <v>1287</v>
      </c>
      <c r="H49" s="153">
        <v>1411</v>
      </c>
      <c r="I49" s="138">
        <v>1170</v>
      </c>
      <c r="J49" s="153">
        <v>0</v>
      </c>
      <c r="K49" s="153">
        <v>0</v>
      </c>
      <c r="L49" s="153">
        <v>0</v>
      </c>
      <c r="M49" s="153">
        <v>0</v>
      </c>
      <c r="N49" s="175">
        <f>SUM(B49:M49)</f>
        <v>10013</v>
      </c>
    </row>
    <row r="50" spans="1:17" s="6" customFormat="1" ht="12" thickBot="1" x14ac:dyDescent="0.25">
      <c r="A50" s="174" t="s">
        <v>194</v>
      </c>
      <c r="B50" s="153">
        <v>1106</v>
      </c>
      <c r="C50" s="153">
        <v>806</v>
      </c>
      <c r="D50" s="153">
        <v>1024</v>
      </c>
      <c r="E50" s="153">
        <v>842</v>
      </c>
      <c r="F50" s="153">
        <v>779</v>
      </c>
      <c r="G50" s="153">
        <v>782</v>
      </c>
      <c r="H50" s="153">
        <v>1154</v>
      </c>
      <c r="I50" s="138">
        <v>963</v>
      </c>
      <c r="J50" s="153">
        <v>0</v>
      </c>
      <c r="K50" s="153">
        <v>0</v>
      </c>
      <c r="L50" s="153">
        <v>0</v>
      </c>
      <c r="M50" s="153">
        <v>0</v>
      </c>
      <c r="N50" s="175">
        <f>SUM(B50:M50)</f>
        <v>7456</v>
      </c>
    </row>
    <row r="51" spans="1:17" s="16" customFormat="1" ht="12" thickBot="1" x14ac:dyDescent="0.25">
      <c r="A51" s="176" t="s">
        <v>25</v>
      </c>
      <c r="B51" s="166">
        <f t="shared" ref="B51:M51" si="10">SUM(B49:B50)</f>
        <v>2535</v>
      </c>
      <c r="C51" s="166">
        <f t="shared" si="10"/>
        <v>2026</v>
      </c>
      <c r="D51" s="166">
        <f t="shared" si="10"/>
        <v>2283</v>
      </c>
      <c r="E51" s="166">
        <f t="shared" si="10"/>
        <v>1918</v>
      </c>
      <c r="F51" s="166">
        <f t="shared" si="10"/>
        <v>1940</v>
      </c>
      <c r="G51" s="166">
        <f t="shared" si="10"/>
        <v>2069</v>
      </c>
      <c r="H51" s="167">
        <f t="shared" si="10"/>
        <v>2565</v>
      </c>
      <c r="I51" s="167">
        <f t="shared" si="10"/>
        <v>2133</v>
      </c>
      <c r="J51" s="166">
        <f t="shared" si="10"/>
        <v>0</v>
      </c>
      <c r="K51" s="166">
        <f t="shared" si="10"/>
        <v>0</v>
      </c>
      <c r="L51" s="166">
        <f t="shared" si="10"/>
        <v>0</v>
      </c>
      <c r="M51" s="166">
        <f t="shared" si="10"/>
        <v>0</v>
      </c>
      <c r="N51" s="177">
        <f>SUM(B51:M51)</f>
        <v>17469</v>
      </c>
    </row>
    <row r="52" spans="1:17" s="21" customFormat="1" ht="12" thickBot="1" x14ac:dyDescent="0.25">
      <c r="A52" s="176" t="s">
        <v>239</v>
      </c>
      <c r="B52" s="166">
        <v>2983</v>
      </c>
      <c r="C52" s="166">
        <v>3845</v>
      </c>
      <c r="D52" s="166">
        <v>1897</v>
      </c>
      <c r="E52" s="166">
        <v>1475</v>
      </c>
      <c r="F52" s="166">
        <v>2088</v>
      </c>
      <c r="G52" s="166">
        <v>1153</v>
      </c>
      <c r="H52" s="166">
        <v>1399</v>
      </c>
      <c r="I52" s="167">
        <v>0</v>
      </c>
      <c r="J52" s="166">
        <v>0</v>
      </c>
      <c r="K52" s="166">
        <v>0</v>
      </c>
      <c r="L52" s="166">
        <v>0</v>
      </c>
      <c r="M52" s="166">
        <v>0</v>
      </c>
      <c r="N52" s="177">
        <f>SUM(B52:M52)</f>
        <v>14840</v>
      </c>
    </row>
    <row r="53" spans="1:17" s="16" customFormat="1" ht="12" thickBot="1" x14ac:dyDescent="0.25">
      <c r="A53" s="176" t="s">
        <v>240</v>
      </c>
      <c r="B53" s="166">
        <v>0</v>
      </c>
      <c r="C53" s="166">
        <v>0</v>
      </c>
      <c r="D53" s="166">
        <f>352+391</f>
        <v>743</v>
      </c>
      <c r="E53" s="166">
        <f>207+1+295+0+265+3+203+7</f>
        <v>981</v>
      </c>
      <c r="F53" s="166">
        <v>813</v>
      </c>
      <c r="G53" s="166">
        <v>976</v>
      </c>
      <c r="H53" s="166">
        <v>3908</v>
      </c>
      <c r="I53" s="167">
        <v>1399</v>
      </c>
      <c r="J53" s="166">
        <v>1416</v>
      </c>
      <c r="K53" s="166">
        <v>0</v>
      </c>
      <c r="L53" s="166">
        <v>2115</v>
      </c>
      <c r="M53" s="166">
        <v>422</v>
      </c>
      <c r="N53" s="177">
        <f>SUM(B53:M53)</f>
        <v>12773</v>
      </c>
    </row>
    <row r="54" spans="1:17" s="23" customFormat="1" ht="12.75" thickBot="1" x14ac:dyDescent="0.25">
      <c r="A54" s="178" t="s">
        <v>26</v>
      </c>
      <c r="B54" s="179">
        <f>+B11+B16+B26+B33+B37+B41+B47+B51+B52+B53</f>
        <v>215381</v>
      </c>
      <c r="C54" s="179">
        <f t="shared" ref="C54:M54" si="11">+C11+C16+C26+C33+C37+C41+C47+C51+C52+C53</f>
        <v>175082</v>
      </c>
      <c r="D54" s="179">
        <f t="shared" si="11"/>
        <v>145869</v>
      </c>
      <c r="E54" s="179">
        <f t="shared" si="11"/>
        <v>128196</v>
      </c>
      <c r="F54" s="179">
        <f t="shared" si="11"/>
        <v>135243</v>
      </c>
      <c r="G54" s="179">
        <f t="shared" si="11"/>
        <v>120772</v>
      </c>
      <c r="H54" s="179">
        <f t="shared" si="11"/>
        <v>155022</v>
      </c>
      <c r="I54" s="179">
        <f t="shared" si="11"/>
        <v>117377</v>
      </c>
      <c r="J54" s="179">
        <f t="shared" si="11"/>
        <v>111703</v>
      </c>
      <c r="K54" s="179">
        <f t="shared" si="11"/>
        <v>117762</v>
      </c>
      <c r="L54" s="179">
        <f t="shared" si="11"/>
        <v>116341</v>
      </c>
      <c r="M54" s="179">
        <f t="shared" si="11"/>
        <v>112553</v>
      </c>
      <c r="N54" s="179">
        <f>+N11+N16+N26+N33+N37+N41+N47+N51+N52+N53</f>
        <v>1651301</v>
      </c>
      <c r="O54" s="244"/>
    </row>
    <row r="55" spans="1:17" ht="12" thickTop="1" x14ac:dyDescent="0.2">
      <c r="L55" s="24"/>
      <c r="N55" s="1"/>
      <c r="O55" s="6"/>
      <c r="P55" s="6"/>
      <c r="Q55" s="6"/>
    </row>
    <row r="56" spans="1:17" s="28" customFormat="1" ht="9.9499999999999993" customHeight="1" x14ac:dyDescent="0.2">
      <c r="A56" s="25" t="s">
        <v>27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7">
        <f>+N54-N53-N41-N37</f>
        <v>1595353</v>
      </c>
      <c r="O56" s="6"/>
    </row>
    <row r="57" spans="1:17" s="28" customFormat="1" ht="9.9499999999999993" customHeight="1" x14ac:dyDescent="0.15">
      <c r="A57" s="25" t="s">
        <v>28</v>
      </c>
      <c r="G57" s="180" t="s">
        <v>199</v>
      </c>
      <c r="I57" s="29"/>
      <c r="K57" s="26"/>
      <c r="N57" s="25"/>
      <c r="O57" s="26"/>
    </row>
    <row r="58" spans="1:17" s="28" customFormat="1" ht="9.9499999999999993" customHeight="1" x14ac:dyDescent="0.15">
      <c r="A58" s="180" t="s">
        <v>200</v>
      </c>
      <c r="G58" s="180" t="s">
        <v>201</v>
      </c>
      <c r="I58" s="29"/>
      <c r="N58" s="25"/>
      <c r="O58" s="26"/>
    </row>
    <row r="59" spans="1:17" s="28" customFormat="1" ht="9.9499999999999993" customHeight="1" x14ac:dyDescent="0.15">
      <c r="A59" s="181" t="s">
        <v>202</v>
      </c>
      <c r="B59" s="137"/>
      <c r="C59" s="137"/>
      <c r="D59" s="137"/>
      <c r="E59" s="137"/>
      <c r="G59" s="180" t="s">
        <v>203</v>
      </c>
      <c r="I59" s="29"/>
      <c r="N59" s="25"/>
    </row>
    <row r="60" spans="1:17" s="31" customFormat="1" ht="9.9499999999999993" customHeight="1" x14ac:dyDescent="0.15">
      <c r="A60" s="182" t="s">
        <v>204</v>
      </c>
      <c r="G60" s="180" t="s">
        <v>205</v>
      </c>
      <c r="N60" s="30"/>
    </row>
    <row r="61" spans="1:17" s="31" customFormat="1" ht="9.9499999999999993" customHeight="1" x14ac:dyDescent="0.15">
      <c r="A61" s="182" t="s">
        <v>206</v>
      </c>
      <c r="G61" s="180" t="s">
        <v>207</v>
      </c>
      <c r="I61" s="29"/>
      <c r="N61" s="30"/>
    </row>
    <row r="62" spans="1:17" s="31" customFormat="1" ht="9.9499999999999993" customHeight="1" x14ac:dyDescent="0.15">
      <c r="A62" s="182" t="s">
        <v>208</v>
      </c>
      <c r="G62" s="180" t="s">
        <v>209</v>
      </c>
      <c r="I62" s="29"/>
      <c r="N62" s="30"/>
    </row>
    <row r="63" spans="1:17" s="31" customFormat="1" ht="9.9499999999999993" customHeight="1" x14ac:dyDescent="0.15">
      <c r="A63" s="182" t="s">
        <v>210</v>
      </c>
      <c r="G63" s="180" t="s">
        <v>211</v>
      </c>
      <c r="I63" s="29"/>
      <c r="N63" s="30"/>
    </row>
    <row r="64" spans="1:17" s="31" customFormat="1" ht="9.9499999999999993" customHeight="1" x14ac:dyDescent="0.15">
      <c r="A64" s="182" t="s">
        <v>212</v>
      </c>
      <c r="G64" s="180" t="s">
        <v>213</v>
      </c>
      <c r="I64" s="29"/>
      <c r="N64" s="30"/>
    </row>
    <row r="65" spans="1:15" x14ac:dyDescent="0.2">
      <c r="A65" s="183" t="s">
        <v>214</v>
      </c>
      <c r="B65" s="184"/>
      <c r="C65" s="184"/>
      <c r="D65" s="184"/>
      <c r="E65" s="184"/>
      <c r="F65" s="184"/>
      <c r="G65" s="180" t="s">
        <v>215</v>
      </c>
      <c r="H65" s="184"/>
      <c r="I65" s="184"/>
      <c r="J65" s="184"/>
      <c r="K65" s="184"/>
      <c r="L65" s="184"/>
      <c r="M65" s="184"/>
      <c r="N65" s="184"/>
    </row>
    <row r="66" spans="1:15" x14ac:dyDescent="0.2">
      <c r="A66" s="185" t="s">
        <v>216</v>
      </c>
      <c r="B66" s="136"/>
      <c r="C66" s="136"/>
      <c r="D66" s="136"/>
      <c r="E66" s="136"/>
      <c r="F66" s="136"/>
      <c r="G66" s="180" t="s">
        <v>217</v>
      </c>
      <c r="H66" s="136"/>
      <c r="I66" s="136"/>
      <c r="J66" s="136"/>
      <c r="K66" s="136"/>
      <c r="L66" s="136"/>
      <c r="M66" s="136"/>
      <c r="N66" s="136"/>
      <c r="O66" s="136"/>
    </row>
    <row r="67" spans="1:15" ht="9" customHeight="1" x14ac:dyDescent="0.2">
      <c r="A67" s="185" t="s">
        <v>218</v>
      </c>
      <c r="B67" s="136"/>
      <c r="C67" s="136"/>
      <c r="D67" s="136"/>
      <c r="E67" s="136"/>
      <c r="F67" s="136"/>
      <c r="G67" s="180" t="s">
        <v>219</v>
      </c>
      <c r="H67" s="136"/>
      <c r="I67" s="136"/>
      <c r="J67" s="136"/>
      <c r="K67" s="136"/>
      <c r="L67" s="136"/>
      <c r="M67" s="136"/>
      <c r="N67" s="136"/>
      <c r="O67" s="136"/>
    </row>
  </sheetData>
  <mergeCells count="7">
    <mergeCell ref="A38:N38"/>
    <mergeCell ref="A42:N42"/>
    <mergeCell ref="A48:N48"/>
    <mergeCell ref="A3:N3"/>
    <mergeCell ref="A17:N17"/>
    <mergeCell ref="A27:N27"/>
    <mergeCell ref="A34:N34"/>
  </mergeCells>
  <phoneticPr fontId="0" type="noConversion"/>
  <printOptions horizontalCentered="1"/>
  <pageMargins left="0.7" right="0.7" top="0.75" bottom="0.75" header="0.3" footer="0.3"/>
  <pageSetup paperSize="9" scale="65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18</vt:i4>
      </vt:variant>
    </vt:vector>
  </HeadingPairs>
  <TitlesOfParts>
    <vt:vector size="36" baseType="lpstr">
      <vt:lpstr>Indice</vt:lpstr>
      <vt:lpstr>Pax desde 1994 hasta 2006</vt:lpstr>
      <vt:lpstr>Pax 2007</vt:lpstr>
      <vt:lpstr>Pax 2008</vt:lpstr>
      <vt:lpstr>Pax 2009</vt:lpstr>
      <vt:lpstr>Pax 2010</vt:lpstr>
      <vt:lpstr>Pax 2011</vt:lpstr>
      <vt:lpstr>Pax 2012</vt:lpstr>
      <vt:lpstr>Pax 2013</vt:lpstr>
      <vt:lpstr>Pax 2014</vt:lpstr>
      <vt:lpstr>Pax 2015</vt:lpstr>
      <vt:lpstr>Pax 2016</vt:lpstr>
      <vt:lpstr>Pax 2017</vt:lpstr>
      <vt:lpstr>Pax 2018</vt:lpstr>
      <vt:lpstr>Pax 2019</vt:lpstr>
      <vt:lpstr>Pax 2020</vt:lpstr>
      <vt:lpstr>Pax 2021</vt:lpstr>
      <vt:lpstr>Pax 2022</vt:lpstr>
      <vt:lpstr>Indice!Área_de_impresión</vt:lpstr>
      <vt:lpstr>'Pax 2007'!Área_de_impresión</vt:lpstr>
      <vt:lpstr>'Pax 2008'!Área_de_impresión</vt:lpstr>
      <vt:lpstr>'Pax 2009'!Área_de_impresión</vt:lpstr>
      <vt:lpstr>'Pax 2010'!Área_de_impresión</vt:lpstr>
      <vt:lpstr>'Pax 2011'!Área_de_impresión</vt:lpstr>
      <vt:lpstr>'Pax 2012'!Área_de_impresión</vt:lpstr>
      <vt:lpstr>'Pax 2013'!Área_de_impresión</vt:lpstr>
      <vt:lpstr>'Pax 2014'!Área_de_impresión</vt:lpstr>
      <vt:lpstr>'Pax 2015'!Área_de_impresión</vt:lpstr>
      <vt:lpstr>'Pax 2016'!Área_de_impresión</vt:lpstr>
      <vt:lpstr>'Pax 2017'!Área_de_impresión</vt:lpstr>
      <vt:lpstr>'Pax 2018'!Área_de_impresión</vt:lpstr>
      <vt:lpstr>'Pax 2019'!Área_de_impresión</vt:lpstr>
      <vt:lpstr>'Pax 2020'!Área_de_impresión</vt:lpstr>
      <vt:lpstr>'Pax 2021'!Área_de_impresión</vt:lpstr>
      <vt:lpstr>'Pax 2022'!Área_de_impresión</vt:lpstr>
      <vt:lpstr>'Pax desde 1994 hasta 2006'!Área_de_impresión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Daniel Gassman</dc:creator>
  <cp:lastModifiedBy>CNRT</cp:lastModifiedBy>
  <cp:lastPrinted>2020-01-28T18:15:50Z</cp:lastPrinted>
  <dcterms:created xsi:type="dcterms:W3CDTF">2013-01-09T14:58:01Z</dcterms:created>
  <dcterms:modified xsi:type="dcterms:W3CDTF">2023-02-08T13:24:45Z</dcterms:modified>
  <cp:contentStatus/>
</cp:coreProperties>
</file>